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drawings/drawing3.xml" ContentType="application/vnd.openxmlformats-officedocument.drawingml.chartshap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7.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8.xml" ContentType="application/vnd.openxmlformats-officedocument.drawing+xml"/>
  <Override PartName="/xl/charts/chart3.xml" ContentType="application/vnd.openxmlformats-officedocument.drawingml.chart+xml"/>
  <Override PartName="/xl/charts/style2.xml" ContentType="application/vnd.ms-office.chartstyle+xml"/>
  <Override PartName="/xl/charts/colors2.xml" ContentType="application/vnd.ms-office.chartcolorstyle+xml"/>
  <Override PartName="/xl/charts/chart4.xml" ContentType="application/vnd.openxmlformats-officedocument.drawingml.chart+xml"/>
  <Override PartName="/xl/charts/style3.xml" ContentType="application/vnd.ms-office.chartstyle+xml"/>
  <Override PartName="/xl/charts/colors3.xml" ContentType="application/vnd.ms-office.chartcolorstyle+xml"/>
  <Override PartName="/xl/drawings/drawing9.xml" ContentType="application/vnd.openxmlformats-officedocument.drawing+xml"/>
  <Override PartName="/xl/persons/person.xml" ContentType="application/vnd.ms-excel.person+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codeName="{C026B480-071E-DA80-A48C-D3F380F32C35}"/>
  <workbookPr codeName="EstaPastaDeTrabalho"/>
  <mc:AlternateContent xmlns:mc="http://schemas.openxmlformats.org/markup-compatibility/2006">
    <mc:Choice Requires="x15">
      <x15ac:absPath xmlns:x15ac="http://schemas.microsoft.com/office/spreadsheetml/2010/11/ac" url="https://d.docs.live.net/492108df20f8d86d/Documentos/Projeto tomossíntese/"/>
    </mc:Choice>
  </mc:AlternateContent>
  <xr:revisionPtr revIDLastSave="0" documentId="8_{082F9CB2-8604-468E-8E26-F3D8D2FD54BE}" xr6:coauthVersionLast="47" xr6:coauthVersionMax="47" xr10:uidLastSave="{00000000-0000-0000-0000-000000000000}"/>
  <bookViews>
    <workbookView xWindow="1152" yWindow="1152" windowWidth="17280" windowHeight="8880" tabRatio="695" activeTab="1" xr2:uid="{00000000-000D-0000-FFFF-FFFF00000000}"/>
  </bookViews>
  <sheets>
    <sheet name="Presentation" sheetId="3" r:id="rId1"/>
    <sheet name="CostEffectiveAnalysis" sheetId="16" r:id="rId2"/>
    <sheet name="Model" sheetId="14" r:id="rId3"/>
    <sheet name="Parameters" sheetId="6" r:id="rId4"/>
    <sheet name="Costs" sheetId="13" r:id="rId5"/>
    <sheet name="DSA" sheetId="23" r:id="rId6"/>
    <sheet name="cmed" sheetId="22" r:id="rId7"/>
    <sheet name="CEASimulation" sheetId="20" r:id="rId8"/>
    <sheet name="Markov" sheetId="15" r:id="rId9"/>
    <sheet name="Table of Life" sheetId="8" r:id="rId10"/>
    <sheet name="Forex" sheetId="24" r:id="rId11"/>
  </sheets>
  <definedNames>
    <definedName name="_xlnm._FilterDatabase" localSheetId="5" hidden="1">DSA!$B$66:$E$66</definedName>
    <definedName name="c_biopsia">Parameters!$D$42</definedName>
    <definedName name="c_mamog">Parameters!$D$40</definedName>
    <definedName name="c_reconv">Parameters!$D$41</definedName>
    <definedName name="c_tomos">Parameters!$D$39</definedName>
    <definedName name="c_tto_DCIS">Parameters!$D$43</definedName>
    <definedName name="c_tto_DCIS_2">Parameters!$D$44</definedName>
    <definedName name="c_tto_local_1ano">Parameters!$D$52</definedName>
    <definedName name="c_tto_local_anoseg">Parameters!$D$51</definedName>
    <definedName name="c_tto_metast">Parameters!$D$53</definedName>
    <definedName name="c_tto_tnm1_1ano">Parameters!$D$45</definedName>
    <definedName name="c_tto_tnm1_segano">Parameters!$D$48</definedName>
    <definedName name="c_tto_tnm2_1ano">Parameters!$D$46</definedName>
    <definedName name="c_tto_tnm2_segano">Parameters!$D$49</definedName>
    <definedName name="c_tto_tnm3_1ano">Parameters!$D$47</definedName>
    <definedName name="c_tto_tnm3_segano">Parameters!$D$50</definedName>
    <definedName name="idade_entrada">Parameters!$D$5</definedName>
    <definedName name="p_biopsia_M">Parameters!$D$12</definedName>
    <definedName name="p_biopsia_T">Parameters!$D$17</definedName>
    <definedName name="p_biopsia_US_mamog">Parameters!$D$22</definedName>
    <definedName name="p_biopsia_US_tomos">Parameters!$D$23</definedName>
    <definedName name="p_cancer_M">Parameters!$D$10</definedName>
    <definedName name="p_cancer_T">Parameters!$D$15</definedName>
    <definedName name="p_cancer_US">Parameters!$D$20</definedName>
    <definedName name="p_cancerInv_M">Parameters!$D$11</definedName>
    <definedName name="p_cancerInv_T">Parameters!$D$16</definedName>
    <definedName name="p_cancerInv_US">Parameters!$D$21</definedName>
    <definedName name="p_cIntervalo_M">Parameters!$D$14</definedName>
    <definedName name="p_cIntervalo_T">Parameters!$D$19</definedName>
    <definedName name="p_recall_M">Parameters!$D$13</definedName>
    <definedName name="p_recall_T">Parameters!$D$18</definedName>
    <definedName name="p_sobrev_CIntervalo">Parameters!$D$30</definedName>
    <definedName name="p_sobrev_DCIS">Parameters!$D$31</definedName>
    <definedName name="p_sobrev_TNM1">Parameters!$D$32</definedName>
    <definedName name="p_sobrev_TNM2">Parameters!$D$33</definedName>
    <definedName name="p_sobrev_TNM3">Parameters!$D$34</definedName>
    <definedName name="p_sobrev_TNM4">Parameters!$D$35</definedName>
    <definedName name="slmd_tnm1">Parameters!$D$36</definedName>
    <definedName name="slmd_tnm2">Parameters!$D$37</definedName>
    <definedName name="slmd_tnm3">Parameters!$D$38</definedName>
    <definedName name="taxa_desconto">Parameters!$D$7</definedName>
    <definedName name="u_cancer_interv">Parameters!$D$64</definedName>
    <definedName name="u_DCIS">Parameters!$D$59</definedName>
    <definedName name="u_FN">Parameters!$D$57</definedName>
    <definedName name="u_FP">Parameters!$D$55</definedName>
    <definedName name="u_sem_CM">Parameters!$D$58</definedName>
    <definedName name="u_TNM1">Parameters!$D$60</definedName>
    <definedName name="u_TNM2">Parameters!$D$61</definedName>
    <definedName name="u_TNM3">Parameters!$D$62</definedName>
    <definedName name="u_TNM4">Parameters!$D$63</definedName>
    <definedName name="u_VN">Parameters!$D$54</definedName>
    <definedName name="u_VP">Parameters!$D$56</definedName>
    <definedName name="WfTarget" localSheetId="4">Costs!$A$1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0" i="6" l="1"/>
  <c r="F85" i="13"/>
  <c r="E117" i="23" l="1"/>
  <c r="E113" i="23"/>
  <c r="E79" i="23"/>
  <c r="E110" i="23"/>
  <c r="F107" i="13" l="1"/>
  <c r="F106" i="13"/>
  <c r="B43" i="3"/>
  <c r="B45" i="3"/>
  <c r="BI129" i="15" l="1"/>
  <c r="BI93" i="15"/>
  <c r="BH93" i="15"/>
  <c r="BH129" i="15" s="1"/>
  <c r="BG93" i="15"/>
  <c r="BG129" i="15" s="1"/>
  <c r="BI11" i="15"/>
  <c r="BI47" i="15" s="1"/>
  <c r="BH11" i="15"/>
  <c r="BH47" i="15" s="1"/>
  <c r="BG11" i="15"/>
  <c r="BG47" i="15" s="1"/>
  <c r="AY129" i="15"/>
  <c r="AY93" i="15"/>
  <c r="AX93" i="15"/>
  <c r="AX129" i="15" s="1"/>
  <c r="AW93" i="15"/>
  <c r="AW129" i="15" s="1"/>
  <c r="U129" i="15"/>
  <c r="T129" i="15"/>
  <c r="S129" i="15"/>
  <c r="U93" i="15"/>
  <c r="T93" i="15"/>
  <c r="S93" i="15"/>
  <c r="S89" i="15"/>
  <c r="S88" i="15"/>
  <c r="U47" i="15"/>
  <c r="T47" i="15"/>
  <c r="S47" i="15"/>
  <c r="U11" i="15"/>
  <c r="T11" i="15"/>
  <c r="S11" i="15"/>
  <c r="D129" i="15"/>
  <c r="F93" i="15"/>
  <c r="F129" i="15" s="1"/>
  <c r="E93" i="15"/>
  <c r="E129" i="15" s="1"/>
  <c r="D93" i="15"/>
  <c r="D89" i="15"/>
  <c r="D88" i="15"/>
  <c r="D47" i="15"/>
  <c r="F11" i="15"/>
  <c r="F47" i="15" s="1"/>
  <c r="E11" i="15"/>
  <c r="E47" i="15" s="1"/>
  <c r="D11" i="15"/>
  <c r="D7" i="15"/>
  <c r="D6" i="15"/>
  <c r="N7" i="20" l="1"/>
  <c r="S10" i="20" s="1"/>
  <c r="M7" i="20"/>
  <c r="R10" i="20" s="1"/>
  <c r="C31" i="16" l="1"/>
  <c r="C32" i="16"/>
  <c r="E125" i="23"/>
  <c r="E105" i="23"/>
  <c r="E124" i="23"/>
  <c r="E118" i="23"/>
  <c r="E100" i="23"/>
  <c r="E81" i="23"/>
  <c r="B60" i="23"/>
  <c r="B61" i="23"/>
  <c r="B62" i="23"/>
  <c r="B63" i="23"/>
  <c r="B64" i="23"/>
  <c r="B5" i="23"/>
  <c r="B6" i="23"/>
  <c r="B7" i="23"/>
  <c r="B8" i="23"/>
  <c r="B9" i="23"/>
  <c r="B10" i="23"/>
  <c r="B11" i="23"/>
  <c r="B12" i="23"/>
  <c r="B13" i="23"/>
  <c r="B14" i="23"/>
  <c r="B15" i="23"/>
  <c r="B16" i="23"/>
  <c r="B17" i="23"/>
  <c r="B18" i="23"/>
  <c r="B19" i="23"/>
  <c r="B20" i="23"/>
  <c r="B21" i="23"/>
  <c r="B22" i="23"/>
  <c r="B23" i="23"/>
  <c r="B24" i="23"/>
  <c r="B25" i="23"/>
  <c r="B26" i="23"/>
  <c r="B27" i="23"/>
  <c r="B28" i="23"/>
  <c r="B29" i="23"/>
  <c r="B30" i="23"/>
  <c r="B31" i="23"/>
  <c r="B32" i="23"/>
  <c r="B33" i="23"/>
  <c r="B34" i="23"/>
  <c r="B35" i="23"/>
  <c r="B36" i="23"/>
  <c r="B37" i="23"/>
  <c r="B38" i="23"/>
  <c r="B39" i="23"/>
  <c r="B40" i="23"/>
  <c r="B41" i="23"/>
  <c r="B42" i="23"/>
  <c r="B43" i="23"/>
  <c r="B44" i="23"/>
  <c r="B45" i="23"/>
  <c r="B46" i="23"/>
  <c r="B47" i="23"/>
  <c r="B48" i="23"/>
  <c r="B49" i="23"/>
  <c r="B50" i="23"/>
  <c r="B51" i="23"/>
  <c r="B52" i="23"/>
  <c r="B53" i="23"/>
  <c r="B54" i="23"/>
  <c r="B55" i="23"/>
  <c r="B56" i="23"/>
  <c r="B57" i="23"/>
  <c r="B58" i="23"/>
  <c r="B59" i="23"/>
  <c r="B4" i="23"/>
  <c r="E68" i="23"/>
  <c r="E69" i="23"/>
  <c r="E70" i="23"/>
  <c r="E71" i="23"/>
  <c r="E72" i="23"/>
  <c r="E94" i="23"/>
  <c r="E80" i="23"/>
  <c r="E127" i="23"/>
  <c r="E107" i="23"/>
  <c r="E76" i="23"/>
  <c r="E112" i="23"/>
  <c r="E102" i="23"/>
  <c r="E103" i="23"/>
  <c r="E120" i="23"/>
  <c r="E82" i="23"/>
  <c r="E104" i="23"/>
  <c r="E84" i="23"/>
  <c r="E88" i="23"/>
  <c r="E73" i="23"/>
  <c r="E89" i="23"/>
  <c r="E86" i="23"/>
  <c r="E93" i="23"/>
  <c r="E123" i="23"/>
  <c r="E92" i="23"/>
  <c r="E74" i="23"/>
  <c r="E95" i="23"/>
  <c r="E108" i="23"/>
  <c r="E98" i="23"/>
  <c r="E122" i="23"/>
  <c r="E119" i="23"/>
  <c r="E109" i="23"/>
  <c r="E75" i="23"/>
  <c r="E114" i="23"/>
  <c r="E83" i="23"/>
  <c r="E99" i="23"/>
  <c r="E78" i="23"/>
  <c r="E91" i="23"/>
  <c r="E116" i="23"/>
  <c r="E126" i="23"/>
  <c r="E87" i="23"/>
  <c r="E106" i="23"/>
  <c r="E115" i="23"/>
  <c r="E77" i="23"/>
  <c r="E96" i="23"/>
  <c r="E90" i="23"/>
  <c r="E85" i="23"/>
  <c r="E97" i="23"/>
  <c r="E121" i="23"/>
  <c r="E111" i="23"/>
  <c r="E101" i="23"/>
  <c r="E67" i="23"/>
  <c r="I35" i="6"/>
  <c r="K35" i="6" s="1"/>
  <c r="I34" i="6"/>
  <c r="K34" i="6" s="1"/>
  <c r="I33" i="6"/>
  <c r="J33" i="6" s="1"/>
  <c r="K32" i="6"/>
  <c r="J32" i="6"/>
  <c r="I32" i="6"/>
  <c r="G36" i="16"/>
  <c r="E36" i="16"/>
  <c r="I60" i="6"/>
  <c r="J60" i="6" s="1"/>
  <c r="I61" i="6"/>
  <c r="K61" i="6" s="1"/>
  <c r="I62" i="6"/>
  <c r="M62" i="6" s="1"/>
  <c r="I64" i="6"/>
  <c r="M64" i="6" s="1"/>
  <c r="I63" i="6"/>
  <c r="K63" i="6" s="1"/>
  <c r="I59" i="6"/>
  <c r="J59" i="6" s="1"/>
  <c r="I58" i="6"/>
  <c r="M58" i="6" s="1"/>
  <c r="I54" i="6"/>
  <c r="M54" i="6" s="1"/>
  <c r="I55" i="6"/>
  <c r="K55" i="6" s="1"/>
  <c r="I56" i="6"/>
  <c r="J56" i="6" s="1"/>
  <c r="I57" i="6"/>
  <c r="J57" i="6" s="1"/>
  <c r="K33" i="6" l="1"/>
  <c r="J34" i="6"/>
  <c r="J35" i="6"/>
  <c r="J62" i="6"/>
  <c r="K62" i="6"/>
  <c r="J61" i="6"/>
  <c r="N62" i="6"/>
  <c r="F62" i="6" s="1"/>
  <c r="D62" i="6" s="1"/>
  <c r="M60" i="6"/>
  <c r="M61" i="6"/>
  <c r="K60" i="6"/>
  <c r="J64" i="6"/>
  <c r="J58" i="6"/>
  <c r="K58" i="6"/>
  <c r="K59" i="6"/>
  <c r="M59" i="6"/>
  <c r="N59" i="6" s="1"/>
  <c r="F59" i="6" s="1"/>
  <c r="D59" i="6" s="1"/>
  <c r="M63" i="6"/>
  <c r="N63" i="6" s="1"/>
  <c r="F63" i="6" s="1"/>
  <c r="D63" i="6" s="1"/>
  <c r="N64" i="6"/>
  <c r="F64" i="6" s="1"/>
  <c r="D64" i="6" s="1"/>
  <c r="N58" i="6"/>
  <c r="F58" i="6" s="1"/>
  <c r="D58" i="6" s="1"/>
  <c r="J63" i="6"/>
  <c r="K64" i="6"/>
  <c r="J54" i="6"/>
  <c r="M55" i="6"/>
  <c r="J55" i="6"/>
  <c r="M56" i="6"/>
  <c r="M57" i="6"/>
  <c r="K56" i="6"/>
  <c r="K57" i="6"/>
  <c r="N54" i="6"/>
  <c r="F54" i="6" s="1"/>
  <c r="D54" i="6" s="1"/>
  <c r="K54" i="6"/>
  <c r="BL94" i="15" l="1"/>
  <c r="BL12" i="15"/>
  <c r="N60" i="6"/>
  <c r="F60" i="6" s="1"/>
  <c r="D60" i="6" s="1"/>
  <c r="N61" i="6"/>
  <c r="F61" i="6" s="1"/>
  <c r="D61" i="6" s="1"/>
  <c r="N55" i="6"/>
  <c r="F55" i="6" s="1"/>
  <c r="D55" i="6" s="1"/>
  <c r="N57" i="6"/>
  <c r="F57" i="6" s="1"/>
  <c r="D57" i="6" s="1"/>
  <c r="N56" i="6"/>
  <c r="F56" i="6" s="1"/>
  <c r="D56" i="6" s="1"/>
  <c r="BB94" i="15" l="1"/>
  <c r="BB12" i="15"/>
  <c r="AR12" i="15"/>
  <c r="AR94" i="15"/>
  <c r="M33" i="6" l="1"/>
  <c r="N33" i="6"/>
  <c r="M34" i="6"/>
  <c r="N34" i="6"/>
  <c r="M35" i="6"/>
  <c r="N35" i="6"/>
  <c r="N32" i="6"/>
  <c r="M32" i="6"/>
  <c r="N16" i="6"/>
  <c r="I21" i="6" l="1"/>
  <c r="I22" i="6"/>
  <c r="I23" i="6"/>
  <c r="I20" i="6"/>
  <c r="I16" i="6"/>
  <c r="I36" i="6"/>
  <c r="I37" i="6"/>
  <c r="I38" i="6"/>
  <c r="I11" i="6"/>
  <c r="H44" i="3"/>
  <c r="H42" i="3"/>
  <c r="E7" i="6" l="1"/>
  <c r="D4" i="6"/>
  <c r="E106" i="13"/>
  <c r="E107" i="13" s="1"/>
  <c r="E85" i="13"/>
  <c r="D85" i="13"/>
  <c r="E111" i="13"/>
  <c r="D111" i="13"/>
  <c r="E136" i="13"/>
  <c r="D136" i="13"/>
  <c r="E161" i="13"/>
  <c r="D161" i="13"/>
  <c r="E185" i="13"/>
  <c r="D185" i="13"/>
  <c r="E210" i="13"/>
  <c r="D210" i="13"/>
  <c r="E234" i="13"/>
  <c r="D234" i="13"/>
  <c r="E258" i="13"/>
  <c r="D258" i="13"/>
  <c r="I23" i="22"/>
  <c r="F185" i="13" s="1"/>
  <c r="D283" i="13"/>
  <c r="E283" i="13"/>
  <c r="E231" i="13"/>
  <c r="E232" i="13" s="1"/>
  <c r="E233" i="13" s="1"/>
  <c r="D232" i="13"/>
  <c r="E158" i="13"/>
  <c r="E159" i="13" s="1"/>
  <c r="E160" i="13" s="1"/>
  <c r="D159" i="13"/>
  <c r="E255" i="13"/>
  <c r="E256" i="13" s="1"/>
  <c r="E257" i="13" s="1"/>
  <c r="D256" i="13"/>
  <c r="E182" i="13"/>
  <c r="E183" i="13" s="1"/>
  <c r="E184" i="13" s="1"/>
  <c r="D183" i="13"/>
  <c r="G68" i="3"/>
  <c r="G69" i="3"/>
  <c r="G70" i="3"/>
  <c r="G71" i="3"/>
  <c r="G72" i="3"/>
  <c r="G67" i="3"/>
  <c r="E281" i="13"/>
  <c r="E282" i="13" s="1"/>
  <c r="E278" i="13"/>
  <c r="E279" i="13" s="1"/>
  <c r="E280" i="13" s="1"/>
  <c r="D279" i="13"/>
  <c r="E221" i="13"/>
  <c r="E208" i="13"/>
  <c r="E209" i="13" s="1"/>
  <c r="E205" i="13"/>
  <c r="E206" i="13" s="1"/>
  <c r="E207" i="13" s="1"/>
  <c r="D206" i="13"/>
  <c r="E133" i="13"/>
  <c r="E134" i="13" s="1"/>
  <c r="E135" i="13" s="1"/>
  <c r="D134" i="13"/>
  <c r="E125" i="13"/>
  <c r="E126" i="13" s="1"/>
  <c r="E127" i="13" s="1"/>
  <c r="E128" i="13" s="1"/>
  <c r="E129" i="13" s="1"/>
  <c r="E130" i="13" s="1"/>
  <c r="E131" i="13"/>
  <c r="E108" i="13"/>
  <c r="E110" i="13" s="1"/>
  <c r="D109" i="13"/>
  <c r="I22" i="22"/>
  <c r="F73" i="13" s="1"/>
  <c r="F108" i="13" s="1"/>
  <c r="F205" i="13" s="1"/>
  <c r="I21" i="22"/>
  <c r="F74" i="13" s="1"/>
  <c r="F109" i="13" s="1"/>
  <c r="F206" i="13" s="1"/>
  <c r="D74" i="13"/>
  <c r="F234" i="13" l="1"/>
  <c r="F111" i="13"/>
  <c r="F161" i="13"/>
  <c r="G85" i="13"/>
  <c r="F283" i="13"/>
  <c r="F210" i="13"/>
  <c r="G210" i="13" s="1"/>
  <c r="F136" i="13"/>
  <c r="G136" i="13" s="1"/>
  <c r="F258" i="13"/>
  <c r="G258" i="13" s="1"/>
  <c r="G111" i="13"/>
  <c r="G161" i="13"/>
  <c r="G185" i="13"/>
  <c r="G234" i="13"/>
  <c r="G283" i="13"/>
  <c r="F158" i="13"/>
  <c r="G158" i="13" s="1"/>
  <c r="F231" i="13"/>
  <c r="G231" i="13" s="1"/>
  <c r="F232" i="13"/>
  <c r="G232" i="13" s="1"/>
  <c r="F159" i="13"/>
  <c r="G159" i="13" s="1"/>
  <c r="F182" i="13"/>
  <c r="G182" i="13" s="1"/>
  <c r="F256" i="13"/>
  <c r="G256" i="13" s="1"/>
  <c r="F255" i="13"/>
  <c r="G255" i="13" s="1"/>
  <c r="F183" i="13"/>
  <c r="G183" i="13" s="1"/>
  <c r="F278" i="13"/>
  <c r="G278" i="13" s="1"/>
  <c r="F279" i="13"/>
  <c r="G279" i="13" s="1"/>
  <c r="F133" i="13"/>
  <c r="G205" i="13"/>
  <c r="G206" i="13"/>
  <c r="F134" i="13"/>
  <c r="G108" i="13"/>
  <c r="E109" i="13"/>
  <c r="G109" i="13" s="1"/>
  <c r="F76" i="13"/>
  <c r="D172" i="13"/>
  <c r="E132" i="13"/>
  <c r="O37" i="13"/>
  <c r="F55" i="13" s="1"/>
  <c r="O36" i="13"/>
  <c r="F54" i="13" s="1"/>
  <c r="O35" i="13"/>
  <c r="F82" i="13" s="1"/>
  <c r="D221" i="13" l="1"/>
  <c r="F84" i="13"/>
  <c r="F83" i="13"/>
  <c r="F53" i="13"/>
  <c r="F103" i="13" s="1"/>
  <c r="D245" i="13" l="1"/>
  <c r="E124" i="13"/>
  <c r="E122" i="13"/>
  <c r="E123" i="13" s="1"/>
  <c r="D129" i="13"/>
  <c r="D128" i="13"/>
  <c r="E84" i="13"/>
  <c r="E82" i="13"/>
  <c r="E83" i="13" s="1"/>
  <c r="E78" i="13"/>
  <c r="E79" i="13" s="1"/>
  <c r="E80" i="13" s="1"/>
  <c r="E81" i="13" s="1"/>
  <c r="E76" i="13"/>
  <c r="E77" i="13" s="1"/>
  <c r="E73" i="13"/>
  <c r="G73" i="13" s="1"/>
  <c r="E105" i="13"/>
  <c r="E103" i="13"/>
  <c r="E104" i="13" s="1"/>
  <c r="E91" i="13"/>
  <c r="E92" i="13"/>
  <c r="E93" i="13"/>
  <c r="E94" i="13"/>
  <c r="E95" i="13"/>
  <c r="E90" i="13"/>
  <c r="G90" i="13" s="1"/>
  <c r="D94" i="13"/>
  <c r="D93" i="13"/>
  <c r="F104" i="13"/>
  <c r="F105" i="13"/>
  <c r="E230" i="13"/>
  <c r="E229" i="13"/>
  <c r="E228" i="13"/>
  <c r="E223" i="13"/>
  <c r="E224" i="13"/>
  <c r="E225" i="13"/>
  <c r="E226" i="13"/>
  <c r="E227" i="13"/>
  <c r="E222" i="13"/>
  <c r="E254" i="13"/>
  <c r="E253" i="13"/>
  <c r="E252" i="13"/>
  <c r="E247" i="13"/>
  <c r="E248" i="13"/>
  <c r="E249" i="13"/>
  <c r="E250" i="13"/>
  <c r="E251" i="13"/>
  <c r="E246" i="13"/>
  <c r="E245" i="13"/>
  <c r="E277" i="13"/>
  <c r="E276" i="13"/>
  <c r="E275" i="13"/>
  <c r="E270" i="13"/>
  <c r="E271" i="13"/>
  <c r="E272" i="13"/>
  <c r="E273" i="13"/>
  <c r="E274" i="13"/>
  <c r="E269" i="13"/>
  <c r="D270" i="13"/>
  <c r="D269" i="13"/>
  <c r="D247" i="13"/>
  <c r="D246" i="13"/>
  <c r="D223" i="13"/>
  <c r="D222" i="13"/>
  <c r="E204" i="13"/>
  <c r="E203" i="13"/>
  <c r="E202" i="13"/>
  <c r="E197" i="13"/>
  <c r="E198" i="13"/>
  <c r="E199" i="13"/>
  <c r="E200" i="13"/>
  <c r="E201" i="13"/>
  <c r="E196" i="13"/>
  <c r="D197" i="13"/>
  <c r="D196" i="13"/>
  <c r="E181" i="13"/>
  <c r="E180" i="13"/>
  <c r="E179" i="13"/>
  <c r="E174" i="13"/>
  <c r="E175" i="13"/>
  <c r="E176" i="13"/>
  <c r="E177" i="13"/>
  <c r="E178" i="13"/>
  <c r="E173" i="13"/>
  <c r="D174" i="13"/>
  <c r="D173" i="13"/>
  <c r="E172" i="13"/>
  <c r="F156" i="13"/>
  <c r="F180" i="13" s="1"/>
  <c r="F203" i="13" s="1"/>
  <c r="F229" i="13" s="1"/>
  <c r="F253" i="13" s="1"/>
  <c r="F276" i="13" s="1"/>
  <c r="F157" i="13"/>
  <c r="F181" i="13" s="1"/>
  <c r="F204" i="13" s="1"/>
  <c r="F230" i="13" s="1"/>
  <c r="F254" i="13" s="1"/>
  <c r="F155" i="13"/>
  <c r="F179" i="13" s="1"/>
  <c r="F202" i="13" s="1"/>
  <c r="F228" i="13" s="1"/>
  <c r="F252" i="13" s="1"/>
  <c r="F275" i="13" s="1"/>
  <c r="D150" i="13"/>
  <c r="D149" i="13"/>
  <c r="E156" i="13"/>
  <c r="E155" i="13"/>
  <c r="E157" i="13"/>
  <c r="E148" i="13"/>
  <c r="E150" i="13"/>
  <c r="E151" i="13"/>
  <c r="E152" i="13"/>
  <c r="E153" i="13"/>
  <c r="E154" i="13" s="1"/>
  <c r="E149" i="13"/>
  <c r="G55" i="13"/>
  <c r="G82" i="13" l="1"/>
  <c r="F123" i="13"/>
  <c r="F122" i="13"/>
  <c r="F124" i="13"/>
  <c r="G84" i="13"/>
  <c r="G104" i="13"/>
  <c r="G83" i="13"/>
  <c r="E75" i="13"/>
  <c r="G276" i="13"/>
  <c r="G103" i="13"/>
  <c r="E74" i="13"/>
  <c r="G105" i="13"/>
  <c r="G229" i="13"/>
  <c r="G275" i="13"/>
  <c r="G254" i="13"/>
  <c r="F277" i="13"/>
  <c r="G277" i="13" s="1"/>
  <c r="G252" i="13"/>
  <c r="G253" i="13"/>
  <c r="G230" i="13"/>
  <c r="G228" i="13"/>
  <c r="G203" i="13"/>
  <c r="G204" i="13"/>
  <c r="G202" i="13"/>
  <c r="G157" i="13"/>
  <c r="G155" i="13"/>
  <c r="G156" i="13"/>
  <c r="Q13" i="20"/>
  <c r="Q14" i="20" s="1"/>
  <c r="Q15" i="20" s="1"/>
  <c r="Q16" i="20" s="1"/>
  <c r="Q17" i="20" s="1"/>
  <c r="Q18" i="20" s="1"/>
  <c r="Q19" i="20" s="1"/>
  <c r="Q20" i="20" s="1"/>
  <c r="Q21" i="20" s="1"/>
  <c r="Q22" i="20" s="1"/>
  <c r="Q23" i="20" s="1"/>
  <c r="Q24" i="20" s="1"/>
  <c r="Q25" i="20" s="1"/>
  <c r="Q26" i="20" s="1"/>
  <c r="Q27" i="20" s="1"/>
  <c r="Q28" i="20" s="1"/>
  <c r="Q29" i="20" s="1"/>
  <c r="Q30" i="20" s="1"/>
  <c r="Q31" i="20" s="1"/>
  <c r="Q32" i="20" s="1"/>
  <c r="Q33" i="20" s="1"/>
  <c r="Q34" i="20" s="1"/>
  <c r="Q35" i="20" s="1"/>
  <c r="Q36" i="20" s="1"/>
  <c r="Q37" i="20" s="1"/>
  <c r="Q38" i="20" s="1"/>
  <c r="Q39" i="20" s="1"/>
  <c r="Q40" i="20" s="1"/>
  <c r="Q41" i="20" s="1"/>
  <c r="Q42" i="20" s="1"/>
  <c r="Q43" i="20" s="1"/>
  <c r="Q44" i="20" s="1"/>
  <c r="Q45" i="20" s="1"/>
  <c r="Q46" i="20" s="1"/>
  <c r="Q47" i="20" s="1"/>
  <c r="Q48" i="20" s="1"/>
  <c r="Q49" i="20" s="1"/>
  <c r="Q50" i="20" s="1"/>
  <c r="Q51" i="20" s="1"/>
  <c r="Q52" i="20" s="1"/>
  <c r="Q53" i="20" s="1"/>
  <c r="Q54" i="20" s="1"/>
  <c r="Q55" i="20" s="1"/>
  <c r="Q56" i="20" s="1"/>
  <c r="Q57" i="20" s="1"/>
  <c r="Q58" i="20" s="1"/>
  <c r="Q59" i="20" s="1"/>
  <c r="Q60" i="20" s="1"/>
  <c r="Q61" i="20" s="1"/>
  <c r="Q62" i="20" s="1"/>
  <c r="Q63" i="20" s="1"/>
  <c r="Q64" i="20" s="1"/>
  <c r="Q65" i="20" s="1"/>
  <c r="Q66" i="20" s="1"/>
  <c r="Q67" i="20" s="1"/>
  <c r="Q68" i="20" s="1"/>
  <c r="Q69" i="20" s="1"/>
  <c r="Q70" i="20" s="1"/>
  <c r="Q71" i="20" s="1"/>
  <c r="Q72" i="20" s="1"/>
  <c r="Q73" i="20" s="1"/>
  <c r="Q74" i="20" s="1"/>
  <c r="Q75" i="20" s="1"/>
  <c r="Q76" i="20" s="1"/>
  <c r="Q77" i="20" s="1"/>
  <c r="Q78" i="20" s="1"/>
  <c r="Q79" i="20" s="1"/>
  <c r="Q80" i="20" s="1"/>
  <c r="Q81" i="20" s="1"/>
  <c r="Q82" i="20" s="1"/>
  <c r="Q83" i="20" s="1"/>
  <c r="Q84" i="20" s="1"/>
  <c r="Q85" i="20" s="1"/>
  <c r="Q86" i="20" s="1"/>
  <c r="Q87" i="20" s="1"/>
  <c r="Q88" i="20" s="1"/>
  <c r="Q89" i="20" s="1"/>
  <c r="Q90" i="20" s="1"/>
  <c r="Q91" i="20" s="1"/>
  <c r="Q92" i="20" s="1"/>
  <c r="Q93" i="20" s="1"/>
  <c r="Q94" i="20" s="1"/>
  <c r="Q95" i="20" s="1"/>
  <c r="Q96" i="20" s="1"/>
  <c r="Q97" i="20" s="1"/>
  <c r="Q98" i="20" s="1"/>
  <c r="Q99" i="20" s="1"/>
  <c r="Q100" i="20" s="1"/>
  <c r="Q101" i="20" s="1"/>
  <c r="Q102" i="20" s="1"/>
  <c r="Q103" i="20" s="1"/>
  <c r="Q104" i="20" s="1"/>
  <c r="Q105" i="20" s="1"/>
  <c r="Q106" i="20" s="1"/>
  <c r="Q107" i="20" s="1"/>
  <c r="Q108" i="20" s="1"/>
  <c r="Q109" i="20" s="1"/>
  <c r="Q110" i="20" s="1"/>
  <c r="Q111" i="20" s="1"/>
  <c r="Q112" i="20" s="1"/>
  <c r="Q113" i="20" s="1"/>
  <c r="Q114" i="20" s="1"/>
  <c r="Q115" i="20" s="1"/>
  <c r="Q116" i="20" s="1"/>
  <c r="Q117" i="20" s="1"/>
  <c r="Q118" i="20" s="1"/>
  <c r="Q119" i="20" s="1"/>
  <c r="Q120" i="20" s="1"/>
  <c r="Q121" i="20" s="1"/>
  <c r="Q122" i="20" s="1"/>
  <c r="Q123" i="20" s="1"/>
  <c r="Q124" i="20" s="1"/>
  <c r="Q125" i="20" s="1"/>
  <c r="Q126" i="20" s="1"/>
  <c r="Q127" i="20" s="1"/>
  <c r="Q128" i="20" s="1"/>
  <c r="Q129" i="20" s="1"/>
  <c r="Q130" i="20" s="1"/>
  <c r="Q131" i="20" s="1"/>
  <c r="Q132" i="20" s="1"/>
  <c r="Q133" i="20" s="1"/>
  <c r="Q134" i="20" s="1"/>
  <c r="Q135" i="20" s="1"/>
  <c r="Q136" i="20" s="1"/>
  <c r="Q137" i="20" s="1"/>
  <c r="Q138" i="20" s="1"/>
  <c r="Q139" i="20" s="1"/>
  <c r="Q140" i="20" s="1"/>
  <c r="Q141" i="20" s="1"/>
  <c r="Q142" i="20" s="1"/>
  <c r="Q143" i="20" s="1"/>
  <c r="Q144" i="20" s="1"/>
  <c r="Q145" i="20" s="1"/>
  <c r="Q146" i="20" s="1"/>
  <c r="Q147" i="20" s="1"/>
  <c r="Q148" i="20" s="1"/>
  <c r="Q149" i="20" s="1"/>
  <c r="Q150" i="20" s="1"/>
  <c r="Q151" i="20" s="1"/>
  <c r="Q152" i="20" s="1"/>
  <c r="Q153" i="20" s="1"/>
  <c r="Q154" i="20" s="1"/>
  <c r="Q155" i="20" s="1"/>
  <c r="Q156" i="20" s="1"/>
  <c r="Q157" i="20" s="1"/>
  <c r="Q158" i="20" s="1"/>
  <c r="Q159" i="20" s="1"/>
  <c r="Q160" i="20" s="1"/>
  <c r="Q161" i="20" s="1"/>
  <c r="Q162" i="20" s="1"/>
  <c r="Q163" i="20" s="1"/>
  <c r="Q164" i="20" s="1"/>
  <c r="Q165" i="20" s="1"/>
  <c r="Q166" i="20" s="1"/>
  <c r="Q167" i="20" s="1"/>
  <c r="Q168" i="20" s="1"/>
  <c r="Q169" i="20" s="1"/>
  <c r="Q170" i="20" s="1"/>
  <c r="Q171" i="20" s="1"/>
  <c r="Q172" i="20" s="1"/>
  <c r="Q173" i="20" s="1"/>
  <c r="Q174" i="20" s="1"/>
  <c r="Q175" i="20" s="1"/>
  <c r="Q176" i="20" s="1"/>
  <c r="Q177" i="20" s="1"/>
  <c r="Q178" i="20" s="1"/>
  <c r="Q179" i="20" s="1"/>
  <c r="Q180" i="20" s="1"/>
  <c r="Q181" i="20" s="1"/>
  <c r="Q182" i="20" s="1"/>
  <c r="Q183" i="20" s="1"/>
  <c r="Q184" i="20" s="1"/>
  <c r="Q185" i="20" s="1"/>
  <c r="Q186" i="20" s="1"/>
  <c r="Q187" i="20" s="1"/>
  <c r="Q188" i="20" s="1"/>
  <c r="Q189" i="20" s="1"/>
  <c r="Q190" i="20" s="1"/>
  <c r="Q191" i="20" s="1"/>
  <c r="Q192" i="20" s="1"/>
  <c r="Q193" i="20" s="1"/>
  <c r="Q194" i="20" s="1"/>
  <c r="Q195" i="20" s="1"/>
  <c r="Q196" i="20" s="1"/>
  <c r="Q197" i="20" s="1"/>
  <c r="Q198" i="20" s="1"/>
  <c r="Q199" i="20" s="1"/>
  <c r="Q200" i="20" s="1"/>
  <c r="Q201" i="20" s="1"/>
  <c r="Q202" i="20" s="1"/>
  <c r="Q203" i="20" s="1"/>
  <c r="Q204" i="20" s="1"/>
  <c r="Q205" i="20" s="1"/>
  <c r="Q206" i="20" s="1"/>
  <c r="Q207" i="20" s="1"/>
  <c r="Q208" i="20" s="1"/>
  <c r="Q209" i="20" s="1"/>
  <c r="Q210" i="20" s="1"/>
  <c r="Q211" i="20" s="1"/>
  <c r="Q212" i="20" s="1"/>
  <c r="Q213" i="20" s="1"/>
  <c r="Q214" i="20" s="1"/>
  <c r="Q215" i="20" s="1"/>
  <c r="Q216" i="20" s="1"/>
  <c r="Q217" i="20" s="1"/>
  <c r="Q218" i="20" s="1"/>
  <c r="Q219" i="20" s="1"/>
  <c r="Q220" i="20" s="1"/>
  <c r="Q221" i="20" s="1"/>
  <c r="Q222" i="20" s="1"/>
  <c r="Q223" i="20" s="1"/>
  <c r="Q224" i="20" s="1"/>
  <c r="Q225" i="20" s="1"/>
  <c r="Q226" i="20" s="1"/>
  <c r="Q227" i="20" s="1"/>
  <c r="Q228" i="20" s="1"/>
  <c r="Q229" i="20" s="1"/>
  <c r="Q230" i="20" s="1"/>
  <c r="Q231" i="20" s="1"/>
  <c r="Q232" i="20" s="1"/>
  <c r="Q233" i="20" s="1"/>
  <c r="Q234" i="20" s="1"/>
  <c r="Q235" i="20" s="1"/>
  <c r="Q236" i="20" s="1"/>
  <c r="Q237" i="20" s="1"/>
  <c r="Q238" i="20" s="1"/>
  <c r="Q239" i="20" s="1"/>
  <c r="Q240" i="20" s="1"/>
  <c r="Q241" i="20" s="1"/>
  <c r="Q242" i="20" s="1"/>
  <c r="Q243" i="20" s="1"/>
  <c r="Q244" i="20" s="1"/>
  <c r="Q245" i="20" s="1"/>
  <c r="Q246" i="20" s="1"/>
  <c r="Q247" i="20" s="1"/>
  <c r="Q248" i="20" s="1"/>
  <c r="Q249" i="20" s="1"/>
  <c r="Q250" i="20" s="1"/>
  <c r="Q251" i="20" s="1"/>
  <c r="Q252" i="20" s="1"/>
  <c r="Q253" i="20" s="1"/>
  <c r="Q254" i="20" s="1"/>
  <c r="Q255" i="20" s="1"/>
  <c r="Q256" i="20" s="1"/>
  <c r="Q257" i="20" s="1"/>
  <c r="Q258" i="20" s="1"/>
  <c r="Q259" i="20" s="1"/>
  <c r="Q260" i="20" s="1"/>
  <c r="Q261" i="20" s="1"/>
  <c r="Q262" i="20" s="1"/>
  <c r="Q263" i="20" s="1"/>
  <c r="Q264" i="20" s="1"/>
  <c r="Q265" i="20" s="1"/>
  <c r="Q266" i="20" s="1"/>
  <c r="Q267" i="20" s="1"/>
  <c r="Q268" i="20" s="1"/>
  <c r="Q269" i="20" s="1"/>
  <c r="Q270" i="20" s="1"/>
  <c r="Q271" i="20" s="1"/>
  <c r="Q272" i="20" s="1"/>
  <c r="Q273" i="20" s="1"/>
  <c r="Q274" i="20" s="1"/>
  <c r="Q275" i="20" s="1"/>
  <c r="Q276" i="20" s="1"/>
  <c r="Q277" i="20" s="1"/>
  <c r="Q278" i="20" s="1"/>
  <c r="Q279" i="20" s="1"/>
  <c r="Q280" i="20" s="1"/>
  <c r="Q281" i="20" s="1"/>
  <c r="Q282" i="20" s="1"/>
  <c r="Q283" i="20" s="1"/>
  <c r="Q284" i="20" s="1"/>
  <c r="Q285" i="20" s="1"/>
  <c r="Q286" i="20" s="1"/>
  <c r="Q287" i="20" s="1"/>
  <c r="Q288" i="20" s="1"/>
  <c r="Q289" i="20" s="1"/>
  <c r="Q290" i="20" s="1"/>
  <c r="Q291" i="20" s="1"/>
  <c r="Q292" i="20" s="1"/>
  <c r="Q293" i="20" s="1"/>
  <c r="Q294" i="20" s="1"/>
  <c r="Q295" i="20" s="1"/>
  <c r="Q296" i="20" s="1"/>
  <c r="Q297" i="20" s="1"/>
  <c r="Q298" i="20" s="1"/>
  <c r="Q299" i="20" s="1"/>
  <c r="Q300" i="20" s="1"/>
  <c r="Q301" i="20" s="1"/>
  <c r="Q302" i="20" s="1"/>
  <c r="Q303" i="20" s="1"/>
  <c r="Q304" i="20" s="1"/>
  <c r="Q305" i="20" s="1"/>
  <c r="Q306" i="20" s="1"/>
  <c r="Q307" i="20" s="1"/>
  <c r="Q308" i="20" s="1"/>
  <c r="Q309" i="20" s="1"/>
  <c r="Q310" i="20" s="1"/>
  <c r="Q311" i="20" s="1"/>
  <c r="Q312" i="20" s="1"/>
  <c r="Q313" i="20" s="1"/>
  <c r="Q314" i="20" s="1"/>
  <c r="Q315" i="20" s="1"/>
  <c r="Q316" i="20" s="1"/>
  <c r="Q317" i="20" s="1"/>
  <c r="Q318" i="20" s="1"/>
  <c r="Q319" i="20" s="1"/>
  <c r="Q320" i="20" s="1"/>
  <c r="Q321" i="20" s="1"/>
  <c r="Q322" i="20" s="1"/>
  <c r="Q323" i="20" s="1"/>
  <c r="Q324" i="20" s="1"/>
  <c r="Q325" i="20" s="1"/>
  <c r="Q326" i="20" s="1"/>
  <c r="Q327" i="20" s="1"/>
  <c r="Q328" i="20" s="1"/>
  <c r="Q329" i="20" s="1"/>
  <c r="Q330" i="20" s="1"/>
  <c r="Q331" i="20" s="1"/>
  <c r="Q332" i="20" s="1"/>
  <c r="Q333" i="20" s="1"/>
  <c r="Q334" i="20" s="1"/>
  <c r="Q335" i="20" s="1"/>
  <c r="Q336" i="20" s="1"/>
  <c r="Q337" i="20" s="1"/>
  <c r="Q338" i="20" s="1"/>
  <c r="Q339" i="20" s="1"/>
  <c r="Q340" i="20" s="1"/>
  <c r="Q341" i="20" s="1"/>
  <c r="Q342" i="20" s="1"/>
  <c r="Q343" i="20" s="1"/>
  <c r="Q344" i="20" s="1"/>
  <c r="Q345" i="20" s="1"/>
  <c r="Q346" i="20" s="1"/>
  <c r="Q347" i="20" s="1"/>
  <c r="Q348" i="20" s="1"/>
  <c r="Q349" i="20" s="1"/>
  <c r="Q350" i="20" s="1"/>
  <c r="Q351" i="20" s="1"/>
  <c r="Q352" i="20" s="1"/>
  <c r="Q353" i="20" s="1"/>
  <c r="Q354" i="20" s="1"/>
  <c r="Q355" i="20" s="1"/>
  <c r="Q356" i="20" s="1"/>
  <c r="Q357" i="20" s="1"/>
  <c r="Q358" i="20" s="1"/>
  <c r="Q359" i="20" s="1"/>
  <c r="Q360" i="20" s="1"/>
  <c r="Q361" i="20" s="1"/>
  <c r="Q362" i="20" s="1"/>
  <c r="Q363" i="20" s="1"/>
  <c r="Q364" i="20" s="1"/>
  <c r="Q365" i="20" s="1"/>
  <c r="Q366" i="20" s="1"/>
  <c r="Q367" i="20" s="1"/>
  <c r="Q368" i="20" s="1"/>
  <c r="Q369" i="20" s="1"/>
  <c r="Q370" i="20" s="1"/>
  <c r="Q371" i="20" s="1"/>
  <c r="Q372" i="20" s="1"/>
  <c r="Q373" i="20" s="1"/>
  <c r="Q374" i="20" s="1"/>
  <c r="Q375" i="20" s="1"/>
  <c r="Q376" i="20" s="1"/>
  <c r="Q377" i="20" s="1"/>
  <c r="Q378" i="20" s="1"/>
  <c r="Q379" i="20" s="1"/>
  <c r="Q380" i="20" s="1"/>
  <c r="Q381" i="20" s="1"/>
  <c r="Q382" i="20" s="1"/>
  <c r="Q383" i="20" s="1"/>
  <c r="Q384" i="20" s="1"/>
  <c r="Q385" i="20" s="1"/>
  <c r="Q386" i="20" s="1"/>
  <c r="Q387" i="20" s="1"/>
  <c r="Q388" i="20" s="1"/>
  <c r="Q389" i="20" s="1"/>
  <c r="Q390" i="20" s="1"/>
  <c r="Q391" i="20" s="1"/>
  <c r="Q392" i="20" s="1"/>
  <c r="Q393" i="20" s="1"/>
  <c r="Q394" i="20" s="1"/>
  <c r="Q395" i="20" s="1"/>
  <c r="Q396" i="20" s="1"/>
  <c r="Q397" i="20" s="1"/>
  <c r="Q398" i="20" s="1"/>
  <c r="Q399" i="20" s="1"/>
  <c r="Q400" i="20" s="1"/>
  <c r="Q401" i="20" s="1"/>
  <c r="Q402" i="20" s="1"/>
  <c r="Q403" i="20" s="1"/>
  <c r="Q404" i="20" s="1"/>
  <c r="Q405" i="20" s="1"/>
  <c r="Q406" i="20" s="1"/>
  <c r="Q407" i="20" s="1"/>
  <c r="Q408" i="20" s="1"/>
  <c r="Q409" i="20" s="1"/>
  <c r="Q410" i="20" s="1"/>
  <c r="Q411" i="20" s="1"/>
  <c r="Q412" i="20" s="1"/>
  <c r="Q413" i="20" s="1"/>
  <c r="Q414" i="20" s="1"/>
  <c r="Q415" i="20" s="1"/>
  <c r="Q416" i="20" s="1"/>
  <c r="Q417" i="20" s="1"/>
  <c r="Q418" i="20" s="1"/>
  <c r="Q419" i="20" s="1"/>
  <c r="Q420" i="20" s="1"/>
  <c r="Q421" i="20" s="1"/>
  <c r="Q422" i="20" s="1"/>
  <c r="Q423" i="20" s="1"/>
  <c r="Q424" i="20" s="1"/>
  <c r="Q425" i="20" s="1"/>
  <c r="Q426" i="20" s="1"/>
  <c r="Q427" i="20" s="1"/>
  <c r="Q428" i="20" s="1"/>
  <c r="Q429" i="20" s="1"/>
  <c r="Q430" i="20" s="1"/>
  <c r="Q431" i="20" s="1"/>
  <c r="Q432" i="20" s="1"/>
  <c r="Q433" i="20" s="1"/>
  <c r="Q434" i="20" s="1"/>
  <c r="Q435" i="20" s="1"/>
  <c r="Q436" i="20" s="1"/>
  <c r="Q437" i="20" s="1"/>
  <c r="Q438" i="20" s="1"/>
  <c r="Q439" i="20" s="1"/>
  <c r="Q440" i="20" s="1"/>
  <c r="Q441" i="20" s="1"/>
  <c r="Q442" i="20" s="1"/>
  <c r="Q443" i="20" s="1"/>
  <c r="Q444" i="20" s="1"/>
  <c r="Q445" i="20" s="1"/>
  <c r="Q446" i="20" s="1"/>
  <c r="Q447" i="20" s="1"/>
  <c r="Q448" i="20" s="1"/>
  <c r="Q449" i="20" s="1"/>
  <c r="Q450" i="20" s="1"/>
  <c r="Q451" i="20" s="1"/>
  <c r="Q452" i="20" s="1"/>
  <c r="Q453" i="20" s="1"/>
  <c r="Q454" i="20" s="1"/>
  <c r="Q455" i="20" s="1"/>
  <c r="Q456" i="20" s="1"/>
  <c r="Q457" i="20" s="1"/>
  <c r="Q458" i="20" s="1"/>
  <c r="Q459" i="20" s="1"/>
  <c r="Q460" i="20" s="1"/>
  <c r="Q461" i="20" s="1"/>
  <c r="Q462" i="20" s="1"/>
  <c r="Q463" i="20" s="1"/>
  <c r="Q464" i="20" s="1"/>
  <c r="Q465" i="20" s="1"/>
  <c r="Q466" i="20" s="1"/>
  <c r="Q467" i="20" s="1"/>
  <c r="Q468" i="20" s="1"/>
  <c r="Q469" i="20" s="1"/>
  <c r="Q470" i="20" s="1"/>
  <c r="Q471" i="20" s="1"/>
  <c r="Q472" i="20" s="1"/>
  <c r="Q473" i="20" s="1"/>
  <c r="Q474" i="20" s="1"/>
  <c r="Q475" i="20" s="1"/>
  <c r="Q476" i="20" s="1"/>
  <c r="Q477" i="20" s="1"/>
  <c r="Q478" i="20" s="1"/>
  <c r="Q479" i="20" s="1"/>
  <c r="Q480" i="20" s="1"/>
  <c r="Q481" i="20" s="1"/>
  <c r="Q482" i="20" s="1"/>
  <c r="Q483" i="20" s="1"/>
  <c r="Q484" i="20" s="1"/>
  <c r="Q485" i="20" s="1"/>
  <c r="Q486" i="20" s="1"/>
  <c r="Q487" i="20" s="1"/>
  <c r="Q488" i="20" s="1"/>
  <c r="Q489" i="20" s="1"/>
  <c r="Q490" i="20" s="1"/>
  <c r="Q491" i="20" s="1"/>
  <c r="Q492" i="20" s="1"/>
  <c r="Q493" i="20" s="1"/>
  <c r="Q494" i="20" s="1"/>
  <c r="Q495" i="20" s="1"/>
  <c r="Q496" i="20" s="1"/>
  <c r="Q497" i="20" s="1"/>
  <c r="Q498" i="20" s="1"/>
  <c r="Q499" i="20" s="1"/>
  <c r="Q500" i="20" s="1"/>
  <c r="Q501" i="20" s="1"/>
  <c r="Q502" i="20" s="1"/>
  <c r="Q503" i="20" s="1"/>
  <c r="Q504" i="20" s="1"/>
  <c r="Q505" i="20" s="1"/>
  <c r="Q506" i="20" s="1"/>
  <c r="Q507" i="20" s="1"/>
  <c r="Q508" i="20" s="1"/>
  <c r="Q509" i="20" s="1"/>
  <c r="Q510" i="20" s="1"/>
  <c r="Q511" i="20" s="1"/>
  <c r="Q512" i="20" s="1"/>
  <c r="Q513" i="20" s="1"/>
  <c r="Q514" i="20" s="1"/>
  <c r="Q515" i="20" s="1"/>
  <c r="Q516" i="20" s="1"/>
  <c r="Q517" i="20" s="1"/>
  <c r="Q518" i="20" s="1"/>
  <c r="Q519" i="20" s="1"/>
  <c r="Q520" i="20" s="1"/>
  <c r="Q521" i="20" s="1"/>
  <c r="Q522" i="20" s="1"/>
  <c r="Q523" i="20" s="1"/>
  <c r="Q524" i="20" s="1"/>
  <c r="Q525" i="20" s="1"/>
  <c r="Q526" i="20" s="1"/>
  <c r="Q527" i="20" s="1"/>
  <c r="Q528" i="20" s="1"/>
  <c r="Q529" i="20" s="1"/>
  <c r="Q530" i="20" s="1"/>
  <c r="Q531" i="20" s="1"/>
  <c r="Q532" i="20" s="1"/>
  <c r="Q533" i="20" s="1"/>
  <c r="Q534" i="20" s="1"/>
  <c r="Q535" i="20" s="1"/>
  <c r="Q536" i="20" s="1"/>
  <c r="Q537" i="20" s="1"/>
  <c r="Q538" i="20" s="1"/>
  <c r="Q539" i="20" s="1"/>
  <c r="Q540" i="20" s="1"/>
  <c r="Q541" i="20" s="1"/>
  <c r="Q542" i="20" s="1"/>
  <c r="Q543" i="20" s="1"/>
  <c r="Q544" i="20" s="1"/>
  <c r="Q545" i="20" s="1"/>
  <c r="Q546" i="20" s="1"/>
  <c r="Q547" i="20" s="1"/>
  <c r="Q548" i="20" s="1"/>
  <c r="Q549" i="20" s="1"/>
  <c r="Q550" i="20" s="1"/>
  <c r="Q551" i="20" s="1"/>
  <c r="Q552" i="20" s="1"/>
  <c r="Q553" i="20" s="1"/>
  <c r="Q554" i="20" s="1"/>
  <c r="Q555" i="20" s="1"/>
  <c r="Q556" i="20" s="1"/>
  <c r="Q557" i="20" s="1"/>
  <c r="Q558" i="20" s="1"/>
  <c r="Q559" i="20" s="1"/>
  <c r="Q560" i="20" s="1"/>
  <c r="Q561" i="20" s="1"/>
  <c r="Q562" i="20" s="1"/>
  <c r="Q563" i="20" s="1"/>
  <c r="Q564" i="20" s="1"/>
  <c r="Q565" i="20" s="1"/>
  <c r="Q566" i="20" s="1"/>
  <c r="Q567" i="20" s="1"/>
  <c r="Q568" i="20" s="1"/>
  <c r="Q569" i="20" s="1"/>
  <c r="Q570" i="20" s="1"/>
  <c r="Q571" i="20" s="1"/>
  <c r="Q572" i="20" s="1"/>
  <c r="Q573" i="20" s="1"/>
  <c r="Q574" i="20" s="1"/>
  <c r="Q575" i="20" s="1"/>
  <c r="Q576" i="20" s="1"/>
  <c r="Q577" i="20" s="1"/>
  <c r="Q578" i="20" s="1"/>
  <c r="Q579" i="20" s="1"/>
  <c r="Q580" i="20" s="1"/>
  <c r="Q581" i="20" s="1"/>
  <c r="Q582" i="20" s="1"/>
  <c r="Q583" i="20" s="1"/>
  <c r="Q584" i="20" s="1"/>
  <c r="Q585" i="20" s="1"/>
  <c r="Q586" i="20" s="1"/>
  <c r="Q587" i="20" s="1"/>
  <c r="Q588" i="20" s="1"/>
  <c r="Q589" i="20" s="1"/>
  <c r="Q590" i="20" s="1"/>
  <c r="Q591" i="20" s="1"/>
  <c r="Q592" i="20" s="1"/>
  <c r="Q593" i="20" s="1"/>
  <c r="Q594" i="20" s="1"/>
  <c r="Q595" i="20" s="1"/>
  <c r="Q596" i="20" s="1"/>
  <c r="Q597" i="20" s="1"/>
  <c r="Q598" i="20" s="1"/>
  <c r="Q599" i="20" s="1"/>
  <c r="Q600" i="20" s="1"/>
  <c r="Q601" i="20" s="1"/>
  <c r="Q602" i="20" s="1"/>
  <c r="Q603" i="20" s="1"/>
  <c r="Q604" i="20" s="1"/>
  <c r="Q605" i="20" s="1"/>
  <c r="Q606" i="20" s="1"/>
  <c r="Q607" i="20" s="1"/>
  <c r="Q608" i="20" s="1"/>
  <c r="Q609" i="20" s="1"/>
  <c r="Q610" i="20" s="1"/>
  <c r="Q611" i="20" s="1"/>
  <c r="Q12" i="20"/>
  <c r="D81" i="13"/>
  <c r="D78" i="13"/>
  <c r="J19" i="22"/>
  <c r="F77" i="13" s="1"/>
  <c r="G77" i="13" s="1"/>
  <c r="J18" i="22"/>
  <c r="J17" i="22"/>
  <c r="F148" i="13" s="1"/>
  <c r="J16" i="22"/>
  <c r="F95" i="13" s="1"/>
  <c r="G133" i="13" s="1"/>
  <c r="I15" i="22"/>
  <c r="F75" i="13" s="1"/>
  <c r="F110" i="13" s="1"/>
  <c r="I14" i="22"/>
  <c r="I13" i="22"/>
  <c r="F93" i="13" s="1"/>
  <c r="I12" i="22"/>
  <c r="G54" i="13"/>
  <c r="G53" i="13"/>
  <c r="F135" i="13" l="1"/>
  <c r="F207" i="13"/>
  <c r="G207" i="13" s="1"/>
  <c r="I205" i="13" s="1"/>
  <c r="F257" i="13"/>
  <c r="G257" i="13" s="1"/>
  <c r="I255" i="13" s="1"/>
  <c r="F184" i="13"/>
  <c r="G184" i="13" s="1"/>
  <c r="I182" i="13" s="1"/>
  <c r="F160" i="13"/>
  <c r="G160" i="13" s="1"/>
  <c r="I158" i="13" s="1"/>
  <c r="F233" i="13"/>
  <c r="G233" i="13" s="1"/>
  <c r="I231" i="13" s="1"/>
  <c r="F280" i="13"/>
  <c r="G280" i="13" s="1"/>
  <c r="I278" i="13" s="1"/>
  <c r="G110" i="13"/>
  <c r="I108" i="13" s="1"/>
  <c r="F94" i="13"/>
  <c r="G179" i="13"/>
  <c r="F281" i="13"/>
  <c r="G281" i="13" s="1"/>
  <c r="G180" i="13"/>
  <c r="F282" i="13"/>
  <c r="G282" i="13" s="1"/>
  <c r="F151" i="13"/>
  <c r="F130" i="13"/>
  <c r="G130" i="13" s="1"/>
  <c r="F150" i="13"/>
  <c r="F174" i="13" s="1"/>
  <c r="F197" i="13" s="1"/>
  <c r="F129" i="13"/>
  <c r="G129" i="13" s="1"/>
  <c r="F149" i="13"/>
  <c r="G149" i="13" s="1"/>
  <c r="F128" i="13"/>
  <c r="G128" i="13" s="1"/>
  <c r="G95" i="13"/>
  <c r="F154" i="13"/>
  <c r="F178" i="13" s="1"/>
  <c r="F201" i="13" s="1"/>
  <c r="F78" i="13"/>
  <c r="G94" i="13"/>
  <c r="G93" i="13"/>
  <c r="I281" i="13" l="1"/>
  <c r="F131" i="13"/>
  <c r="G131" i="13" s="1"/>
  <c r="F208" i="13"/>
  <c r="G208" i="13" s="1"/>
  <c r="F132" i="13"/>
  <c r="F209" i="13"/>
  <c r="G209" i="13" s="1"/>
  <c r="F173" i="13"/>
  <c r="F196" i="13" s="1"/>
  <c r="G107" i="13"/>
  <c r="G132" i="13"/>
  <c r="G106" i="13"/>
  <c r="G197" i="13"/>
  <c r="F223" i="13"/>
  <c r="F247" i="13" s="1"/>
  <c r="G201" i="13"/>
  <c r="F227" i="13"/>
  <c r="F251" i="13" s="1"/>
  <c r="G148" i="13"/>
  <c r="F172" i="13"/>
  <c r="F221" i="13" s="1"/>
  <c r="G221" i="13" s="1"/>
  <c r="G150" i="13"/>
  <c r="G154" i="13"/>
  <c r="M38" i="6"/>
  <c r="N38" i="6" s="1"/>
  <c r="M37" i="6"/>
  <c r="N37" i="6" s="1"/>
  <c r="M36" i="6"/>
  <c r="N36" i="6" s="1"/>
  <c r="G18" i="6"/>
  <c r="G17" i="6"/>
  <c r="G15" i="6"/>
  <c r="G13" i="6"/>
  <c r="G12" i="6"/>
  <c r="G10" i="6"/>
  <c r="M31" i="6"/>
  <c r="N31" i="6" s="1"/>
  <c r="G173" i="13" l="1"/>
  <c r="I208" i="13"/>
  <c r="G251" i="13"/>
  <c r="F274" i="13"/>
  <c r="G274" i="13" s="1"/>
  <c r="F270" i="13"/>
  <c r="G270" i="13" s="1"/>
  <c r="G247" i="13"/>
  <c r="G227" i="13"/>
  <c r="G223" i="13"/>
  <c r="F245" i="13"/>
  <c r="G196" i="13"/>
  <c r="F222" i="13"/>
  <c r="F246" i="13" s="1"/>
  <c r="F269" i="13" s="1"/>
  <c r="G269" i="13" s="1"/>
  <c r="O19" i="13"/>
  <c r="F72" i="13" s="1"/>
  <c r="G72" i="13" s="1"/>
  <c r="G246" i="13" l="1"/>
  <c r="G222" i="13"/>
  <c r="E19" i="6"/>
  <c r="I19" i="6" s="1"/>
  <c r="J71" i="6"/>
  <c r="F77" i="6"/>
  <c r="E77" i="6"/>
  <c r="F76" i="6"/>
  <c r="E76" i="6"/>
  <c r="F74" i="6"/>
  <c r="E74" i="6"/>
  <c r="F73" i="6"/>
  <c r="E73" i="6"/>
  <c r="F75" i="6"/>
  <c r="E75" i="6"/>
  <c r="F72" i="6"/>
  <c r="E72" i="6"/>
  <c r="K88" i="6"/>
  <c r="K89" i="6"/>
  <c r="K90" i="6"/>
  <c r="K87" i="6"/>
  <c r="H88" i="6"/>
  <c r="H89" i="6"/>
  <c r="H90" i="6"/>
  <c r="H87" i="6"/>
  <c r="J88" i="6"/>
  <c r="I88" i="6" s="1"/>
  <c r="J89" i="6"/>
  <c r="J90" i="6"/>
  <c r="I90" i="6" s="1"/>
  <c r="J87" i="6"/>
  <c r="I87" i="6" s="1"/>
  <c r="G88" i="6"/>
  <c r="F88" i="6" s="1"/>
  <c r="G89" i="6"/>
  <c r="F89" i="6" s="1"/>
  <c r="G90" i="6"/>
  <c r="F90" i="6" s="1"/>
  <c r="G87" i="6"/>
  <c r="F87" i="6" s="1"/>
  <c r="I77" i="6" l="1"/>
  <c r="I74" i="6"/>
  <c r="M19" i="6"/>
  <c r="N19" i="6" s="1"/>
  <c r="H74" i="6"/>
  <c r="E13" i="6" s="1"/>
  <c r="I13" i="6" s="1"/>
  <c r="I73" i="6"/>
  <c r="H77" i="6"/>
  <c r="E18" i="6" s="1"/>
  <c r="I18" i="6" s="1"/>
  <c r="I76" i="6"/>
  <c r="I72" i="6"/>
  <c r="H72" i="6"/>
  <c r="E10" i="6" s="1"/>
  <c r="I10" i="6" s="1"/>
  <c r="I89" i="6"/>
  <c r="I75" i="6" s="1"/>
  <c r="H76" i="6"/>
  <c r="E17" i="6" s="1"/>
  <c r="I17" i="6" s="1"/>
  <c r="H73" i="6"/>
  <c r="E12" i="6" s="1"/>
  <c r="I12" i="6" s="1"/>
  <c r="F71" i="6"/>
  <c r="I71" i="6" s="1"/>
  <c r="E71" i="6"/>
  <c r="H71" i="6" s="1"/>
  <c r="E9" i="6" s="1"/>
  <c r="I9" i="6" s="1"/>
  <c r="L1010" i="20"/>
  <c r="K1010" i="20"/>
  <c r="L1009" i="20"/>
  <c r="K1009" i="20"/>
  <c r="L1008" i="20"/>
  <c r="K1008" i="20"/>
  <c r="L1007" i="20"/>
  <c r="K1007" i="20"/>
  <c r="L1006" i="20"/>
  <c r="K1006" i="20"/>
  <c r="L1005" i="20"/>
  <c r="K1005" i="20"/>
  <c r="L1004" i="20"/>
  <c r="K1004" i="20"/>
  <c r="L1003" i="20"/>
  <c r="K1003" i="20"/>
  <c r="L1002" i="20"/>
  <c r="K1002" i="20"/>
  <c r="L1001" i="20"/>
  <c r="K1001" i="20"/>
  <c r="L1000" i="20"/>
  <c r="K1000" i="20"/>
  <c r="L999" i="20"/>
  <c r="K999" i="20"/>
  <c r="L998" i="20"/>
  <c r="K998" i="20"/>
  <c r="L997" i="20"/>
  <c r="K997" i="20"/>
  <c r="L996" i="20"/>
  <c r="K996" i="20"/>
  <c r="L995" i="20"/>
  <c r="K995" i="20"/>
  <c r="L994" i="20"/>
  <c r="K994" i="20"/>
  <c r="L993" i="20"/>
  <c r="K993" i="20"/>
  <c r="L992" i="20"/>
  <c r="K992" i="20"/>
  <c r="L991" i="20"/>
  <c r="K991" i="20"/>
  <c r="L990" i="20"/>
  <c r="K990" i="20"/>
  <c r="L989" i="20"/>
  <c r="K989" i="20"/>
  <c r="L988" i="20"/>
  <c r="K988" i="20"/>
  <c r="L987" i="20"/>
  <c r="K987" i="20"/>
  <c r="L986" i="20"/>
  <c r="K986" i="20"/>
  <c r="L985" i="20"/>
  <c r="K985" i="20"/>
  <c r="L984" i="20"/>
  <c r="K984" i="20"/>
  <c r="L983" i="20"/>
  <c r="K983" i="20"/>
  <c r="L982" i="20"/>
  <c r="K982" i="20"/>
  <c r="L981" i="20"/>
  <c r="K981" i="20"/>
  <c r="L980" i="20"/>
  <c r="K980" i="20"/>
  <c r="L979" i="20"/>
  <c r="K979" i="20"/>
  <c r="L978" i="20"/>
  <c r="K978" i="20"/>
  <c r="L977" i="20"/>
  <c r="K977" i="20"/>
  <c r="L976" i="20"/>
  <c r="K976" i="20"/>
  <c r="L975" i="20"/>
  <c r="K975" i="20"/>
  <c r="L974" i="20"/>
  <c r="K974" i="20"/>
  <c r="L973" i="20"/>
  <c r="K973" i="20"/>
  <c r="L972" i="20"/>
  <c r="K972" i="20"/>
  <c r="L971" i="20"/>
  <c r="K971" i="20"/>
  <c r="L970" i="20"/>
  <c r="K970" i="20"/>
  <c r="L969" i="20"/>
  <c r="K969" i="20"/>
  <c r="L968" i="20"/>
  <c r="K968" i="20"/>
  <c r="L967" i="20"/>
  <c r="K967" i="20"/>
  <c r="L966" i="20"/>
  <c r="K966" i="20"/>
  <c r="L965" i="20"/>
  <c r="K965" i="20"/>
  <c r="L964" i="20"/>
  <c r="K964" i="20"/>
  <c r="L963" i="20"/>
  <c r="K963" i="20"/>
  <c r="L962" i="20"/>
  <c r="K962" i="20"/>
  <c r="L961" i="20"/>
  <c r="K961" i="20"/>
  <c r="L960" i="20"/>
  <c r="K960" i="20"/>
  <c r="L959" i="20"/>
  <c r="K959" i="20"/>
  <c r="L958" i="20"/>
  <c r="K958" i="20"/>
  <c r="L957" i="20"/>
  <c r="K957" i="20"/>
  <c r="L956" i="20"/>
  <c r="K956" i="20"/>
  <c r="L955" i="20"/>
  <c r="K955" i="20"/>
  <c r="L954" i="20"/>
  <c r="K954" i="20"/>
  <c r="L953" i="20"/>
  <c r="K953" i="20"/>
  <c r="L952" i="20"/>
  <c r="K952" i="20"/>
  <c r="L951" i="20"/>
  <c r="K951" i="20"/>
  <c r="L950" i="20"/>
  <c r="K950" i="20"/>
  <c r="L949" i="20"/>
  <c r="K949" i="20"/>
  <c r="L948" i="20"/>
  <c r="K948" i="20"/>
  <c r="L947" i="20"/>
  <c r="K947" i="20"/>
  <c r="L946" i="20"/>
  <c r="K946" i="20"/>
  <c r="L945" i="20"/>
  <c r="K945" i="20"/>
  <c r="L944" i="20"/>
  <c r="K944" i="20"/>
  <c r="L943" i="20"/>
  <c r="K943" i="20"/>
  <c r="L942" i="20"/>
  <c r="K942" i="20"/>
  <c r="L941" i="20"/>
  <c r="K941" i="20"/>
  <c r="L940" i="20"/>
  <c r="K940" i="20"/>
  <c r="L939" i="20"/>
  <c r="K939" i="20"/>
  <c r="L938" i="20"/>
  <c r="K938" i="20"/>
  <c r="L937" i="20"/>
  <c r="K937" i="20"/>
  <c r="L936" i="20"/>
  <c r="K936" i="20"/>
  <c r="L935" i="20"/>
  <c r="K935" i="20"/>
  <c r="L934" i="20"/>
  <c r="K934" i="20"/>
  <c r="L933" i="20"/>
  <c r="K933" i="20"/>
  <c r="L932" i="20"/>
  <c r="K932" i="20"/>
  <c r="L931" i="20"/>
  <c r="K931" i="20"/>
  <c r="L930" i="20"/>
  <c r="K930" i="20"/>
  <c r="L929" i="20"/>
  <c r="K929" i="20"/>
  <c r="L928" i="20"/>
  <c r="K928" i="20"/>
  <c r="L927" i="20"/>
  <c r="K927" i="20"/>
  <c r="L926" i="20"/>
  <c r="K926" i="20"/>
  <c r="L925" i="20"/>
  <c r="K925" i="20"/>
  <c r="L924" i="20"/>
  <c r="K924" i="20"/>
  <c r="L923" i="20"/>
  <c r="K923" i="20"/>
  <c r="L922" i="20"/>
  <c r="K922" i="20"/>
  <c r="L921" i="20"/>
  <c r="K921" i="20"/>
  <c r="L920" i="20"/>
  <c r="K920" i="20"/>
  <c r="L919" i="20"/>
  <c r="K919" i="20"/>
  <c r="L918" i="20"/>
  <c r="K918" i="20"/>
  <c r="L917" i="20"/>
  <c r="K917" i="20"/>
  <c r="L916" i="20"/>
  <c r="K916" i="20"/>
  <c r="L915" i="20"/>
  <c r="K915" i="20"/>
  <c r="L914" i="20"/>
  <c r="K914" i="20"/>
  <c r="L913" i="20"/>
  <c r="K913" i="20"/>
  <c r="L912" i="20"/>
  <c r="K912" i="20"/>
  <c r="L911" i="20"/>
  <c r="K911" i="20"/>
  <c r="L910" i="20"/>
  <c r="K910" i="20"/>
  <c r="L909" i="20"/>
  <c r="K909" i="20"/>
  <c r="L908" i="20"/>
  <c r="K908" i="20"/>
  <c r="L907" i="20"/>
  <c r="K907" i="20"/>
  <c r="L906" i="20"/>
  <c r="K906" i="20"/>
  <c r="L905" i="20"/>
  <c r="K905" i="20"/>
  <c r="L904" i="20"/>
  <c r="K904" i="20"/>
  <c r="L903" i="20"/>
  <c r="K903" i="20"/>
  <c r="L902" i="20"/>
  <c r="K902" i="20"/>
  <c r="L901" i="20"/>
  <c r="K901" i="20"/>
  <c r="L900" i="20"/>
  <c r="K900" i="20"/>
  <c r="L899" i="20"/>
  <c r="K899" i="20"/>
  <c r="L898" i="20"/>
  <c r="K898" i="20"/>
  <c r="L897" i="20"/>
  <c r="K897" i="20"/>
  <c r="L896" i="20"/>
  <c r="K896" i="20"/>
  <c r="L895" i="20"/>
  <c r="K895" i="20"/>
  <c r="L894" i="20"/>
  <c r="K894" i="20"/>
  <c r="L893" i="20"/>
  <c r="K893" i="20"/>
  <c r="L892" i="20"/>
  <c r="K892" i="20"/>
  <c r="L891" i="20"/>
  <c r="K891" i="20"/>
  <c r="L890" i="20"/>
  <c r="K890" i="20"/>
  <c r="L889" i="20"/>
  <c r="K889" i="20"/>
  <c r="L888" i="20"/>
  <c r="K888" i="20"/>
  <c r="L887" i="20"/>
  <c r="K887" i="20"/>
  <c r="L886" i="20"/>
  <c r="K886" i="20"/>
  <c r="L885" i="20"/>
  <c r="K885" i="20"/>
  <c r="L884" i="20"/>
  <c r="K884" i="20"/>
  <c r="L883" i="20"/>
  <c r="K883" i="20"/>
  <c r="L882" i="20"/>
  <c r="K882" i="20"/>
  <c r="L881" i="20"/>
  <c r="K881" i="20"/>
  <c r="L880" i="20"/>
  <c r="K880" i="20"/>
  <c r="L879" i="20"/>
  <c r="K879" i="20"/>
  <c r="L878" i="20"/>
  <c r="K878" i="20"/>
  <c r="L877" i="20"/>
  <c r="K877" i="20"/>
  <c r="L876" i="20"/>
  <c r="K876" i="20"/>
  <c r="L875" i="20"/>
  <c r="K875" i="20"/>
  <c r="L874" i="20"/>
  <c r="K874" i="20"/>
  <c r="L873" i="20"/>
  <c r="K873" i="20"/>
  <c r="L872" i="20"/>
  <c r="K872" i="20"/>
  <c r="L871" i="20"/>
  <c r="K871" i="20"/>
  <c r="L870" i="20"/>
  <c r="K870" i="20"/>
  <c r="L869" i="20"/>
  <c r="K869" i="20"/>
  <c r="L868" i="20"/>
  <c r="K868" i="20"/>
  <c r="L867" i="20"/>
  <c r="K867" i="20"/>
  <c r="L866" i="20"/>
  <c r="K866" i="20"/>
  <c r="L865" i="20"/>
  <c r="K865" i="20"/>
  <c r="L864" i="20"/>
  <c r="K864" i="20"/>
  <c r="L863" i="20"/>
  <c r="K863" i="20"/>
  <c r="L862" i="20"/>
  <c r="K862" i="20"/>
  <c r="L861" i="20"/>
  <c r="K861" i="20"/>
  <c r="L860" i="20"/>
  <c r="K860" i="20"/>
  <c r="L859" i="20"/>
  <c r="K859" i="20"/>
  <c r="L858" i="20"/>
  <c r="K858" i="20"/>
  <c r="L857" i="20"/>
  <c r="K857" i="20"/>
  <c r="L856" i="20"/>
  <c r="K856" i="20"/>
  <c r="L855" i="20"/>
  <c r="K855" i="20"/>
  <c r="L854" i="20"/>
  <c r="K854" i="20"/>
  <c r="L853" i="20"/>
  <c r="K853" i="20"/>
  <c r="L852" i="20"/>
  <c r="K852" i="20"/>
  <c r="L851" i="20"/>
  <c r="K851" i="20"/>
  <c r="L850" i="20"/>
  <c r="K850" i="20"/>
  <c r="L849" i="20"/>
  <c r="K849" i="20"/>
  <c r="L848" i="20"/>
  <c r="K848" i="20"/>
  <c r="L847" i="20"/>
  <c r="K847" i="20"/>
  <c r="L846" i="20"/>
  <c r="K846" i="20"/>
  <c r="L845" i="20"/>
  <c r="K845" i="20"/>
  <c r="L844" i="20"/>
  <c r="K844" i="20"/>
  <c r="L843" i="20"/>
  <c r="K843" i="20"/>
  <c r="L842" i="20"/>
  <c r="K842" i="20"/>
  <c r="L841" i="20"/>
  <c r="K841" i="20"/>
  <c r="L840" i="20"/>
  <c r="K840" i="20"/>
  <c r="L839" i="20"/>
  <c r="K839" i="20"/>
  <c r="L838" i="20"/>
  <c r="K838" i="20"/>
  <c r="L837" i="20"/>
  <c r="K837" i="20"/>
  <c r="L836" i="20"/>
  <c r="K836" i="20"/>
  <c r="L835" i="20"/>
  <c r="K835" i="20"/>
  <c r="L834" i="20"/>
  <c r="K834" i="20"/>
  <c r="L833" i="20"/>
  <c r="K833" i="20"/>
  <c r="L832" i="20"/>
  <c r="K832" i="20"/>
  <c r="L831" i="20"/>
  <c r="K831" i="20"/>
  <c r="L830" i="20"/>
  <c r="K830" i="20"/>
  <c r="L829" i="20"/>
  <c r="K829" i="20"/>
  <c r="L828" i="20"/>
  <c r="K828" i="20"/>
  <c r="L827" i="20"/>
  <c r="K827" i="20"/>
  <c r="L826" i="20"/>
  <c r="K826" i="20"/>
  <c r="L825" i="20"/>
  <c r="K825" i="20"/>
  <c r="L824" i="20"/>
  <c r="K824" i="20"/>
  <c r="L823" i="20"/>
  <c r="K823" i="20"/>
  <c r="L822" i="20"/>
  <c r="K822" i="20"/>
  <c r="L821" i="20"/>
  <c r="K821" i="20"/>
  <c r="L820" i="20"/>
  <c r="K820" i="20"/>
  <c r="L819" i="20"/>
  <c r="K819" i="20"/>
  <c r="L818" i="20"/>
  <c r="K818" i="20"/>
  <c r="L817" i="20"/>
  <c r="K817" i="20"/>
  <c r="L816" i="20"/>
  <c r="K816" i="20"/>
  <c r="L815" i="20"/>
  <c r="K815" i="20"/>
  <c r="L814" i="20"/>
  <c r="K814" i="20"/>
  <c r="L813" i="20"/>
  <c r="K813" i="20"/>
  <c r="L812" i="20"/>
  <c r="K812" i="20"/>
  <c r="L811" i="20"/>
  <c r="K811" i="20"/>
  <c r="L810" i="20"/>
  <c r="K810" i="20"/>
  <c r="L809" i="20"/>
  <c r="K809" i="20"/>
  <c r="L808" i="20"/>
  <c r="K808" i="20"/>
  <c r="L807" i="20"/>
  <c r="K807" i="20"/>
  <c r="L806" i="20"/>
  <c r="K806" i="20"/>
  <c r="L805" i="20"/>
  <c r="K805" i="20"/>
  <c r="L804" i="20"/>
  <c r="K804" i="20"/>
  <c r="L803" i="20"/>
  <c r="K803" i="20"/>
  <c r="L802" i="20"/>
  <c r="K802" i="20"/>
  <c r="L801" i="20"/>
  <c r="K801" i="20"/>
  <c r="L800" i="20"/>
  <c r="K800" i="20"/>
  <c r="L799" i="20"/>
  <c r="K799" i="20"/>
  <c r="L798" i="20"/>
  <c r="K798" i="20"/>
  <c r="L797" i="20"/>
  <c r="K797" i="20"/>
  <c r="L796" i="20"/>
  <c r="K796" i="20"/>
  <c r="L795" i="20"/>
  <c r="K795" i="20"/>
  <c r="L794" i="20"/>
  <c r="K794" i="20"/>
  <c r="L793" i="20"/>
  <c r="K793" i="20"/>
  <c r="L792" i="20"/>
  <c r="K792" i="20"/>
  <c r="L791" i="20"/>
  <c r="K791" i="20"/>
  <c r="L790" i="20"/>
  <c r="K790" i="20"/>
  <c r="L789" i="20"/>
  <c r="K789" i="20"/>
  <c r="L788" i="20"/>
  <c r="K788" i="20"/>
  <c r="L787" i="20"/>
  <c r="K787" i="20"/>
  <c r="L786" i="20"/>
  <c r="K786" i="20"/>
  <c r="L785" i="20"/>
  <c r="K785" i="20"/>
  <c r="L784" i="20"/>
  <c r="K784" i="20"/>
  <c r="L783" i="20"/>
  <c r="K783" i="20"/>
  <c r="L782" i="20"/>
  <c r="K782" i="20"/>
  <c r="L781" i="20"/>
  <c r="K781" i="20"/>
  <c r="L780" i="20"/>
  <c r="K780" i="20"/>
  <c r="L779" i="20"/>
  <c r="K779" i="20"/>
  <c r="L778" i="20"/>
  <c r="K778" i="20"/>
  <c r="L777" i="20"/>
  <c r="K777" i="20"/>
  <c r="L776" i="20"/>
  <c r="K776" i="20"/>
  <c r="L775" i="20"/>
  <c r="K775" i="20"/>
  <c r="L774" i="20"/>
  <c r="K774" i="20"/>
  <c r="L773" i="20"/>
  <c r="K773" i="20"/>
  <c r="L772" i="20"/>
  <c r="K772" i="20"/>
  <c r="L771" i="20"/>
  <c r="K771" i="20"/>
  <c r="L770" i="20"/>
  <c r="K770" i="20"/>
  <c r="L769" i="20"/>
  <c r="K769" i="20"/>
  <c r="L768" i="20"/>
  <c r="K768" i="20"/>
  <c r="L767" i="20"/>
  <c r="K767" i="20"/>
  <c r="L766" i="20"/>
  <c r="K766" i="20"/>
  <c r="L765" i="20"/>
  <c r="K765" i="20"/>
  <c r="L764" i="20"/>
  <c r="K764" i="20"/>
  <c r="L763" i="20"/>
  <c r="K763" i="20"/>
  <c r="L762" i="20"/>
  <c r="K762" i="20"/>
  <c r="L761" i="20"/>
  <c r="K761" i="20"/>
  <c r="L760" i="20"/>
  <c r="K760" i="20"/>
  <c r="L759" i="20"/>
  <c r="K759" i="20"/>
  <c r="L758" i="20"/>
  <c r="K758" i="20"/>
  <c r="L757" i="20"/>
  <c r="K757" i="20"/>
  <c r="L756" i="20"/>
  <c r="K756" i="20"/>
  <c r="L755" i="20"/>
  <c r="K755" i="20"/>
  <c r="L754" i="20"/>
  <c r="K754" i="20"/>
  <c r="L753" i="20"/>
  <c r="K753" i="20"/>
  <c r="L752" i="20"/>
  <c r="K752" i="20"/>
  <c r="L751" i="20"/>
  <c r="K751" i="20"/>
  <c r="L750" i="20"/>
  <c r="K750" i="20"/>
  <c r="L749" i="20"/>
  <c r="K749" i="20"/>
  <c r="L748" i="20"/>
  <c r="K748" i="20"/>
  <c r="L747" i="20"/>
  <c r="K747" i="20"/>
  <c r="L746" i="20"/>
  <c r="K746" i="20"/>
  <c r="L745" i="20"/>
  <c r="K745" i="20"/>
  <c r="L744" i="20"/>
  <c r="K744" i="20"/>
  <c r="L743" i="20"/>
  <c r="K743" i="20"/>
  <c r="L742" i="20"/>
  <c r="K742" i="20"/>
  <c r="L741" i="20"/>
  <c r="K741" i="20"/>
  <c r="L740" i="20"/>
  <c r="K740" i="20"/>
  <c r="L739" i="20"/>
  <c r="K739" i="20"/>
  <c r="L738" i="20"/>
  <c r="K738" i="20"/>
  <c r="L737" i="20"/>
  <c r="K737" i="20"/>
  <c r="L736" i="20"/>
  <c r="K736" i="20"/>
  <c r="L735" i="20"/>
  <c r="K735" i="20"/>
  <c r="L734" i="20"/>
  <c r="K734" i="20"/>
  <c r="L733" i="20"/>
  <c r="K733" i="20"/>
  <c r="L732" i="20"/>
  <c r="K732" i="20"/>
  <c r="L731" i="20"/>
  <c r="K731" i="20"/>
  <c r="L730" i="20"/>
  <c r="K730" i="20"/>
  <c r="L729" i="20"/>
  <c r="K729" i="20"/>
  <c r="L728" i="20"/>
  <c r="K728" i="20"/>
  <c r="L727" i="20"/>
  <c r="K727" i="20"/>
  <c r="L726" i="20"/>
  <c r="K726" i="20"/>
  <c r="L725" i="20"/>
  <c r="K725" i="20"/>
  <c r="L724" i="20"/>
  <c r="K724" i="20"/>
  <c r="L723" i="20"/>
  <c r="K723" i="20"/>
  <c r="L722" i="20"/>
  <c r="K722" i="20"/>
  <c r="L721" i="20"/>
  <c r="K721" i="20"/>
  <c r="L720" i="20"/>
  <c r="K720" i="20"/>
  <c r="L719" i="20"/>
  <c r="K719" i="20"/>
  <c r="L718" i="20"/>
  <c r="K718" i="20"/>
  <c r="L717" i="20"/>
  <c r="K717" i="20"/>
  <c r="L716" i="20"/>
  <c r="K716" i="20"/>
  <c r="L715" i="20"/>
  <c r="K715" i="20"/>
  <c r="L714" i="20"/>
  <c r="K714" i="20"/>
  <c r="L713" i="20"/>
  <c r="K713" i="20"/>
  <c r="L712" i="20"/>
  <c r="K712" i="20"/>
  <c r="L711" i="20"/>
  <c r="K711" i="20"/>
  <c r="L710" i="20"/>
  <c r="K710" i="20"/>
  <c r="L709" i="20"/>
  <c r="K709" i="20"/>
  <c r="L708" i="20"/>
  <c r="K708" i="20"/>
  <c r="L707" i="20"/>
  <c r="K707" i="20"/>
  <c r="L706" i="20"/>
  <c r="K706" i="20"/>
  <c r="L705" i="20"/>
  <c r="K705" i="20"/>
  <c r="L704" i="20"/>
  <c r="K704" i="20"/>
  <c r="L703" i="20"/>
  <c r="K703" i="20"/>
  <c r="L702" i="20"/>
  <c r="K702" i="20"/>
  <c r="L701" i="20"/>
  <c r="K701" i="20"/>
  <c r="L700" i="20"/>
  <c r="K700" i="20"/>
  <c r="L699" i="20"/>
  <c r="K699" i="20"/>
  <c r="L698" i="20"/>
  <c r="K698" i="20"/>
  <c r="L697" i="20"/>
  <c r="K697" i="20"/>
  <c r="L696" i="20"/>
  <c r="K696" i="20"/>
  <c r="L695" i="20"/>
  <c r="K695" i="20"/>
  <c r="L694" i="20"/>
  <c r="K694" i="20"/>
  <c r="L693" i="20"/>
  <c r="K693" i="20"/>
  <c r="L692" i="20"/>
  <c r="K692" i="20"/>
  <c r="L691" i="20"/>
  <c r="K691" i="20"/>
  <c r="L690" i="20"/>
  <c r="K690" i="20"/>
  <c r="L689" i="20"/>
  <c r="K689" i="20"/>
  <c r="L688" i="20"/>
  <c r="K688" i="20"/>
  <c r="L687" i="20"/>
  <c r="K687" i="20"/>
  <c r="L686" i="20"/>
  <c r="K686" i="20"/>
  <c r="L685" i="20"/>
  <c r="K685" i="20"/>
  <c r="L684" i="20"/>
  <c r="K684" i="20"/>
  <c r="L683" i="20"/>
  <c r="K683" i="20"/>
  <c r="L682" i="20"/>
  <c r="K682" i="20"/>
  <c r="L681" i="20"/>
  <c r="K681" i="20"/>
  <c r="L680" i="20"/>
  <c r="K680" i="20"/>
  <c r="L679" i="20"/>
  <c r="K679" i="20"/>
  <c r="L678" i="20"/>
  <c r="K678" i="20"/>
  <c r="L677" i="20"/>
  <c r="K677" i="20"/>
  <c r="L676" i="20"/>
  <c r="K676" i="20"/>
  <c r="L675" i="20"/>
  <c r="K675" i="20"/>
  <c r="L674" i="20"/>
  <c r="K674" i="20"/>
  <c r="L673" i="20"/>
  <c r="K673" i="20"/>
  <c r="L672" i="20"/>
  <c r="K672" i="20"/>
  <c r="L671" i="20"/>
  <c r="K671" i="20"/>
  <c r="L670" i="20"/>
  <c r="K670" i="20"/>
  <c r="L669" i="20"/>
  <c r="K669" i="20"/>
  <c r="L668" i="20"/>
  <c r="K668" i="20"/>
  <c r="L667" i="20"/>
  <c r="K667" i="20"/>
  <c r="L666" i="20"/>
  <c r="K666" i="20"/>
  <c r="L665" i="20"/>
  <c r="K665" i="20"/>
  <c r="L664" i="20"/>
  <c r="K664" i="20"/>
  <c r="L663" i="20"/>
  <c r="K663" i="20"/>
  <c r="L662" i="20"/>
  <c r="K662" i="20"/>
  <c r="L661" i="20"/>
  <c r="K661" i="20"/>
  <c r="L660" i="20"/>
  <c r="K660" i="20"/>
  <c r="L659" i="20"/>
  <c r="K659" i="20"/>
  <c r="L658" i="20"/>
  <c r="K658" i="20"/>
  <c r="L657" i="20"/>
  <c r="K657" i="20"/>
  <c r="L656" i="20"/>
  <c r="K656" i="20"/>
  <c r="L655" i="20"/>
  <c r="K655" i="20"/>
  <c r="L654" i="20"/>
  <c r="K654" i="20"/>
  <c r="L653" i="20"/>
  <c r="K653" i="20"/>
  <c r="L652" i="20"/>
  <c r="K652" i="20"/>
  <c r="L651" i="20"/>
  <c r="K651" i="20"/>
  <c r="L650" i="20"/>
  <c r="K650" i="20"/>
  <c r="L649" i="20"/>
  <c r="K649" i="20"/>
  <c r="L648" i="20"/>
  <c r="K648" i="20"/>
  <c r="L647" i="20"/>
  <c r="K647" i="20"/>
  <c r="L646" i="20"/>
  <c r="K646" i="20"/>
  <c r="L645" i="20"/>
  <c r="K645" i="20"/>
  <c r="L644" i="20"/>
  <c r="K644" i="20"/>
  <c r="L643" i="20"/>
  <c r="K643" i="20"/>
  <c r="L642" i="20"/>
  <c r="K642" i="20"/>
  <c r="L641" i="20"/>
  <c r="K641" i="20"/>
  <c r="L640" i="20"/>
  <c r="K640" i="20"/>
  <c r="L639" i="20"/>
  <c r="K639" i="20"/>
  <c r="L638" i="20"/>
  <c r="K638" i="20"/>
  <c r="L637" i="20"/>
  <c r="K637" i="20"/>
  <c r="L636" i="20"/>
  <c r="K636" i="20"/>
  <c r="L635" i="20"/>
  <c r="K635" i="20"/>
  <c r="L634" i="20"/>
  <c r="K634" i="20"/>
  <c r="L633" i="20"/>
  <c r="K633" i="20"/>
  <c r="L632" i="20"/>
  <c r="K632" i="20"/>
  <c r="L631" i="20"/>
  <c r="K631" i="20"/>
  <c r="L630" i="20"/>
  <c r="K630" i="20"/>
  <c r="L629" i="20"/>
  <c r="K629" i="20"/>
  <c r="L628" i="20"/>
  <c r="K628" i="20"/>
  <c r="L627" i="20"/>
  <c r="K627" i="20"/>
  <c r="L626" i="20"/>
  <c r="K626" i="20"/>
  <c r="L625" i="20"/>
  <c r="K625" i="20"/>
  <c r="L624" i="20"/>
  <c r="K624" i="20"/>
  <c r="L623" i="20"/>
  <c r="K623" i="20"/>
  <c r="L622" i="20"/>
  <c r="K622" i="20"/>
  <c r="L621" i="20"/>
  <c r="K621" i="20"/>
  <c r="L620" i="20"/>
  <c r="K620" i="20"/>
  <c r="L619" i="20"/>
  <c r="K619" i="20"/>
  <c r="L618" i="20"/>
  <c r="K618" i="20"/>
  <c r="L617" i="20"/>
  <c r="K617" i="20"/>
  <c r="L616" i="20"/>
  <c r="K616" i="20"/>
  <c r="L615" i="20"/>
  <c r="K615" i="20"/>
  <c r="L614" i="20"/>
  <c r="K614" i="20"/>
  <c r="L613" i="20"/>
  <c r="K613" i="20"/>
  <c r="L612" i="20"/>
  <c r="K612" i="20"/>
  <c r="L611" i="20"/>
  <c r="K611" i="20"/>
  <c r="L610" i="20"/>
  <c r="K610" i="20"/>
  <c r="L609" i="20"/>
  <c r="K609" i="20"/>
  <c r="L608" i="20"/>
  <c r="K608" i="20"/>
  <c r="L607" i="20"/>
  <c r="K607" i="20"/>
  <c r="L606" i="20"/>
  <c r="K606" i="20"/>
  <c r="L605" i="20"/>
  <c r="K605" i="20"/>
  <c r="L604" i="20"/>
  <c r="K604" i="20"/>
  <c r="L603" i="20"/>
  <c r="K603" i="20"/>
  <c r="L602" i="20"/>
  <c r="K602" i="20"/>
  <c r="L601" i="20"/>
  <c r="K601" i="20"/>
  <c r="L600" i="20"/>
  <c r="K600" i="20"/>
  <c r="L599" i="20"/>
  <c r="K599" i="20"/>
  <c r="L598" i="20"/>
  <c r="K598" i="20"/>
  <c r="L597" i="20"/>
  <c r="K597" i="20"/>
  <c r="L596" i="20"/>
  <c r="K596" i="20"/>
  <c r="L595" i="20"/>
  <c r="K595" i="20"/>
  <c r="L594" i="20"/>
  <c r="K594" i="20"/>
  <c r="L593" i="20"/>
  <c r="K593" i="20"/>
  <c r="L592" i="20"/>
  <c r="K592" i="20"/>
  <c r="L591" i="20"/>
  <c r="K591" i="20"/>
  <c r="L590" i="20"/>
  <c r="K590" i="20"/>
  <c r="L589" i="20"/>
  <c r="K589" i="20"/>
  <c r="L588" i="20"/>
  <c r="K588" i="20"/>
  <c r="L587" i="20"/>
  <c r="K587" i="20"/>
  <c r="L586" i="20"/>
  <c r="K586" i="20"/>
  <c r="L585" i="20"/>
  <c r="K585" i="20"/>
  <c r="L584" i="20"/>
  <c r="K584" i="20"/>
  <c r="L583" i="20"/>
  <c r="K583" i="20"/>
  <c r="L582" i="20"/>
  <c r="K582" i="20"/>
  <c r="L581" i="20"/>
  <c r="K581" i="20"/>
  <c r="L580" i="20"/>
  <c r="K580" i="20"/>
  <c r="L579" i="20"/>
  <c r="K579" i="20"/>
  <c r="L578" i="20"/>
  <c r="K578" i="20"/>
  <c r="L577" i="20"/>
  <c r="K577" i="20"/>
  <c r="L576" i="20"/>
  <c r="K576" i="20"/>
  <c r="L575" i="20"/>
  <c r="K575" i="20"/>
  <c r="L574" i="20"/>
  <c r="K574" i="20"/>
  <c r="L573" i="20"/>
  <c r="K573" i="20"/>
  <c r="L572" i="20"/>
  <c r="K572" i="20"/>
  <c r="L571" i="20"/>
  <c r="K571" i="20"/>
  <c r="L570" i="20"/>
  <c r="K570" i="20"/>
  <c r="L569" i="20"/>
  <c r="K569" i="20"/>
  <c r="L568" i="20"/>
  <c r="K568" i="20"/>
  <c r="L567" i="20"/>
  <c r="K567" i="20"/>
  <c r="L566" i="20"/>
  <c r="K566" i="20"/>
  <c r="L565" i="20"/>
  <c r="K565" i="20"/>
  <c r="L564" i="20"/>
  <c r="K564" i="20"/>
  <c r="L563" i="20"/>
  <c r="K563" i="20"/>
  <c r="L562" i="20"/>
  <c r="K562" i="20"/>
  <c r="L561" i="20"/>
  <c r="K561" i="20"/>
  <c r="L560" i="20"/>
  <c r="K560" i="20"/>
  <c r="L559" i="20"/>
  <c r="K559" i="20"/>
  <c r="L558" i="20"/>
  <c r="K558" i="20"/>
  <c r="L557" i="20"/>
  <c r="K557" i="20"/>
  <c r="L556" i="20"/>
  <c r="K556" i="20"/>
  <c r="L555" i="20"/>
  <c r="K555" i="20"/>
  <c r="L554" i="20"/>
  <c r="K554" i="20"/>
  <c r="L553" i="20"/>
  <c r="K553" i="20"/>
  <c r="L552" i="20"/>
  <c r="K552" i="20"/>
  <c r="L551" i="20"/>
  <c r="K551" i="20"/>
  <c r="L550" i="20"/>
  <c r="K550" i="20"/>
  <c r="L549" i="20"/>
  <c r="K549" i="20"/>
  <c r="L548" i="20"/>
  <c r="K548" i="20"/>
  <c r="L547" i="20"/>
  <c r="K547" i="20"/>
  <c r="L546" i="20"/>
  <c r="K546" i="20"/>
  <c r="L545" i="20"/>
  <c r="K545" i="20"/>
  <c r="L544" i="20"/>
  <c r="K544" i="20"/>
  <c r="L543" i="20"/>
  <c r="K543" i="20"/>
  <c r="L542" i="20"/>
  <c r="K542" i="20"/>
  <c r="L541" i="20"/>
  <c r="K541" i="20"/>
  <c r="L540" i="20"/>
  <c r="K540" i="20"/>
  <c r="L539" i="20"/>
  <c r="K539" i="20"/>
  <c r="L538" i="20"/>
  <c r="K538" i="20"/>
  <c r="L537" i="20"/>
  <c r="K537" i="20"/>
  <c r="L536" i="20"/>
  <c r="K536" i="20"/>
  <c r="L535" i="20"/>
  <c r="K535" i="20"/>
  <c r="L534" i="20"/>
  <c r="K534" i="20"/>
  <c r="L533" i="20"/>
  <c r="K533" i="20"/>
  <c r="L532" i="20"/>
  <c r="K532" i="20"/>
  <c r="L531" i="20"/>
  <c r="K531" i="20"/>
  <c r="L530" i="20"/>
  <c r="K530" i="20"/>
  <c r="L529" i="20"/>
  <c r="K529" i="20"/>
  <c r="L528" i="20"/>
  <c r="K528" i="20"/>
  <c r="L527" i="20"/>
  <c r="K527" i="20"/>
  <c r="L526" i="20"/>
  <c r="K526" i="20"/>
  <c r="L525" i="20"/>
  <c r="K525" i="20"/>
  <c r="L524" i="20"/>
  <c r="K524" i="20"/>
  <c r="L523" i="20"/>
  <c r="K523" i="20"/>
  <c r="L522" i="20"/>
  <c r="K522" i="20"/>
  <c r="L521" i="20"/>
  <c r="K521" i="20"/>
  <c r="L520" i="20"/>
  <c r="K520" i="20"/>
  <c r="L519" i="20"/>
  <c r="K519" i="20"/>
  <c r="L518" i="20"/>
  <c r="K518" i="20"/>
  <c r="L517" i="20"/>
  <c r="K517" i="20"/>
  <c r="L516" i="20"/>
  <c r="K516" i="20"/>
  <c r="L515" i="20"/>
  <c r="K515" i="20"/>
  <c r="L514" i="20"/>
  <c r="K514" i="20"/>
  <c r="L513" i="20"/>
  <c r="K513" i="20"/>
  <c r="L512" i="20"/>
  <c r="K512" i="20"/>
  <c r="L511" i="20"/>
  <c r="K511" i="20"/>
  <c r="L510" i="20"/>
  <c r="K510" i="20"/>
  <c r="L509" i="20"/>
  <c r="K509" i="20"/>
  <c r="L508" i="20"/>
  <c r="K508" i="20"/>
  <c r="L507" i="20"/>
  <c r="K507" i="20"/>
  <c r="L506" i="20"/>
  <c r="K506" i="20"/>
  <c r="L505" i="20"/>
  <c r="K505" i="20"/>
  <c r="L504" i="20"/>
  <c r="K504" i="20"/>
  <c r="L503" i="20"/>
  <c r="K503" i="20"/>
  <c r="L502" i="20"/>
  <c r="K502" i="20"/>
  <c r="L501" i="20"/>
  <c r="K501" i="20"/>
  <c r="L500" i="20"/>
  <c r="K500" i="20"/>
  <c r="L499" i="20"/>
  <c r="K499" i="20"/>
  <c r="L498" i="20"/>
  <c r="K498" i="20"/>
  <c r="L497" i="20"/>
  <c r="K497" i="20"/>
  <c r="L496" i="20"/>
  <c r="K496" i="20"/>
  <c r="L495" i="20"/>
  <c r="K495" i="20"/>
  <c r="L494" i="20"/>
  <c r="K494" i="20"/>
  <c r="L493" i="20"/>
  <c r="K493" i="20"/>
  <c r="L492" i="20"/>
  <c r="K492" i="20"/>
  <c r="L491" i="20"/>
  <c r="K491" i="20"/>
  <c r="L490" i="20"/>
  <c r="K490" i="20"/>
  <c r="L489" i="20"/>
  <c r="K489" i="20"/>
  <c r="L488" i="20"/>
  <c r="K488" i="20"/>
  <c r="L487" i="20"/>
  <c r="K487" i="20"/>
  <c r="L486" i="20"/>
  <c r="K486" i="20"/>
  <c r="L485" i="20"/>
  <c r="K485" i="20"/>
  <c r="L484" i="20"/>
  <c r="K484" i="20"/>
  <c r="L483" i="20"/>
  <c r="K483" i="20"/>
  <c r="L482" i="20"/>
  <c r="K482" i="20"/>
  <c r="L481" i="20"/>
  <c r="K481" i="20"/>
  <c r="L480" i="20"/>
  <c r="K480" i="20"/>
  <c r="L479" i="20"/>
  <c r="K479" i="20"/>
  <c r="L478" i="20"/>
  <c r="K478" i="20"/>
  <c r="L477" i="20"/>
  <c r="K477" i="20"/>
  <c r="L476" i="20"/>
  <c r="K476" i="20"/>
  <c r="L475" i="20"/>
  <c r="K475" i="20"/>
  <c r="L474" i="20"/>
  <c r="K474" i="20"/>
  <c r="L473" i="20"/>
  <c r="K473" i="20"/>
  <c r="L472" i="20"/>
  <c r="K472" i="20"/>
  <c r="L471" i="20"/>
  <c r="K471" i="20"/>
  <c r="L470" i="20"/>
  <c r="K470" i="20"/>
  <c r="L469" i="20"/>
  <c r="K469" i="20"/>
  <c r="L468" i="20"/>
  <c r="K468" i="20"/>
  <c r="L467" i="20"/>
  <c r="K467" i="20"/>
  <c r="L466" i="20"/>
  <c r="K466" i="20"/>
  <c r="L465" i="20"/>
  <c r="K465" i="20"/>
  <c r="L464" i="20"/>
  <c r="K464" i="20"/>
  <c r="L463" i="20"/>
  <c r="K463" i="20"/>
  <c r="L462" i="20"/>
  <c r="K462" i="20"/>
  <c r="L461" i="20"/>
  <c r="K461" i="20"/>
  <c r="L460" i="20"/>
  <c r="K460" i="20"/>
  <c r="L459" i="20"/>
  <c r="K459" i="20"/>
  <c r="L458" i="20"/>
  <c r="K458" i="20"/>
  <c r="L457" i="20"/>
  <c r="K457" i="20"/>
  <c r="L456" i="20"/>
  <c r="K456" i="20"/>
  <c r="L455" i="20"/>
  <c r="K455" i="20"/>
  <c r="L454" i="20"/>
  <c r="K454" i="20"/>
  <c r="L453" i="20"/>
  <c r="K453" i="20"/>
  <c r="L452" i="20"/>
  <c r="K452" i="20"/>
  <c r="L451" i="20"/>
  <c r="K451" i="20"/>
  <c r="L450" i="20"/>
  <c r="K450" i="20"/>
  <c r="L449" i="20"/>
  <c r="K449" i="20"/>
  <c r="L448" i="20"/>
  <c r="K448" i="20"/>
  <c r="L447" i="20"/>
  <c r="K447" i="20"/>
  <c r="L446" i="20"/>
  <c r="K446" i="20"/>
  <c r="L445" i="20"/>
  <c r="K445" i="20"/>
  <c r="L444" i="20"/>
  <c r="K444" i="20"/>
  <c r="L443" i="20"/>
  <c r="K443" i="20"/>
  <c r="L442" i="20"/>
  <c r="K442" i="20"/>
  <c r="L441" i="20"/>
  <c r="K441" i="20"/>
  <c r="L440" i="20"/>
  <c r="K440" i="20"/>
  <c r="L439" i="20"/>
  <c r="K439" i="20"/>
  <c r="L438" i="20"/>
  <c r="K438" i="20"/>
  <c r="L437" i="20"/>
  <c r="K437" i="20"/>
  <c r="L436" i="20"/>
  <c r="K436" i="20"/>
  <c r="L435" i="20"/>
  <c r="K435" i="20"/>
  <c r="L434" i="20"/>
  <c r="K434" i="20"/>
  <c r="L433" i="20"/>
  <c r="K433" i="20"/>
  <c r="L432" i="20"/>
  <c r="K432" i="20"/>
  <c r="L431" i="20"/>
  <c r="K431" i="20"/>
  <c r="L430" i="20"/>
  <c r="K430" i="20"/>
  <c r="L429" i="20"/>
  <c r="K429" i="20"/>
  <c r="L428" i="20"/>
  <c r="K428" i="20"/>
  <c r="L427" i="20"/>
  <c r="K427" i="20"/>
  <c r="L426" i="20"/>
  <c r="K426" i="20"/>
  <c r="L425" i="20"/>
  <c r="K425" i="20"/>
  <c r="L424" i="20"/>
  <c r="K424" i="20"/>
  <c r="L423" i="20"/>
  <c r="K423" i="20"/>
  <c r="L422" i="20"/>
  <c r="K422" i="20"/>
  <c r="L421" i="20"/>
  <c r="K421" i="20"/>
  <c r="L420" i="20"/>
  <c r="K420" i="20"/>
  <c r="L419" i="20"/>
  <c r="K419" i="20"/>
  <c r="L418" i="20"/>
  <c r="K418" i="20"/>
  <c r="L417" i="20"/>
  <c r="K417" i="20"/>
  <c r="L416" i="20"/>
  <c r="K416" i="20"/>
  <c r="L415" i="20"/>
  <c r="K415" i="20"/>
  <c r="L414" i="20"/>
  <c r="K414" i="20"/>
  <c r="L413" i="20"/>
  <c r="K413" i="20"/>
  <c r="L412" i="20"/>
  <c r="K412" i="20"/>
  <c r="L411" i="20"/>
  <c r="K411" i="20"/>
  <c r="L410" i="20"/>
  <c r="K410" i="20"/>
  <c r="L409" i="20"/>
  <c r="K409" i="20"/>
  <c r="L408" i="20"/>
  <c r="K408" i="20"/>
  <c r="L407" i="20"/>
  <c r="K407" i="20"/>
  <c r="L406" i="20"/>
  <c r="K406" i="20"/>
  <c r="L405" i="20"/>
  <c r="K405" i="20"/>
  <c r="L404" i="20"/>
  <c r="K404" i="20"/>
  <c r="L403" i="20"/>
  <c r="K403" i="20"/>
  <c r="L402" i="20"/>
  <c r="K402" i="20"/>
  <c r="L401" i="20"/>
  <c r="K401" i="20"/>
  <c r="L400" i="20"/>
  <c r="K400" i="20"/>
  <c r="L399" i="20"/>
  <c r="K399" i="20"/>
  <c r="L398" i="20"/>
  <c r="K398" i="20"/>
  <c r="L397" i="20"/>
  <c r="K397" i="20"/>
  <c r="L396" i="20"/>
  <c r="K396" i="20"/>
  <c r="L395" i="20"/>
  <c r="K395" i="20"/>
  <c r="L394" i="20"/>
  <c r="K394" i="20"/>
  <c r="L393" i="20"/>
  <c r="K393" i="20"/>
  <c r="L392" i="20"/>
  <c r="K392" i="20"/>
  <c r="L391" i="20"/>
  <c r="K391" i="20"/>
  <c r="L390" i="20"/>
  <c r="K390" i="20"/>
  <c r="L389" i="20"/>
  <c r="K389" i="20"/>
  <c r="L388" i="20"/>
  <c r="K388" i="20"/>
  <c r="L387" i="20"/>
  <c r="K387" i="20"/>
  <c r="L386" i="20"/>
  <c r="K386" i="20"/>
  <c r="L385" i="20"/>
  <c r="K385" i="20"/>
  <c r="L384" i="20"/>
  <c r="K384" i="20"/>
  <c r="L383" i="20"/>
  <c r="K383" i="20"/>
  <c r="L382" i="20"/>
  <c r="K382" i="20"/>
  <c r="L381" i="20"/>
  <c r="K381" i="20"/>
  <c r="L380" i="20"/>
  <c r="K380" i="20"/>
  <c r="L379" i="20"/>
  <c r="K379" i="20"/>
  <c r="L378" i="20"/>
  <c r="K378" i="20"/>
  <c r="L377" i="20"/>
  <c r="K377" i="20"/>
  <c r="L376" i="20"/>
  <c r="K376" i="20"/>
  <c r="L375" i="20"/>
  <c r="K375" i="20"/>
  <c r="L374" i="20"/>
  <c r="K374" i="20"/>
  <c r="L373" i="20"/>
  <c r="K373" i="20"/>
  <c r="L372" i="20"/>
  <c r="K372" i="20"/>
  <c r="L371" i="20"/>
  <c r="K371" i="20"/>
  <c r="L370" i="20"/>
  <c r="K370" i="20"/>
  <c r="L369" i="20"/>
  <c r="K369" i="20"/>
  <c r="L368" i="20"/>
  <c r="K368" i="20"/>
  <c r="L367" i="20"/>
  <c r="K367" i="20"/>
  <c r="L366" i="20"/>
  <c r="K366" i="20"/>
  <c r="L365" i="20"/>
  <c r="K365" i="20"/>
  <c r="L364" i="20"/>
  <c r="K364" i="20"/>
  <c r="L363" i="20"/>
  <c r="K363" i="20"/>
  <c r="L362" i="20"/>
  <c r="K362" i="20"/>
  <c r="L361" i="20"/>
  <c r="K361" i="20"/>
  <c r="L360" i="20"/>
  <c r="K360" i="20"/>
  <c r="L359" i="20"/>
  <c r="K359" i="20"/>
  <c r="L358" i="20"/>
  <c r="K358" i="20"/>
  <c r="L357" i="20"/>
  <c r="K357" i="20"/>
  <c r="L356" i="20"/>
  <c r="K356" i="20"/>
  <c r="L355" i="20"/>
  <c r="K355" i="20"/>
  <c r="L354" i="20"/>
  <c r="K354" i="20"/>
  <c r="L353" i="20"/>
  <c r="K353" i="20"/>
  <c r="L352" i="20"/>
  <c r="K352" i="20"/>
  <c r="L351" i="20"/>
  <c r="K351" i="20"/>
  <c r="L350" i="20"/>
  <c r="K350" i="20"/>
  <c r="L349" i="20"/>
  <c r="K349" i="20"/>
  <c r="L348" i="20"/>
  <c r="K348" i="20"/>
  <c r="L347" i="20"/>
  <c r="K347" i="20"/>
  <c r="L346" i="20"/>
  <c r="K346" i="20"/>
  <c r="L345" i="20"/>
  <c r="K345" i="20"/>
  <c r="L344" i="20"/>
  <c r="K344" i="20"/>
  <c r="L343" i="20"/>
  <c r="K343" i="20"/>
  <c r="L342" i="20"/>
  <c r="K342" i="20"/>
  <c r="L341" i="20"/>
  <c r="K341" i="20"/>
  <c r="L340" i="20"/>
  <c r="K340" i="20"/>
  <c r="L339" i="20"/>
  <c r="K339" i="20"/>
  <c r="L338" i="20"/>
  <c r="K338" i="20"/>
  <c r="L337" i="20"/>
  <c r="K337" i="20"/>
  <c r="L336" i="20"/>
  <c r="K336" i="20"/>
  <c r="L335" i="20"/>
  <c r="K335" i="20"/>
  <c r="L334" i="20"/>
  <c r="K334" i="20"/>
  <c r="L333" i="20"/>
  <c r="K333" i="20"/>
  <c r="L332" i="20"/>
  <c r="K332" i="20"/>
  <c r="L331" i="20"/>
  <c r="K331" i="20"/>
  <c r="L330" i="20"/>
  <c r="K330" i="20"/>
  <c r="L329" i="20"/>
  <c r="K329" i="20"/>
  <c r="L328" i="20"/>
  <c r="K328" i="20"/>
  <c r="L327" i="20"/>
  <c r="K327" i="20"/>
  <c r="L326" i="20"/>
  <c r="K326" i="20"/>
  <c r="L325" i="20"/>
  <c r="K325" i="20"/>
  <c r="L324" i="20"/>
  <c r="K324" i="20"/>
  <c r="L323" i="20"/>
  <c r="K323" i="20"/>
  <c r="L322" i="20"/>
  <c r="K322" i="20"/>
  <c r="L321" i="20"/>
  <c r="K321" i="20"/>
  <c r="L320" i="20"/>
  <c r="K320" i="20"/>
  <c r="L319" i="20"/>
  <c r="K319" i="20"/>
  <c r="L318" i="20"/>
  <c r="K318" i="20"/>
  <c r="L317" i="20"/>
  <c r="K317" i="20"/>
  <c r="L316" i="20"/>
  <c r="K316" i="20"/>
  <c r="L315" i="20"/>
  <c r="K315" i="20"/>
  <c r="L314" i="20"/>
  <c r="K314" i="20"/>
  <c r="L313" i="20"/>
  <c r="K313" i="20"/>
  <c r="L312" i="20"/>
  <c r="K312" i="20"/>
  <c r="L311" i="20"/>
  <c r="K311" i="20"/>
  <c r="L310" i="20"/>
  <c r="K310" i="20"/>
  <c r="L309" i="20"/>
  <c r="K309" i="20"/>
  <c r="L308" i="20"/>
  <c r="K308" i="20"/>
  <c r="L307" i="20"/>
  <c r="K307" i="20"/>
  <c r="L306" i="20"/>
  <c r="K306" i="20"/>
  <c r="L305" i="20"/>
  <c r="K305" i="20"/>
  <c r="L304" i="20"/>
  <c r="K304" i="20"/>
  <c r="L303" i="20"/>
  <c r="K303" i="20"/>
  <c r="L302" i="20"/>
  <c r="K302" i="20"/>
  <c r="L301" i="20"/>
  <c r="K301" i="20"/>
  <c r="L300" i="20"/>
  <c r="K300" i="20"/>
  <c r="L299" i="20"/>
  <c r="K299" i="20"/>
  <c r="L298" i="20"/>
  <c r="K298" i="20"/>
  <c r="L297" i="20"/>
  <c r="K297" i="20"/>
  <c r="L296" i="20"/>
  <c r="K296" i="20"/>
  <c r="L295" i="20"/>
  <c r="K295" i="20"/>
  <c r="L294" i="20"/>
  <c r="K294" i="20"/>
  <c r="L293" i="20"/>
  <c r="K293" i="20"/>
  <c r="L292" i="20"/>
  <c r="K292" i="20"/>
  <c r="L291" i="20"/>
  <c r="K291" i="20"/>
  <c r="L290" i="20"/>
  <c r="K290" i="20"/>
  <c r="L289" i="20"/>
  <c r="K289" i="20"/>
  <c r="L288" i="20"/>
  <c r="K288" i="20"/>
  <c r="L287" i="20"/>
  <c r="K287" i="20"/>
  <c r="L286" i="20"/>
  <c r="K286" i="20"/>
  <c r="L285" i="20"/>
  <c r="K285" i="20"/>
  <c r="L284" i="20"/>
  <c r="K284" i="20"/>
  <c r="L283" i="20"/>
  <c r="K283" i="20"/>
  <c r="L282" i="20"/>
  <c r="K282" i="20"/>
  <c r="L281" i="20"/>
  <c r="K281" i="20"/>
  <c r="L280" i="20"/>
  <c r="K280" i="20"/>
  <c r="L279" i="20"/>
  <c r="K279" i="20"/>
  <c r="L278" i="20"/>
  <c r="K278" i="20"/>
  <c r="L277" i="20"/>
  <c r="K277" i="20"/>
  <c r="L276" i="20"/>
  <c r="K276" i="20"/>
  <c r="L275" i="20"/>
  <c r="K275" i="20"/>
  <c r="L274" i="20"/>
  <c r="K274" i="20"/>
  <c r="L273" i="20"/>
  <c r="K273" i="20"/>
  <c r="L272" i="20"/>
  <c r="K272" i="20"/>
  <c r="L271" i="20"/>
  <c r="K271" i="20"/>
  <c r="L270" i="20"/>
  <c r="K270" i="20"/>
  <c r="L269" i="20"/>
  <c r="K269" i="20"/>
  <c r="L268" i="20"/>
  <c r="K268" i="20"/>
  <c r="L267" i="20"/>
  <c r="K267" i="20"/>
  <c r="L266" i="20"/>
  <c r="K266" i="20"/>
  <c r="L265" i="20"/>
  <c r="K265" i="20"/>
  <c r="L264" i="20"/>
  <c r="K264" i="20"/>
  <c r="L263" i="20"/>
  <c r="K263" i="20"/>
  <c r="L262" i="20"/>
  <c r="K262" i="20"/>
  <c r="L261" i="20"/>
  <c r="K261" i="20"/>
  <c r="L260" i="20"/>
  <c r="K260" i="20"/>
  <c r="L259" i="20"/>
  <c r="K259" i="20"/>
  <c r="L258" i="20"/>
  <c r="K258" i="20"/>
  <c r="L257" i="20"/>
  <c r="K257" i="20"/>
  <c r="L256" i="20"/>
  <c r="K256" i="20"/>
  <c r="L255" i="20"/>
  <c r="K255" i="20"/>
  <c r="L254" i="20"/>
  <c r="K254" i="20"/>
  <c r="L253" i="20"/>
  <c r="K253" i="20"/>
  <c r="L252" i="20"/>
  <c r="K252" i="20"/>
  <c r="L251" i="20"/>
  <c r="K251" i="20"/>
  <c r="L250" i="20"/>
  <c r="K250" i="20"/>
  <c r="L249" i="20"/>
  <c r="K249" i="20"/>
  <c r="L248" i="20"/>
  <c r="K248" i="20"/>
  <c r="L247" i="20"/>
  <c r="K247" i="20"/>
  <c r="L246" i="20"/>
  <c r="K246" i="20"/>
  <c r="L245" i="20"/>
  <c r="K245" i="20"/>
  <c r="L244" i="20"/>
  <c r="K244" i="20"/>
  <c r="L243" i="20"/>
  <c r="K243" i="20"/>
  <c r="L242" i="20"/>
  <c r="K242" i="20"/>
  <c r="L241" i="20"/>
  <c r="K241" i="20"/>
  <c r="L240" i="20"/>
  <c r="K240" i="20"/>
  <c r="L239" i="20"/>
  <c r="K239" i="20"/>
  <c r="L238" i="20"/>
  <c r="K238" i="20"/>
  <c r="L237" i="20"/>
  <c r="K237" i="20"/>
  <c r="L236" i="20"/>
  <c r="K236" i="20"/>
  <c r="L235" i="20"/>
  <c r="K235" i="20"/>
  <c r="L234" i="20"/>
  <c r="K234" i="20"/>
  <c r="L233" i="20"/>
  <c r="K233" i="20"/>
  <c r="L232" i="20"/>
  <c r="K232" i="20"/>
  <c r="L231" i="20"/>
  <c r="K231" i="20"/>
  <c r="L230" i="20"/>
  <c r="K230" i="20"/>
  <c r="L229" i="20"/>
  <c r="K229" i="20"/>
  <c r="L228" i="20"/>
  <c r="K228" i="20"/>
  <c r="L227" i="20"/>
  <c r="K227" i="20"/>
  <c r="L226" i="20"/>
  <c r="K226" i="20"/>
  <c r="L225" i="20"/>
  <c r="K225" i="20"/>
  <c r="L224" i="20"/>
  <c r="K224" i="20"/>
  <c r="L223" i="20"/>
  <c r="K223" i="20"/>
  <c r="L222" i="20"/>
  <c r="K222" i="20"/>
  <c r="L221" i="20"/>
  <c r="K221" i="20"/>
  <c r="L220" i="20"/>
  <c r="K220" i="20"/>
  <c r="L219" i="20"/>
  <c r="K219" i="20"/>
  <c r="L218" i="20"/>
  <c r="K218" i="20"/>
  <c r="L217" i="20"/>
  <c r="K217" i="20"/>
  <c r="L216" i="20"/>
  <c r="K216" i="20"/>
  <c r="L215" i="20"/>
  <c r="K215" i="20"/>
  <c r="L214" i="20"/>
  <c r="K214" i="20"/>
  <c r="L213" i="20"/>
  <c r="K213" i="20"/>
  <c r="L212" i="20"/>
  <c r="K212" i="20"/>
  <c r="L211" i="20"/>
  <c r="K211" i="20"/>
  <c r="L210" i="20"/>
  <c r="K210" i="20"/>
  <c r="L209" i="20"/>
  <c r="K209" i="20"/>
  <c r="L208" i="20"/>
  <c r="K208" i="20"/>
  <c r="L207" i="20"/>
  <c r="K207" i="20"/>
  <c r="L206" i="20"/>
  <c r="K206" i="20"/>
  <c r="L205" i="20"/>
  <c r="K205" i="20"/>
  <c r="L204" i="20"/>
  <c r="K204" i="20"/>
  <c r="L203" i="20"/>
  <c r="K203" i="20"/>
  <c r="L202" i="20"/>
  <c r="K202" i="20"/>
  <c r="L201" i="20"/>
  <c r="K201" i="20"/>
  <c r="L200" i="20"/>
  <c r="K200" i="20"/>
  <c r="L199" i="20"/>
  <c r="K199" i="20"/>
  <c r="L198" i="20"/>
  <c r="K198" i="20"/>
  <c r="L197" i="20"/>
  <c r="K197" i="20"/>
  <c r="L196" i="20"/>
  <c r="K196" i="20"/>
  <c r="L195" i="20"/>
  <c r="K195" i="20"/>
  <c r="L194" i="20"/>
  <c r="K194" i="20"/>
  <c r="L193" i="20"/>
  <c r="K193" i="20"/>
  <c r="L192" i="20"/>
  <c r="K192" i="20"/>
  <c r="L191" i="20"/>
  <c r="K191" i="20"/>
  <c r="L190" i="20"/>
  <c r="K190" i="20"/>
  <c r="L189" i="20"/>
  <c r="K189" i="20"/>
  <c r="L188" i="20"/>
  <c r="K188" i="20"/>
  <c r="L187" i="20"/>
  <c r="K187" i="20"/>
  <c r="L186" i="20"/>
  <c r="K186" i="20"/>
  <c r="L185" i="20"/>
  <c r="K185" i="20"/>
  <c r="L184" i="20"/>
  <c r="K184" i="20"/>
  <c r="L183" i="20"/>
  <c r="K183" i="20"/>
  <c r="L182" i="20"/>
  <c r="K182" i="20"/>
  <c r="L181" i="20"/>
  <c r="K181" i="20"/>
  <c r="L180" i="20"/>
  <c r="K180" i="20"/>
  <c r="L179" i="20"/>
  <c r="K179" i="20"/>
  <c r="L178" i="20"/>
  <c r="K178" i="20"/>
  <c r="L177" i="20"/>
  <c r="K177" i="20"/>
  <c r="L176" i="20"/>
  <c r="K176" i="20"/>
  <c r="L175" i="20"/>
  <c r="K175" i="20"/>
  <c r="L174" i="20"/>
  <c r="K174" i="20"/>
  <c r="L173" i="20"/>
  <c r="K173" i="20"/>
  <c r="L172" i="20"/>
  <c r="K172" i="20"/>
  <c r="L171" i="20"/>
  <c r="K171" i="20"/>
  <c r="L170" i="20"/>
  <c r="K170" i="20"/>
  <c r="L169" i="20"/>
  <c r="K169" i="20"/>
  <c r="L168" i="20"/>
  <c r="K168" i="20"/>
  <c r="L167" i="20"/>
  <c r="K167" i="20"/>
  <c r="L166" i="20"/>
  <c r="K166" i="20"/>
  <c r="L165" i="20"/>
  <c r="K165" i="20"/>
  <c r="L164" i="20"/>
  <c r="K164" i="20"/>
  <c r="L163" i="20"/>
  <c r="K163" i="20"/>
  <c r="L162" i="20"/>
  <c r="K162" i="20"/>
  <c r="L161" i="20"/>
  <c r="K161" i="20"/>
  <c r="L160" i="20"/>
  <c r="K160" i="20"/>
  <c r="L159" i="20"/>
  <c r="K159" i="20"/>
  <c r="L158" i="20"/>
  <c r="K158" i="20"/>
  <c r="L157" i="20"/>
  <c r="K157" i="20"/>
  <c r="L156" i="20"/>
  <c r="K156" i="20"/>
  <c r="L155" i="20"/>
  <c r="K155" i="20"/>
  <c r="L154" i="20"/>
  <c r="K154" i="20"/>
  <c r="L153" i="20"/>
  <c r="K153" i="20"/>
  <c r="L152" i="20"/>
  <c r="K152" i="20"/>
  <c r="L151" i="20"/>
  <c r="K151" i="20"/>
  <c r="L150" i="20"/>
  <c r="K150" i="20"/>
  <c r="L149" i="20"/>
  <c r="K149" i="20"/>
  <c r="L148" i="20"/>
  <c r="K148" i="20"/>
  <c r="L147" i="20"/>
  <c r="K147" i="20"/>
  <c r="L146" i="20"/>
  <c r="K146" i="20"/>
  <c r="L145" i="20"/>
  <c r="K145" i="20"/>
  <c r="L144" i="20"/>
  <c r="K144" i="20"/>
  <c r="L143" i="20"/>
  <c r="K143" i="20"/>
  <c r="L142" i="20"/>
  <c r="K142" i="20"/>
  <c r="L141" i="20"/>
  <c r="K141" i="20"/>
  <c r="L140" i="20"/>
  <c r="K140" i="20"/>
  <c r="L139" i="20"/>
  <c r="K139" i="20"/>
  <c r="L138" i="20"/>
  <c r="K138" i="20"/>
  <c r="L137" i="20"/>
  <c r="K137" i="20"/>
  <c r="L136" i="20"/>
  <c r="K136" i="20"/>
  <c r="L135" i="20"/>
  <c r="K135" i="20"/>
  <c r="L134" i="20"/>
  <c r="K134" i="20"/>
  <c r="L133" i="20"/>
  <c r="K133" i="20"/>
  <c r="L132" i="20"/>
  <c r="K132" i="20"/>
  <c r="L131" i="20"/>
  <c r="K131" i="20"/>
  <c r="L130" i="20"/>
  <c r="K130" i="20"/>
  <c r="L129" i="20"/>
  <c r="K129" i="20"/>
  <c r="L128" i="20"/>
  <c r="K128" i="20"/>
  <c r="L127" i="20"/>
  <c r="K127" i="20"/>
  <c r="L126" i="20"/>
  <c r="K126" i="20"/>
  <c r="L125" i="20"/>
  <c r="K125" i="20"/>
  <c r="L124" i="20"/>
  <c r="K124" i="20"/>
  <c r="L123" i="20"/>
  <c r="K123" i="20"/>
  <c r="L122" i="20"/>
  <c r="K122" i="20"/>
  <c r="L121" i="20"/>
  <c r="K121" i="20"/>
  <c r="L120" i="20"/>
  <c r="K120" i="20"/>
  <c r="L119" i="20"/>
  <c r="K119" i="20"/>
  <c r="L118" i="20"/>
  <c r="K118" i="20"/>
  <c r="L117" i="20"/>
  <c r="K117" i="20"/>
  <c r="L116" i="20"/>
  <c r="K116" i="20"/>
  <c r="L115" i="20"/>
  <c r="K115" i="20"/>
  <c r="L114" i="20"/>
  <c r="K114" i="20"/>
  <c r="L113" i="20"/>
  <c r="K113" i="20"/>
  <c r="L112" i="20"/>
  <c r="K112" i="20"/>
  <c r="L111" i="20"/>
  <c r="K111" i="20"/>
  <c r="L110" i="20"/>
  <c r="K110" i="20"/>
  <c r="L109" i="20"/>
  <c r="K109" i="20"/>
  <c r="L108" i="20"/>
  <c r="K108" i="20"/>
  <c r="L107" i="20"/>
  <c r="K107" i="20"/>
  <c r="L106" i="20"/>
  <c r="K106" i="20"/>
  <c r="L105" i="20"/>
  <c r="K105" i="20"/>
  <c r="L104" i="20"/>
  <c r="K104" i="20"/>
  <c r="L103" i="20"/>
  <c r="K103" i="20"/>
  <c r="L102" i="20"/>
  <c r="K102" i="20"/>
  <c r="L101" i="20"/>
  <c r="K101" i="20"/>
  <c r="L100" i="20"/>
  <c r="K100" i="20"/>
  <c r="L99" i="20"/>
  <c r="K99" i="20"/>
  <c r="L98" i="20"/>
  <c r="K98" i="20"/>
  <c r="L97" i="20"/>
  <c r="K97" i="20"/>
  <c r="L96" i="20"/>
  <c r="K96" i="20"/>
  <c r="L95" i="20"/>
  <c r="K95" i="20"/>
  <c r="L94" i="20"/>
  <c r="K94" i="20"/>
  <c r="L93" i="20"/>
  <c r="K93" i="20"/>
  <c r="L92" i="20"/>
  <c r="K92" i="20"/>
  <c r="L91" i="20"/>
  <c r="K91" i="20"/>
  <c r="L90" i="20"/>
  <c r="K90" i="20"/>
  <c r="L89" i="20"/>
  <c r="K89" i="20"/>
  <c r="L88" i="20"/>
  <c r="K88" i="20"/>
  <c r="L87" i="20"/>
  <c r="K87" i="20"/>
  <c r="L86" i="20"/>
  <c r="K86" i="20"/>
  <c r="L85" i="20"/>
  <c r="K85" i="20"/>
  <c r="L84" i="20"/>
  <c r="K84" i="20"/>
  <c r="L83" i="20"/>
  <c r="K83" i="20"/>
  <c r="L82" i="20"/>
  <c r="K82" i="20"/>
  <c r="L81" i="20"/>
  <c r="K81" i="20"/>
  <c r="L80" i="20"/>
  <c r="K80" i="20"/>
  <c r="L79" i="20"/>
  <c r="K79" i="20"/>
  <c r="L78" i="20"/>
  <c r="K78" i="20"/>
  <c r="L77" i="20"/>
  <c r="K77" i="20"/>
  <c r="L76" i="20"/>
  <c r="K76" i="20"/>
  <c r="L75" i="20"/>
  <c r="K75" i="20"/>
  <c r="L74" i="20"/>
  <c r="K74" i="20"/>
  <c r="L73" i="20"/>
  <c r="K73" i="20"/>
  <c r="L72" i="20"/>
  <c r="K72" i="20"/>
  <c r="L71" i="20"/>
  <c r="K71" i="20"/>
  <c r="L70" i="20"/>
  <c r="K70" i="20"/>
  <c r="L69" i="20"/>
  <c r="K69" i="20"/>
  <c r="L68" i="20"/>
  <c r="K68" i="20"/>
  <c r="L67" i="20"/>
  <c r="K67" i="20"/>
  <c r="L66" i="20"/>
  <c r="K66" i="20"/>
  <c r="L65" i="20"/>
  <c r="K65" i="20"/>
  <c r="L64" i="20"/>
  <c r="K64" i="20"/>
  <c r="L63" i="20"/>
  <c r="K63" i="20"/>
  <c r="L62" i="20"/>
  <c r="K62" i="20"/>
  <c r="L61" i="20"/>
  <c r="K61" i="20"/>
  <c r="L60" i="20"/>
  <c r="K60" i="20"/>
  <c r="L59" i="20"/>
  <c r="K59" i="20"/>
  <c r="L58" i="20"/>
  <c r="K58" i="20"/>
  <c r="L57" i="20"/>
  <c r="K57" i="20"/>
  <c r="L56" i="20"/>
  <c r="K56" i="20"/>
  <c r="L55" i="20"/>
  <c r="K55" i="20"/>
  <c r="L54" i="20"/>
  <c r="K54" i="20"/>
  <c r="L53" i="20"/>
  <c r="K53" i="20"/>
  <c r="L52" i="20"/>
  <c r="K52" i="20"/>
  <c r="L51" i="20"/>
  <c r="K51" i="20"/>
  <c r="L50" i="20"/>
  <c r="K50" i="20"/>
  <c r="L49" i="20"/>
  <c r="K49" i="20"/>
  <c r="L48" i="20"/>
  <c r="K48" i="20"/>
  <c r="L47" i="20"/>
  <c r="K47" i="20"/>
  <c r="L46" i="20"/>
  <c r="K46" i="20"/>
  <c r="L45" i="20"/>
  <c r="K45" i="20"/>
  <c r="L44" i="20"/>
  <c r="K44" i="20"/>
  <c r="L43" i="20"/>
  <c r="K43" i="20"/>
  <c r="L42" i="20"/>
  <c r="K42" i="20"/>
  <c r="L41" i="20"/>
  <c r="K41" i="20"/>
  <c r="L40" i="20"/>
  <c r="K40" i="20"/>
  <c r="L39" i="20"/>
  <c r="K39" i="20"/>
  <c r="L38" i="20"/>
  <c r="K38" i="20"/>
  <c r="L37" i="20"/>
  <c r="K37" i="20"/>
  <c r="L36" i="20"/>
  <c r="K36" i="20"/>
  <c r="L35" i="20"/>
  <c r="K35" i="20"/>
  <c r="L34" i="20"/>
  <c r="K34" i="20"/>
  <c r="L33" i="20"/>
  <c r="K33" i="20"/>
  <c r="L32" i="20"/>
  <c r="K32" i="20"/>
  <c r="L31" i="20"/>
  <c r="K31" i="20"/>
  <c r="L30" i="20"/>
  <c r="K30" i="20"/>
  <c r="L29" i="20"/>
  <c r="K29" i="20"/>
  <c r="L28" i="20"/>
  <c r="K28" i="20"/>
  <c r="L27" i="20"/>
  <c r="K27" i="20"/>
  <c r="L26" i="20"/>
  <c r="K26" i="20"/>
  <c r="L25" i="20"/>
  <c r="K25" i="20"/>
  <c r="L24" i="20"/>
  <c r="K24" i="20"/>
  <c r="L23" i="20"/>
  <c r="K23" i="20"/>
  <c r="L22" i="20"/>
  <c r="K22" i="20"/>
  <c r="L21" i="20"/>
  <c r="K21" i="20"/>
  <c r="L20" i="20"/>
  <c r="K20" i="20"/>
  <c r="L19" i="20"/>
  <c r="K19" i="20"/>
  <c r="L18" i="20"/>
  <c r="K18" i="20"/>
  <c r="L17" i="20"/>
  <c r="K17" i="20"/>
  <c r="L16" i="20"/>
  <c r="K16" i="20"/>
  <c r="L15" i="20"/>
  <c r="K15" i="20"/>
  <c r="L14" i="20"/>
  <c r="K14" i="20"/>
  <c r="L13" i="20"/>
  <c r="K13" i="20"/>
  <c r="L12" i="20"/>
  <c r="K12" i="20"/>
  <c r="L11" i="20"/>
  <c r="K11" i="20"/>
  <c r="I7" i="20"/>
  <c r="H7" i="20"/>
  <c r="G7" i="20"/>
  <c r="F7" i="20"/>
  <c r="E37" i="16" s="1"/>
  <c r="E7" i="20"/>
  <c r="E38" i="16" s="1"/>
  <c r="D7" i="20"/>
  <c r="F37" i="16" s="1"/>
  <c r="C7" i="20"/>
  <c r="F38" i="16" s="1"/>
  <c r="N18" i="6" l="1"/>
  <c r="M18" i="6"/>
  <c r="M12" i="6"/>
  <c r="N12" i="6"/>
  <c r="N13" i="6"/>
  <c r="M13" i="6"/>
  <c r="N17" i="6"/>
  <c r="M17" i="6"/>
  <c r="M10" i="6"/>
  <c r="N10" i="6"/>
  <c r="H75" i="6"/>
  <c r="E15" i="6" s="1"/>
  <c r="I15" i="6" s="1"/>
  <c r="N189" i="20"/>
  <c r="M333" i="20"/>
  <c r="M369" i="20"/>
  <c r="M625" i="20"/>
  <c r="M641" i="20"/>
  <c r="M645" i="20"/>
  <c r="N753" i="20"/>
  <c r="M765" i="20"/>
  <c r="M773" i="20"/>
  <c r="M781" i="20"/>
  <c r="M841" i="20"/>
  <c r="M881" i="20"/>
  <c r="M885" i="20"/>
  <c r="M889" i="20"/>
  <c r="M893" i="20"/>
  <c r="M905" i="20"/>
  <c r="M925" i="20"/>
  <c r="M929" i="20"/>
  <c r="M937" i="20"/>
  <c r="M957" i="20"/>
  <c r="M961" i="20"/>
  <c r="M969" i="20"/>
  <c r="M381" i="20"/>
  <c r="M973" i="20"/>
  <c r="M989" i="20"/>
  <c r="M997" i="20"/>
  <c r="M1005" i="20"/>
  <c r="M789" i="20"/>
  <c r="M1010" i="20"/>
  <c r="N17" i="20"/>
  <c r="M618" i="20"/>
  <c r="M626" i="20"/>
  <c r="M630" i="20"/>
  <c r="M634" i="20"/>
  <c r="M658" i="20"/>
  <c r="M662" i="20"/>
  <c r="M674" i="20"/>
  <c r="M706" i="20"/>
  <c r="M722" i="20"/>
  <c r="N762" i="20"/>
  <c r="N778" i="20"/>
  <c r="N806" i="20"/>
  <c r="M810" i="20"/>
  <c r="N826" i="20"/>
  <c r="M842" i="20"/>
  <c r="M858" i="20"/>
  <c r="M862" i="20"/>
  <c r="M874" i="20"/>
  <c r="M878" i="20"/>
  <c r="M898" i="20"/>
  <c r="M906" i="20"/>
  <c r="M1006" i="20"/>
  <c r="N477" i="20"/>
  <c r="N493" i="20"/>
  <c r="M505" i="20"/>
  <c r="M513" i="20"/>
  <c r="M521" i="20"/>
  <c r="M541" i="20"/>
  <c r="N549" i="20"/>
  <c r="M565" i="20"/>
  <c r="M581" i="20"/>
  <c r="M597" i="20"/>
  <c r="N26" i="20"/>
  <c r="M30" i="20"/>
  <c r="M34" i="20"/>
  <c r="M38" i="20"/>
  <c r="N50" i="20"/>
  <c r="M58" i="20"/>
  <c r="N66" i="20"/>
  <c r="N74" i="20"/>
  <c r="M24" i="20"/>
  <c r="M32" i="20"/>
  <c r="M48" i="20"/>
  <c r="M52" i="20"/>
  <c r="N60" i="20"/>
  <c r="M76" i="20"/>
  <c r="M148" i="20"/>
  <c r="M544" i="20"/>
  <c r="N548" i="20"/>
  <c r="M564" i="20"/>
  <c r="N511" i="20"/>
  <c r="M475" i="20"/>
  <c r="M499" i="20"/>
  <c r="N551" i="20"/>
  <c r="N479" i="20"/>
  <c r="N495" i="20"/>
  <c r="M483" i="20"/>
  <c r="N519" i="20"/>
  <c r="M685" i="20"/>
  <c r="N102" i="20"/>
  <c r="N114" i="20"/>
  <c r="N122" i="20"/>
  <c r="N154" i="20"/>
  <c r="N166" i="20"/>
  <c r="N170" i="20"/>
  <c r="N194" i="20"/>
  <c r="N210" i="20"/>
  <c r="N254" i="20"/>
  <c r="N270" i="20"/>
  <c r="N278" i="20"/>
  <c r="N286" i="20"/>
  <c r="N290" i="20"/>
  <c r="N306" i="20"/>
  <c r="N310" i="20"/>
  <c r="N482" i="20"/>
  <c r="N526" i="20"/>
  <c r="N566" i="20"/>
  <c r="M39" i="20"/>
  <c r="N59" i="20"/>
  <c r="M63" i="20"/>
  <c r="N67" i="20"/>
  <c r="N75" i="20"/>
  <c r="M79" i="20"/>
  <c r="N99" i="20"/>
  <c r="M151" i="20"/>
  <c r="N171" i="20"/>
  <c r="M175" i="20"/>
  <c r="N335" i="20"/>
  <c r="M339" i="20"/>
  <c r="N407" i="20"/>
  <c r="M411" i="20"/>
  <c r="M572" i="20"/>
  <c r="M676" i="20"/>
  <c r="M692" i="20"/>
  <c r="M764" i="20"/>
  <c r="M768" i="20"/>
  <c r="M900" i="20"/>
  <c r="M932" i="20"/>
  <c r="M936" i="20"/>
  <c r="M940" i="20"/>
  <c r="M944" i="20"/>
  <c r="M948" i="20"/>
  <c r="M956" i="20"/>
  <c r="M960" i="20"/>
  <c r="M964" i="20"/>
  <c r="M968" i="20"/>
  <c r="M972" i="20"/>
  <c r="M976" i="20"/>
  <c r="M980" i="20"/>
  <c r="M1000" i="20"/>
  <c r="M1004" i="20"/>
  <c r="M1008" i="20"/>
  <c r="N289" i="20"/>
  <c r="N293" i="20"/>
  <c r="N313" i="20"/>
  <c r="N325" i="20"/>
  <c r="N357" i="20"/>
  <c r="N377" i="20"/>
  <c r="N381" i="20"/>
  <c r="N405" i="20"/>
  <c r="M413" i="20"/>
  <c r="M429" i="20"/>
  <c r="M437" i="20"/>
  <c r="M653" i="20"/>
  <c r="N82" i="20"/>
  <c r="M190" i="20"/>
  <c r="M194" i="20"/>
  <c r="M358" i="20"/>
  <c r="N382" i="20"/>
  <c r="M390" i="20"/>
  <c r="M402" i="20"/>
  <c r="N406" i="20"/>
  <c r="M410" i="20"/>
  <c r="N414" i="20"/>
  <c r="M418" i="20"/>
  <c r="N422" i="20"/>
  <c r="N430" i="20"/>
  <c r="N438" i="20"/>
  <c r="M442" i="20"/>
  <c r="M450" i="20"/>
  <c r="M466" i="20"/>
  <c r="N470" i="20"/>
  <c r="M542" i="20"/>
  <c r="M554" i="20"/>
  <c r="M562" i="20"/>
  <c r="N570" i="20"/>
  <c r="M903" i="20"/>
  <c r="M907" i="20"/>
  <c r="M915" i="20"/>
  <c r="M919" i="20"/>
  <c r="M931" i="20"/>
  <c r="M939" i="20"/>
  <c r="M943" i="20"/>
  <c r="M1007" i="20"/>
  <c r="M604" i="20"/>
  <c r="M86" i="20"/>
  <c r="N178" i="20"/>
  <c r="N326" i="20"/>
  <c r="N530" i="20"/>
  <c r="N914" i="20"/>
  <c r="N954" i="20"/>
  <c r="N958" i="20"/>
  <c r="N112" i="20"/>
  <c r="N595" i="20"/>
  <c r="N148" i="20"/>
  <c r="N152" i="20"/>
  <c r="N160" i="20"/>
  <c r="N164" i="20"/>
  <c r="N168" i="20"/>
  <c r="N172" i="20"/>
  <c r="N176" i="20"/>
  <c r="N180" i="20"/>
  <c r="N184" i="20"/>
  <c r="N192" i="20"/>
  <c r="N196" i="20"/>
  <c r="N200" i="20"/>
  <c r="N216" i="20"/>
  <c r="N240" i="20"/>
  <c r="N252" i="20"/>
  <c r="N260" i="20"/>
  <c r="N264" i="20"/>
  <c r="N276" i="20"/>
  <c r="N316" i="20"/>
  <c r="N320" i="20"/>
  <c r="N328" i="20"/>
  <c r="N332" i="20"/>
  <c r="N336" i="20"/>
  <c r="N344" i="20"/>
  <c r="M488" i="20"/>
  <c r="N508" i="20"/>
  <c r="M512" i="20"/>
  <c r="N524" i="20"/>
  <c r="N96" i="20"/>
  <c r="N579" i="20"/>
  <c r="M703" i="20"/>
  <c r="N125" i="20"/>
  <c r="N213" i="20"/>
  <c r="N233" i="20"/>
  <c r="M249" i="20"/>
  <c r="M257" i="20"/>
  <c r="M305" i="20"/>
  <c r="N349" i="20"/>
  <c r="N836" i="20"/>
  <c r="N840" i="20"/>
  <c r="N860" i="20"/>
  <c r="N104" i="20"/>
  <c r="N567" i="20"/>
  <c r="N591" i="20"/>
  <c r="M202" i="20"/>
  <c r="M218" i="20"/>
  <c r="M230" i="20"/>
  <c r="N713" i="20"/>
  <c r="M717" i="20"/>
  <c r="N729" i="20"/>
  <c r="M733" i="20"/>
  <c r="N575" i="20"/>
  <c r="N603" i="20"/>
  <c r="N663" i="20"/>
  <c r="M11" i="20"/>
  <c r="N111" i="20"/>
  <c r="N127" i="20"/>
  <c r="M131" i="20"/>
  <c r="N135" i="20"/>
  <c r="M139" i="20"/>
  <c r="N186" i="20"/>
  <c r="N534" i="20"/>
  <c r="M930" i="20"/>
  <c r="M938" i="20"/>
  <c r="N108" i="20"/>
  <c r="M219" i="20"/>
  <c r="M223" i="20"/>
  <c r="M227" i="20"/>
  <c r="M235" i="20"/>
  <c r="N239" i="20"/>
  <c r="M243" i="20"/>
  <c r="N247" i="20"/>
  <c r="N259" i="20"/>
  <c r="N267" i="20"/>
  <c r="N271" i="20"/>
  <c r="N275" i="20"/>
  <c r="M287" i="20"/>
  <c r="N291" i="20"/>
  <c r="M303" i="20"/>
  <c r="M307" i="20"/>
  <c r="N315" i="20"/>
  <c r="M319" i="20"/>
  <c r="N323" i="20"/>
  <c r="N339" i="20"/>
  <c r="M359" i="20"/>
  <c r="M363" i="20"/>
  <c r="N375" i="20"/>
  <c r="M379" i="20"/>
  <c r="M391" i="20"/>
  <c r="N435" i="20"/>
  <c r="N531" i="20"/>
  <c r="M539" i="20"/>
  <c r="N563" i="20"/>
  <c r="N598" i="20"/>
  <c r="N602" i="20"/>
  <c r="N694" i="20"/>
  <c r="N818" i="20"/>
  <c r="N962" i="20"/>
  <c r="N90" i="20"/>
  <c r="M110" i="20"/>
  <c r="N157" i="20"/>
  <c r="N165" i="20"/>
  <c r="M285" i="20"/>
  <c r="N536" i="20"/>
  <c r="N596" i="20"/>
  <c r="N843" i="20"/>
  <c r="N851" i="20"/>
  <c r="N859" i="20"/>
  <c r="N863" i="20"/>
  <c r="N871" i="20"/>
  <c r="N883" i="20"/>
  <c r="N887" i="20"/>
  <c r="N895" i="20"/>
  <c r="N911" i="20"/>
  <c r="N919" i="20"/>
  <c r="N951" i="20"/>
  <c r="N959" i="20"/>
  <c r="N963" i="20"/>
  <c r="N983" i="20"/>
  <c r="N987" i="20"/>
  <c r="N991" i="20"/>
  <c r="M1003" i="20"/>
  <c r="N134" i="20"/>
  <c r="N146" i="20"/>
  <c r="M178" i="20"/>
  <c r="M461" i="20"/>
  <c r="N632" i="20"/>
  <c r="N720" i="20"/>
  <c r="N724" i="20"/>
  <c r="N728" i="20"/>
  <c r="N732" i="20"/>
  <c r="N736" i="20"/>
  <c r="N744" i="20"/>
  <c r="N804" i="20"/>
  <c r="N820" i="20"/>
  <c r="N824" i="20"/>
  <c r="M19" i="20"/>
  <c r="M27" i="20"/>
  <c r="N31" i="20"/>
  <c r="M35" i="20"/>
  <c r="N47" i="20"/>
  <c r="M75" i="20"/>
  <c r="N87" i="20"/>
  <c r="M206" i="20"/>
  <c r="M474" i="20"/>
  <c r="M482" i="20"/>
  <c r="M498" i="20"/>
  <c r="M506" i="20"/>
  <c r="M669" i="20"/>
  <c r="M673" i="20"/>
  <c r="N107" i="20"/>
  <c r="N115" i="20"/>
  <c r="M119" i="20"/>
  <c r="N131" i="20"/>
  <c r="N139" i="20"/>
  <c r="N159" i="20"/>
  <c r="M186" i="20"/>
  <c r="N214" i="20"/>
  <c r="N346" i="20"/>
  <c r="N466" i="20"/>
  <c r="N737" i="20"/>
  <c r="N84" i="20"/>
  <c r="N92" i="20"/>
  <c r="M108" i="20"/>
  <c r="N331" i="20"/>
  <c r="N451" i="20"/>
  <c r="M455" i="20"/>
  <c r="N459" i="20"/>
  <c r="N546" i="20"/>
  <c r="M678" i="20"/>
  <c r="M814" i="20"/>
  <c r="N949" i="20"/>
  <c r="N981" i="20"/>
  <c r="N16" i="20"/>
  <c r="N116" i="20"/>
  <c r="N120" i="20"/>
  <c r="N136" i="20"/>
  <c r="N140" i="20"/>
  <c r="N144" i="20"/>
  <c r="N195" i="20"/>
  <c r="N199" i="20"/>
  <c r="N211" i="20"/>
  <c r="N215" i="20"/>
  <c r="M347" i="20"/>
  <c r="N363" i="20"/>
  <c r="N610" i="20"/>
  <c r="N614" i="20"/>
  <c r="N698" i="20"/>
  <c r="N702" i="20"/>
  <c r="N718" i="20"/>
  <c r="N742" i="20"/>
  <c r="N790" i="20"/>
  <c r="M942" i="20"/>
  <c r="M946" i="20"/>
  <c r="M954" i="20"/>
  <c r="N21" i="20"/>
  <c r="M29" i="20"/>
  <c r="M45" i="20"/>
  <c r="M69" i="20"/>
  <c r="M93" i="20"/>
  <c r="N188" i="20"/>
  <c r="N220" i="20"/>
  <c r="M224" i="20"/>
  <c r="N228" i="20"/>
  <c r="M236" i="20"/>
  <c r="N284" i="20"/>
  <c r="M352" i="20"/>
  <c r="M356" i="20"/>
  <c r="M364" i="20"/>
  <c r="M368" i="20"/>
  <c r="M372" i="20"/>
  <c r="M376" i="20"/>
  <c r="M380" i="20"/>
  <c r="M384" i="20"/>
  <c r="M388" i="20"/>
  <c r="N392" i="20"/>
  <c r="N400" i="20"/>
  <c r="N408" i="20"/>
  <c r="M420" i="20"/>
  <c r="N424" i="20"/>
  <c r="M436" i="20"/>
  <c r="M452" i="20"/>
  <c r="N456" i="20"/>
  <c r="N464" i="20"/>
  <c r="N472" i="20"/>
  <c r="N559" i="20"/>
  <c r="M595" i="20"/>
  <c r="M603" i="20"/>
  <c r="M615" i="20"/>
  <c r="N631" i="20"/>
  <c r="M639" i="20"/>
  <c r="M643" i="20"/>
  <c r="M659" i="20"/>
  <c r="M663" i="20"/>
  <c r="M671" i="20"/>
  <c r="M675" i="20"/>
  <c r="M687" i="20"/>
  <c r="M739" i="20"/>
  <c r="M743" i="20"/>
  <c r="M755" i="20"/>
  <c r="M763" i="20"/>
  <c r="M779" i="20"/>
  <c r="M803" i="20"/>
  <c r="N922" i="20"/>
  <c r="N966" i="20"/>
  <c r="N974" i="20"/>
  <c r="N986" i="20"/>
  <c r="N990" i="20"/>
  <c r="N994" i="20"/>
  <c r="M17" i="20"/>
  <c r="N24" i="20"/>
  <c r="M36" i="20"/>
  <c r="N40" i="20"/>
  <c r="N48" i="20"/>
  <c r="N56" i="20"/>
  <c r="N64" i="20"/>
  <c r="N72" i="20"/>
  <c r="N76" i="20"/>
  <c r="N80" i="20"/>
  <c r="N83" i="20"/>
  <c r="M87" i="20"/>
  <c r="N91" i="20"/>
  <c r="N95" i="20"/>
  <c r="M99" i="20"/>
  <c r="N103" i="20"/>
  <c r="M107" i="20"/>
  <c r="M114" i="20"/>
  <c r="M118" i="20"/>
  <c r="M122" i="20"/>
  <c r="M126" i="20"/>
  <c r="N130" i="20"/>
  <c r="N138" i="20"/>
  <c r="M157" i="20"/>
  <c r="M165" i="20"/>
  <c r="M196" i="20"/>
  <c r="N204" i="20"/>
  <c r="M212" i="20"/>
  <c r="N227" i="20"/>
  <c r="M231" i="20"/>
  <c r="M239" i="20"/>
  <c r="M263" i="20"/>
  <c r="M271" i="20"/>
  <c r="M343" i="20"/>
  <c r="N354" i="20"/>
  <c r="N386" i="20"/>
  <c r="N390" i="20"/>
  <c r="M458" i="20"/>
  <c r="M469" i="20"/>
  <c r="N473" i="20"/>
  <c r="M501" i="20"/>
  <c r="N513" i="20"/>
  <c r="N533" i="20"/>
  <c r="N618" i="20"/>
  <c r="N622" i="20"/>
  <c r="N650" i="20"/>
  <c r="N654" i="20"/>
  <c r="N670" i="20"/>
  <c r="M710" i="20"/>
  <c r="M726" i="20"/>
  <c r="N746" i="20"/>
  <c r="N801" i="20"/>
  <c r="N916" i="20"/>
  <c r="N928" i="20"/>
  <c r="N948" i="20"/>
  <c r="N952" i="20"/>
  <c r="N956" i="20"/>
  <c r="N244" i="20"/>
  <c r="M248" i="20"/>
  <c r="M252" i="20"/>
  <c r="M260" i="20"/>
  <c r="N268" i="20"/>
  <c r="M276" i="20"/>
  <c r="M279" i="20"/>
  <c r="N307" i="20"/>
  <c r="N418" i="20"/>
  <c r="N426" i="20"/>
  <c r="N478" i="20"/>
  <c r="M514" i="20"/>
  <c r="M522" i="20"/>
  <c r="N786" i="20"/>
  <c r="M941" i="20"/>
  <c r="N968" i="20"/>
  <c r="N980" i="20"/>
  <c r="N984" i="20"/>
  <c r="N988" i="20"/>
  <c r="N992" i="20"/>
  <c r="M18" i="20"/>
  <c r="N45" i="20"/>
  <c r="N61" i="20"/>
  <c r="N88" i="20"/>
  <c r="M96" i="20"/>
  <c r="N100" i="20"/>
  <c r="M104" i="20"/>
  <c r="M111" i="20"/>
  <c r="M146" i="20"/>
  <c r="M150" i="20"/>
  <c r="M154" i="20"/>
  <c r="M158" i="20"/>
  <c r="N162" i="20"/>
  <c r="M182" i="20"/>
  <c r="N236" i="20"/>
  <c r="M288" i="20"/>
  <c r="N292" i="20"/>
  <c r="N300" i="20"/>
  <c r="M304" i="20"/>
  <c r="N308" i="20"/>
  <c r="M316" i="20"/>
  <c r="M320" i="20"/>
  <c r="N324" i="20"/>
  <c r="M332" i="20"/>
  <c r="M344" i="20"/>
  <c r="N347" i="20"/>
  <c r="N490" i="20"/>
  <c r="N541" i="20"/>
  <c r="N615" i="20"/>
  <c r="M655" i="20"/>
  <c r="M691" i="20"/>
  <c r="M751" i="20"/>
  <c r="N758" i="20"/>
  <c r="N770" i="20"/>
  <c r="N794" i="20"/>
  <c r="N802" i="20"/>
  <c r="N933" i="20"/>
  <c r="M1001" i="20"/>
  <c r="N123" i="20"/>
  <c r="N423" i="20"/>
  <c r="N475" i="20"/>
  <c r="M680" i="20"/>
  <c r="N735" i="20"/>
  <c r="N838" i="20"/>
  <c r="N846" i="20"/>
  <c r="N866" i="20"/>
  <c r="M918" i="20"/>
  <c r="M950" i="20"/>
  <c r="N965" i="20"/>
  <c r="N997" i="20"/>
  <c r="N22" i="20"/>
  <c r="N34" i="20"/>
  <c r="M42" i="20"/>
  <c r="N58" i="20"/>
  <c r="N70" i="20"/>
  <c r="M101" i="20"/>
  <c r="M116" i="20"/>
  <c r="M128" i="20"/>
  <c r="N132" i="20"/>
  <c r="M140" i="20"/>
  <c r="N147" i="20"/>
  <c r="M163" i="20"/>
  <c r="N167" i="20"/>
  <c r="M171" i="20"/>
  <c r="M210" i="20"/>
  <c r="M233" i="20"/>
  <c r="N249" i="20"/>
  <c r="N261" i="20"/>
  <c r="M289" i="20"/>
  <c r="N337" i="20"/>
  <c r="N356" i="20"/>
  <c r="M523" i="20"/>
  <c r="M605" i="20"/>
  <c r="M696" i="20"/>
  <c r="M704" i="20"/>
  <c r="M708" i="20"/>
  <c r="M712" i="20"/>
  <c r="M740" i="20"/>
  <c r="N752" i="20"/>
  <c r="N763" i="20"/>
  <c r="N787" i="20"/>
  <c r="M843" i="20"/>
  <c r="M847" i="20"/>
  <c r="M855" i="20"/>
  <c r="M867" i="20"/>
  <c r="M879" i="20"/>
  <c r="N926" i="20"/>
  <c r="N930" i="20"/>
  <c r="N934" i="20"/>
  <c r="N942" i="20"/>
  <c r="M962" i="20"/>
  <c r="M970" i="20"/>
  <c r="M978" i="20"/>
  <c r="M982" i="20"/>
  <c r="M994" i="20"/>
  <c r="M1002" i="20"/>
  <c r="M15" i="20"/>
  <c r="M51" i="20"/>
  <c r="N63" i="20"/>
  <c r="N71" i="20"/>
  <c r="M82" i="20"/>
  <c r="N93" i="20"/>
  <c r="N155" i="20"/>
  <c r="N179" i="20"/>
  <c r="N202" i="20"/>
  <c r="N277" i="20"/>
  <c r="M353" i="20"/>
  <c r="M397" i="20"/>
  <c r="M408" i="20"/>
  <c r="N444" i="20"/>
  <c r="N460" i="20"/>
  <c r="M476" i="20"/>
  <c r="N504" i="20"/>
  <c r="N535" i="20"/>
  <c r="M792" i="20"/>
  <c r="M796" i="20"/>
  <c r="M800" i="20"/>
  <c r="M808" i="20"/>
  <c r="M947" i="20"/>
  <c r="N998" i="20"/>
  <c r="M23" i="20"/>
  <c r="N27" i="20"/>
  <c r="M31" i="20"/>
  <c r="N43" i="20"/>
  <c r="M94" i="20"/>
  <c r="N98" i="20"/>
  <c r="N106" i="20"/>
  <c r="M125" i="20"/>
  <c r="M133" i="20"/>
  <c r="N156" i="20"/>
  <c r="M160" i="20"/>
  <c r="M164" i="20"/>
  <c r="M168" i="20"/>
  <c r="M172" i="20"/>
  <c r="M180" i="20"/>
  <c r="M191" i="20"/>
  <c r="M203" i="20"/>
  <c r="M207" i="20"/>
  <c r="M302" i="20"/>
  <c r="M306" i="20"/>
  <c r="M314" i="20"/>
  <c r="M318" i="20"/>
  <c r="M322" i="20"/>
  <c r="M330" i="20"/>
  <c r="M334" i="20"/>
  <c r="N342" i="20"/>
  <c r="M346" i="20"/>
  <c r="M409" i="20"/>
  <c r="M417" i="20"/>
  <c r="M425" i="20"/>
  <c r="N429" i="20"/>
  <c r="M433" i="20"/>
  <c r="M449" i="20"/>
  <c r="N453" i="20"/>
  <c r="N555" i="20"/>
  <c r="M563" i="20"/>
  <c r="M578" i="20"/>
  <c r="M586" i="20"/>
  <c r="M594" i="20"/>
  <c r="M602" i="20"/>
  <c r="M610" i="20"/>
  <c r="M689" i="20"/>
  <c r="M693" i="20"/>
  <c r="M697" i="20"/>
  <c r="M701" i="20"/>
  <c r="M721" i="20"/>
  <c r="M737" i="20"/>
  <c r="M741" i="20"/>
  <c r="M749" i="20"/>
  <c r="M753" i="20"/>
  <c r="N756" i="20"/>
  <c r="N828" i="20"/>
  <c r="M832" i="20"/>
  <c r="M844" i="20"/>
  <c r="M848" i="20"/>
  <c r="M852" i="20"/>
  <c r="M868" i="20"/>
  <c r="M872" i="20"/>
  <c r="M876" i="20"/>
  <c r="M884" i="20"/>
  <c r="M888" i="20"/>
  <c r="M892" i="20"/>
  <c r="M896" i="20"/>
  <c r="N923" i="20"/>
  <c r="N927" i="20"/>
  <c r="N955" i="20"/>
  <c r="M959" i="20"/>
  <c r="M971" i="20"/>
  <c r="M975" i="20"/>
  <c r="M979" i="20"/>
  <c r="M983" i="20"/>
  <c r="M995" i="20"/>
  <c r="M999" i="20"/>
  <c r="E39" i="16"/>
  <c r="M996" i="20"/>
  <c r="M993" i="20"/>
  <c r="M974" i="20"/>
  <c r="N971" i="20"/>
  <c r="M967" i="20"/>
  <c r="N939" i="20"/>
  <c r="N936" i="20"/>
  <c r="M935" i="20"/>
  <c r="N924" i="20"/>
  <c r="M920" i="20"/>
  <c r="M912" i="20"/>
  <c r="M908" i="20"/>
  <c r="M869" i="20"/>
  <c r="M865" i="20"/>
  <c r="M857" i="20"/>
  <c r="M849" i="20"/>
  <c r="N834" i="20"/>
  <c r="M830" i="20"/>
  <c r="N795" i="20"/>
  <c r="N788" i="20"/>
  <c r="M776" i="20"/>
  <c r="M769" i="20"/>
  <c r="M757" i="20"/>
  <c r="N747" i="20"/>
  <c r="M727" i="20"/>
  <c r="M723" i="20"/>
  <c r="M719" i="20"/>
  <c r="M707" i="20"/>
  <c r="M695" i="20"/>
  <c r="M664" i="20"/>
  <c r="M660" i="20"/>
  <c r="M656" i="20"/>
  <c r="M648" i="20"/>
  <c r="M644" i="20"/>
  <c r="M637" i="20"/>
  <c r="N611" i="20"/>
  <c r="N594" i="20"/>
  <c r="M550" i="20"/>
  <c r="N539" i="20"/>
  <c r="M538" i="20"/>
  <c r="M504" i="20"/>
  <c r="N496" i="20"/>
  <c r="M484" i="20"/>
  <c r="M472" i="20"/>
  <c r="N471" i="20"/>
  <c r="N469" i="20"/>
  <c r="N463" i="20"/>
  <c r="M451" i="20"/>
  <c r="N447" i="20"/>
  <c r="N439" i="20"/>
  <c r="M435" i="20"/>
  <c r="N431" i="20"/>
  <c r="M424" i="20"/>
  <c r="M415" i="20"/>
  <c r="M414" i="20"/>
  <c r="N411" i="20"/>
  <c r="N402" i="20"/>
  <c r="N380" i="20"/>
  <c r="M378" i="20"/>
  <c r="M374" i="20"/>
  <c r="M371" i="20"/>
  <c r="M370" i="20"/>
  <c r="N355" i="20"/>
  <c r="M351" i="20"/>
  <c r="M340" i="20"/>
  <c r="M336" i="20"/>
  <c r="M321" i="20"/>
  <c r="M317" i="20"/>
  <c r="N299" i="20"/>
  <c r="N288" i="20"/>
  <c r="N279" i="20"/>
  <c r="M273" i="20"/>
  <c r="M269" i="20"/>
  <c r="M265" i="20"/>
  <c r="N263" i="20"/>
  <c r="N262" i="20"/>
  <c r="M255" i="20"/>
  <c r="N255" i="20"/>
  <c r="N245" i="20"/>
  <c r="M241" i="20"/>
  <c r="N231" i="20"/>
  <c r="N230" i="20"/>
  <c r="N226" i="20"/>
  <c r="N212" i="20"/>
  <c r="M208" i="20"/>
  <c r="N197" i="20"/>
  <c r="N187" i="20"/>
  <c r="M183" i="20"/>
  <c r="N175" i="20"/>
  <c r="M170" i="20"/>
  <c r="N163" i="20"/>
  <c r="M143" i="20"/>
  <c r="N143" i="20"/>
  <c r="M136" i="20"/>
  <c r="N128" i="20"/>
  <c r="N124" i="20"/>
  <c r="M84" i="20"/>
  <c r="N79" i="20"/>
  <c r="M72" i="20"/>
  <c r="N68" i="20"/>
  <c r="M55" i="20"/>
  <c r="N55" i="20"/>
  <c r="M54" i="20"/>
  <c r="M47" i="20"/>
  <c r="N42" i="20"/>
  <c r="N39" i="20"/>
  <c r="N18" i="20"/>
  <c r="M14" i="20"/>
  <c r="L8" i="20"/>
  <c r="N28" i="20"/>
  <c r="M37" i="20"/>
  <c r="M40" i="20"/>
  <c r="M43" i="20"/>
  <c r="M46" i="20"/>
  <c r="M85" i="20"/>
  <c r="M88" i="20"/>
  <c r="M91" i="20"/>
  <c r="M117" i="20"/>
  <c r="M120" i="20"/>
  <c r="M123" i="20"/>
  <c r="M149" i="20"/>
  <c r="M152" i="20"/>
  <c r="M155" i="20"/>
  <c r="M181" i="20"/>
  <c r="M184" i="20"/>
  <c r="M187" i="20"/>
  <c r="M225" i="20"/>
  <c r="M237" i="20"/>
  <c r="M295" i="20"/>
  <c r="M338" i="20"/>
  <c r="M361" i="20"/>
  <c r="M393" i="20"/>
  <c r="M428" i="20"/>
  <c r="M431" i="20"/>
  <c r="M434" i="20"/>
  <c r="M441" i="20"/>
  <c r="M444" i="20"/>
  <c r="N454" i="20"/>
  <c r="M457" i="20"/>
  <c r="M460" i="20"/>
  <c r="M479" i="20"/>
  <c r="N494" i="20"/>
  <c r="M494" i="20"/>
  <c r="M589" i="20"/>
  <c r="N589" i="20"/>
  <c r="M785" i="20"/>
  <c r="N785" i="20"/>
  <c r="M904" i="20"/>
  <c r="M916" i="20"/>
  <c r="M966" i="20"/>
  <c r="M13" i="20"/>
  <c r="M16" i="20"/>
  <c r="M28" i="20"/>
  <c r="N37" i="20"/>
  <c r="N44" i="20"/>
  <c r="M53" i="20"/>
  <c r="M56" i="20"/>
  <c r="M59" i="20"/>
  <c r="M62" i="20"/>
  <c r="M71" i="20"/>
  <c r="M74" i="20"/>
  <c r="M77" i="20"/>
  <c r="M80" i="20"/>
  <c r="M83" i="20"/>
  <c r="N85" i="20"/>
  <c r="M100" i="20"/>
  <c r="M103" i="20"/>
  <c r="M106" i="20"/>
  <c r="M109" i="20"/>
  <c r="M112" i="20"/>
  <c r="M115" i="20"/>
  <c r="N117" i="20"/>
  <c r="N126" i="20"/>
  <c r="M132" i="20"/>
  <c r="M135" i="20"/>
  <c r="M138" i="20"/>
  <c r="M141" i="20"/>
  <c r="M144" i="20"/>
  <c r="M147" i="20"/>
  <c r="N149" i="20"/>
  <c r="M167" i="20"/>
  <c r="M173" i="20"/>
  <c r="M176" i="20"/>
  <c r="M179" i="20"/>
  <c r="N181" i="20"/>
  <c r="N190" i="20"/>
  <c r="M200" i="20"/>
  <c r="N203" i="20"/>
  <c r="M216" i="20"/>
  <c r="N219" i="20"/>
  <c r="N225" i="20"/>
  <c r="M232" i="20"/>
  <c r="M238" i="20"/>
  <c r="N241" i="20"/>
  <c r="M247" i="20"/>
  <c r="M253" i="20"/>
  <c r="N256" i="20"/>
  <c r="M259" i="20"/>
  <c r="N265" i="20"/>
  <c r="M268" i="20"/>
  <c r="N280" i="20"/>
  <c r="M290" i="20"/>
  <c r="M292" i="20"/>
  <c r="N295" i="20"/>
  <c r="N305" i="20"/>
  <c r="M311" i="20"/>
  <c r="M323" i="20"/>
  <c r="N329" i="20"/>
  <c r="N348" i="20"/>
  <c r="N361" i="20"/>
  <c r="N364" i="20"/>
  <c r="N372" i="20"/>
  <c r="N393" i="20"/>
  <c r="N397" i="20"/>
  <c r="M412" i="20"/>
  <c r="N415" i="20"/>
  <c r="N432" i="20"/>
  <c r="N441" i="20"/>
  <c r="M454" i="20"/>
  <c r="N457" i="20"/>
  <c r="N487" i="20"/>
  <c r="N505" i="20"/>
  <c r="N512" i="20"/>
  <c r="M536" i="20"/>
  <c r="N540" i="20"/>
  <c r="M540" i="20"/>
  <c r="N543" i="20"/>
  <c r="M620" i="20"/>
  <c r="M624" i="20"/>
  <c r="N624" i="20"/>
  <c r="N774" i="20"/>
  <c r="N850" i="20"/>
  <c r="M870" i="20"/>
  <c r="M913" i="20"/>
  <c r="M928" i="20"/>
  <c r="N931" i="20"/>
  <c r="M963" i="20"/>
  <c r="M992" i="20"/>
  <c r="N995" i="20"/>
  <c r="M50" i="20"/>
  <c r="M68" i="20"/>
  <c r="N235" i="20"/>
  <c r="M244" i="20"/>
  <c r="M284" i="20"/>
  <c r="N287" i="20"/>
  <c r="M342" i="20"/>
  <c r="N384" i="20"/>
  <c r="M400" i="20"/>
  <c r="M406" i="20"/>
  <c r="N409" i="20"/>
  <c r="M422" i="20"/>
  <c r="N425" i="20"/>
  <c r="M438" i="20"/>
  <c r="M464" i="20"/>
  <c r="M470" i="20"/>
  <c r="M517" i="20"/>
  <c r="N517" i="20"/>
  <c r="M617" i="20"/>
  <c r="N617" i="20"/>
  <c r="M745" i="20"/>
  <c r="N745" i="20"/>
  <c r="N13" i="20"/>
  <c r="N19" i="20"/>
  <c r="M26" i="20"/>
  <c r="N32" i="20"/>
  <c r="N35" i="20"/>
  <c r="N38" i="20"/>
  <c r="M44" i="20"/>
  <c r="N53" i="20"/>
  <c r="N77" i="20"/>
  <c r="M92" i="20"/>
  <c r="M95" i="20"/>
  <c r="M98" i="20"/>
  <c r="N109" i="20"/>
  <c r="M124" i="20"/>
  <c r="M127" i="20"/>
  <c r="M130" i="20"/>
  <c r="N141" i="20"/>
  <c r="M156" i="20"/>
  <c r="M159" i="20"/>
  <c r="M162" i="20"/>
  <c r="N173" i="20"/>
  <c r="M188" i="20"/>
  <c r="N223" i="20"/>
  <c r="N229" i="20"/>
  <c r="N251" i="20"/>
  <c r="N257" i="20"/>
  <c r="N272" i="20"/>
  <c r="M275" i="20"/>
  <c r="N281" i="20"/>
  <c r="N296" i="20"/>
  <c r="M308" i="20"/>
  <c r="N311" i="20"/>
  <c r="N321" i="20"/>
  <c r="M327" i="20"/>
  <c r="N362" i="20"/>
  <c r="N365" i="20"/>
  <c r="N369" i="20"/>
  <c r="N379" i="20"/>
  <c r="M385" i="20"/>
  <c r="N394" i="20"/>
  <c r="N398" i="20"/>
  <c r="M401" i="20"/>
  <c r="M404" i="20"/>
  <c r="M419" i="20"/>
  <c r="M426" i="20"/>
  <c r="M432" i="20"/>
  <c r="M439" i="20"/>
  <c r="N442" i="20"/>
  <c r="N446" i="20"/>
  <c r="N455" i="20"/>
  <c r="N462" i="20"/>
  <c r="M465" i="20"/>
  <c r="M468" i="20"/>
  <c r="M477" i="20"/>
  <c r="M481" i="20"/>
  <c r="N481" i="20"/>
  <c r="M531" i="20"/>
  <c r="N562" i="20"/>
  <c r="M579" i="20"/>
  <c r="N583" i="20"/>
  <c r="N587" i="20"/>
  <c r="M587" i="20"/>
  <c r="N636" i="20"/>
  <c r="N741" i="20"/>
  <c r="M771" i="20"/>
  <c r="N771" i="20"/>
  <c r="N847" i="20"/>
  <c r="N894" i="20"/>
  <c r="N960" i="20"/>
  <c r="N20" i="20"/>
  <c r="N29" i="20"/>
  <c r="N36" i="20"/>
  <c r="M66" i="20"/>
  <c r="M78" i="20"/>
  <c r="M142" i="20"/>
  <c r="M174" i="20"/>
  <c r="N191" i="20"/>
  <c r="M195" i="20"/>
  <c r="M198" i="20"/>
  <c r="M204" i="20"/>
  <c r="N207" i="20"/>
  <c r="M211" i="20"/>
  <c r="M214" i="20"/>
  <c r="M220" i="20"/>
  <c r="M300" i="20"/>
  <c r="N303" i="20"/>
  <c r="M349" i="20"/>
  <c r="N359" i="20"/>
  <c r="N376" i="20"/>
  <c r="M382" i="20"/>
  <c r="N449" i="20"/>
  <c r="M489" i="20"/>
  <c r="N489" i="20"/>
  <c r="M555" i="20"/>
  <c r="M860" i="20"/>
  <c r="M863" i="20"/>
  <c r="N867" i="20"/>
  <c r="M887" i="20"/>
  <c r="N910" i="20"/>
  <c r="N925" i="20"/>
  <c r="N957" i="20"/>
  <c r="N989" i="20"/>
  <c r="N516" i="20"/>
  <c r="M516" i="20"/>
  <c r="M557" i="20"/>
  <c r="N557" i="20"/>
  <c r="N571" i="20"/>
  <c r="M571" i="20"/>
  <c r="N11" i="20"/>
  <c r="N51" i="20"/>
  <c r="N54" i="20"/>
  <c r="M60" i="20"/>
  <c r="N69" i="20"/>
  <c r="M90" i="20"/>
  <c r="N101" i="20"/>
  <c r="N133" i="20"/>
  <c r="M189" i="20"/>
  <c r="M192" i="20"/>
  <c r="N273" i="20"/>
  <c r="M291" i="20"/>
  <c r="N297" i="20"/>
  <c r="N312" i="20"/>
  <c r="M324" i="20"/>
  <c r="N327" i="20"/>
  <c r="N340" i="20"/>
  <c r="N360" i="20"/>
  <c r="N385" i="20"/>
  <c r="N389" i="20"/>
  <c r="M395" i="20"/>
  <c r="M398" i="20"/>
  <c r="N401" i="20"/>
  <c r="N420" i="20"/>
  <c r="N436" i="20"/>
  <c r="M446" i="20"/>
  <c r="M453" i="20"/>
  <c r="M459" i="20"/>
  <c r="M462" i="20"/>
  <c r="N465" i="20"/>
  <c r="M496" i="20"/>
  <c r="N499" i="20"/>
  <c r="N503" i="20"/>
  <c r="N518" i="20"/>
  <c r="N588" i="20"/>
  <c r="M588" i="20"/>
  <c r="M611" i="20"/>
  <c r="N684" i="20"/>
  <c r="N547" i="20"/>
  <c r="M547" i="20"/>
  <c r="M582" i="20"/>
  <c r="N582" i="20"/>
  <c r="M12" i="20"/>
  <c r="M21" i="20"/>
  <c r="N52" i="20"/>
  <c r="M61" i="20"/>
  <c r="M64" i="20"/>
  <c r="M67" i="20"/>
  <c r="M70" i="20"/>
  <c r="M102" i="20"/>
  <c r="N119" i="20"/>
  <c r="M134" i="20"/>
  <c r="N151" i="20"/>
  <c r="M166" i="20"/>
  <c r="N183" i="20"/>
  <c r="M199" i="20"/>
  <c r="N205" i="20"/>
  <c r="N208" i="20"/>
  <c r="M215" i="20"/>
  <c r="N218" i="20"/>
  <c r="M221" i="20"/>
  <c r="N224" i="20"/>
  <c r="M240" i="20"/>
  <c r="N243" i="20"/>
  <c r="N283" i="20"/>
  <c r="M286" i="20"/>
  <c r="N294" i="20"/>
  <c r="M298" i="20"/>
  <c r="M301" i="20"/>
  <c r="N304" i="20"/>
  <c r="N309" i="20"/>
  <c r="N319" i="20"/>
  <c r="M335" i="20"/>
  <c r="N341" i="20"/>
  <c r="M354" i="20"/>
  <c r="M367" i="20"/>
  <c r="N374" i="20"/>
  <c r="M383" i="20"/>
  <c r="M386" i="20"/>
  <c r="M392" i="20"/>
  <c r="M396" i="20"/>
  <c r="M399" i="20"/>
  <c r="M405" i="20"/>
  <c r="N417" i="20"/>
  <c r="M430" i="20"/>
  <c r="N433" i="20"/>
  <c r="M443" i="20"/>
  <c r="M456" i="20"/>
  <c r="M463" i="20"/>
  <c r="N486" i="20"/>
  <c r="M486" i="20"/>
  <c r="M490" i="20"/>
  <c r="M497" i="20"/>
  <c r="N497" i="20"/>
  <c r="M508" i="20"/>
  <c r="M570" i="20"/>
  <c r="M724" i="20"/>
  <c r="M728" i="20"/>
  <c r="M735" i="20"/>
  <c r="N751" i="20"/>
  <c r="M853" i="20"/>
  <c r="M880" i="20"/>
  <c r="N907" i="20"/>
  <c r="M922" i="20"/>
  <c r="M934" i="20"/>
  <c r="M951" i="20"/>
  <c r="M986" i="20"/>
  <c r="M998" i="20"/>
  <c r="N480" i="20"/>
  <c r="M493" i="20"/>
  <c r="N502" i="20"/>
  <c r="N521" i="20"/>
  <c r="M524" i="20"/>
  <c r="N527" i="20"/>
  <c r="M534" i="20"/>
  <c r="M546" i="20"/>
  <c r="M549" i="20"/>
  <c r="N564" i="20"/>
  <c r="M573" i="20"/>
  <c r="N586" i="20"/>
  <c r="M598" i="20"/>
  <c r="N604" i="20"/>
  <c r="N607" i="20"/>
  <c r="M614" i="20"/>
  <c r="N616" i="20"/>
  <c r="N623" i="20"/>
  <c r="M640" i="20"/>
  <c r="N647" i="20"/>
  <c r="N666" i="20"/>
  <c r="M677" i="20"/>
  <c r="M688" i="20"/>
  <c r="N695" i="20"/>
  <c r="N706" i="20"/>
  <c r="N710" i="20"/>
  <c r="N714" i="20"/>
  <c r="M725" i="20"/>
  <c r="M729" i="20"/>
  <c r="M795" i="20"/>
  <c r="N798" i="20"/>
  <c r="M802" i="20"/>
  <c r="M805" i="20"/>
  <c r="M812" i="20"/>
  <c r="M816" i="20"/>
  <c r="N844" i="20"/>
  <c r="M854" i="20"/>
  <c r="M864" i="20"/>
  <c r="N874" i="20"/>
  <c r="N877" i="20"/>
  <c r="N884" i="20"/>
  <c r="N891" i="20"/>
  <c r="N898" i="20"/>
  <c r="N901" i="20"/>
  <c r="N940" i="20"/>
  <c r="N943" i="20"/>
  <c r="N946" i="20"/>
  <c r="M949" i="20"/>
  <c r="N972" i="20"/>
  <c r="N975" i="20"/>
  <c r="N978" i="20"/>
  <c r="M981" i="20"/>
  <c r="N1004" i="20"/>
  <c r="N1007" i="20"/>
  <c r="N1010" i="20"/>
  <c r="N652" i="20"/>
  <c r="N696" i="20"/>
  <c r="N700" i="20"/>
  <c r="N711" i="20"/>
  <c r="N782" i="20"/>
  <c r="N842" i="20"/>
  <c r="M851" i="20"/>
  <c r="N858" i="20"/>
  <c r="N861" i="20"/>
  <c r="N868" i="20"/>
  <c r="M871" i="20"/>
  <c r="N892" i="20"/>
  <c r="M895" i="20"/>
  <c r="N902" i="20"/>
  <c r="N908" i="20"/>
  <c r="M911" i="20"/>
  <c r="M914" i="20"/>
  <c r="N917" i="20"/>
  <c r="M923" i="20"/>
  <c r="M926" i="20"/>
  <c r="N932" i="20"/>
  <c r="N935" i="20"/>
  <c r="N938" i="20"/>
  <c r="M952" i="20"/>
  <c r="M955" i="20"/>
  <c r="M958" i="20"/>
  <c r="N964" i="20"/>
  <c r="N967" i="20"/>
  <c r="N970" i="20"/>
  <c r="M984" i="20"/>
  <c r="M987" i="20"/>
  <c r="M990" i="20"/>
  <c r="N996" i="20"/>
  <c r="N999" i="20"/>
  <c r="N1002" i="20"/>
  <c r="N484" i="20"/>
  <c r="N488" i="20"/>
  <c r="N509" i="20"/>
  <c r="N532" i="20"/>
  <c r="N538" i="20"/>
  <c r="N556" i="20"/>
  <c r="N578" i="20"/>
  <c r="M631" i="20"/>
  <c r="N634" i="20"/>
  <c r="N682" i="20"/>
  <c r="N722" i="20"/>
  <c r="N726" i="20"/>
  <c r="N730" i="20"/>
  <c r="N739" i="20"/>
  <c r="N743" i="20"/>
  <c r="N769" i="20"/>
  <c r="N772" i="20"/>
  <c r="N845" i="20"/>
  <c r="N855" i="20"/>
  <c r="N875" i="20"/>
  <c r="M921" i="20"/>
  <c r="N944" i="20"/>
  <c r="N947" i="20"/>
  <c r="N950" i="20"/>
  <c r="M953" i="20"/>
  <c r="N973" i="20"/>
  <c r="N976" i="20"/>
  <c r="N979" i="20"/>
  <c r="N982" i="20"/>
  <c r="M985" i="20"/>
  <c r="N1005" i="20"/>
  <c r="N1008" i="20"/>
  <c r="N544" i="20"/>
  <c r="N599" i="20"/>
  <c r="N628" i="20"/>
  <c r="N638" i="20"/>
  <c r="N668" i="20"/>
  <c r="N686" i="20"/>
  <c r="N697" i="20"/>
  <c r="N701" i="20"/>
  <c r="N704" i="20"/>
  <c r="N708" i="20"/>
  <c r="N712" i="20"/>
  <c r="N716" i="20"/>
  <c r="N734" i="20"/>
  <c r="N750" i="20"/>
  <c r="N766" i="20"/>
  <c r="N779" i="20"/>
  <c r="M822" i="20"/>
  <c r="N832" i="20"/>
  <c r="N852" i="20"/>
  <c r="N879" i="20"/>
  <c r="N882" i="20"/>
  <c r="N903" i="20"/>
  <c r="N906" i="20"/>
  <c r="N915" i="20"/>
  <c r="M933" i="20"/>
  <c r="M965" i="20"/>
  <c r="M473" i="20"/>
  <c r="M478" i="20"/>
  <c r="M485" i="20"/>
  <c r="M492" i="20"/>
  <c r="N510" i="20"/>
  <c r="N523" i="20"/>
  <c r="M530" i="20"/>
  <c r="M533" i="20"/>
  <c r="N550" i="20"/>
  <c r="N554" i="20"/>
  <c r="M556" i="20"/>
  <c r="M566" i="20"/>
  <c r="N572" i="20"/>
  <c r="N581" i="20"/>
  <c r="M596" i="20"/>
  <c r="N625" i="20"/>
  <c r="M642" i="20"/>
  <c r="M646" i="20"/>
  <c r="M657" i="20"/>
  <c r="M661" i="20"/>
  <c r="M672" i="20"/>
  <c r="N679" i="20"/>
  <c r="M690" i="20"/>
  <c r="M694" i="20"/>
  <c r="M705" i="20"/>
  <c r="M709" i="20"/>
  <c r="M713" i="20"/>
  <c r="M720" i="20"/>
  <c r="N727" i="20"/>
  <c r="M747" i="20"/>
  <c r="M760" i="20"/>
  <c r="M780" i="20"/>
  <c r="M784" i="20"/>
  <c r="M787" i="20"/>
  <c r="M794" i="20"/>
  <c r="M797" i="20"/>
  <c r="M801" i="20"/>
  <c r="N803" i="20"/>
  <c r="N810" i="20"/>
  <c r="M826" i="20"/>
  <c r="M856" i="20"/>
  <c r="M873" i="20"/>
  <c r="N876" i="20"/>
  <c r="N886" i="20"/>
  <c r="M897" i="20"/>
  <c r="N900" i="20"/>
  <c r="N909" i="20"/>
  <c r="M924" i="20"/>
  <c r="M927" i="20"/>
  <c r="M945" i="20"/>
  <c r="M977" i="20"/>
  <c r="M988" i="20"/>
  <c r="M991" i="20"/>
  <c r="N1000" i="20"/>
  <c r="N1003" i="20"/>
  <c r="N1006" i="20"/>
  <c r="M1009" i="20"/>
  <c r="N15" i="20"/>
  <c r="N49" i="20"/>
  <c r="M49" i="20"/>
  <c r="N89" i="20"/>
  <c r="M89" i="20"/>
  <c r="N94" i="20"/>
  <c r="N153" i="20"/>
  <c r="M153" i="20"/>
  <c r="N158" i="20"/>
  <c r="N201" i="20"/>
  <c r="M201" i="20"/>
  <c r="N222" i="20"/>
  <c r="M222" i="20"/>
  <c r="N373" i="20"/>
  <c r="M373" i="20"/>
  <c r="M421" i="20"/>
  <c r="N421" i="20"/>
  <c r="M20" i="20"/>
  <c r="N46" i="20"/>
  <c r="N81" i="20"/>
  <c r="M81" i="20"/>
  <c r="N86" i="20"/>
  <c r="N145" i="20"/>
  <c r="M145" i="20"/>
  <c r="N150" i="20"/>
  <c r="N198" i="20"/>
  <c r="N246" i="20"/>
  <c r="M246" i="20"/>
  <c r="N448" i="20"/>
  <c r="M448" i="20"/>
  <c r="N553" i="20"/>
  <c r="M553" i="20"/>
  <c r="N23" i="20"/>
  <c r="N41" i="20"/>
  <c r="M41" i="20"/>
  <c r="N73" i="20"/>
  <c r="M73" i="20"/>
  <c r="N78" i="20"/>
  <c r="N137" i="20"/>
  <c r="M137" i="20"/>
  <c r="N142" i="20"/>
  <c r="N217" i="20"/>
  <c r="M217" i="20"/>
  <c r="N238" i="20"/>
  <c r="N282" i="20"/>
  <c r="M282" i="20"/>
  <c r="M491" i="20"/>
  <c r="N491" i="20"/>
  <c r="N129" i="20"/>
  <c r="M129" i="20"/>
  <c r="N193" i="20"/>
  <c r="M193" i="20"/>
  <c r="N250" i="20"/>
  <c r="M250" i="20"/>
  <c r="N33" i="20"/>
  <c r="M33" i="20"/>
  <c r="N65" i="20"/>
  <c r="M65" i="20"/>
  <c r="N121" i="20"/>
  <c r="M121" i="20"/>
  <c r="N185" i="20"/>
  <c r="M185" i="20"/>
  <c r="N14" i="20"/>
  <c r="N30" i="20"/>
  <c r="N62" i="20"/>
  <c r="N113" i="20"/>
  <c r="M113" i="20"/>
  <c r="N118" i="20"/>
  <c r="N177" i="20"/>
  <c r="M177" i="20"/>
  <c r="N182" i="20"/>
  <c r="N209" i="20"/>
  <c r="M209" i="20"/>
  <c r="N12" i="20"/>
  <c r="M22" i="20"/>
  <c r="N25" i="20"/>
  <c r="M25" i="20"/>
  <c r="N57" i="20"/>
  <c r="M57" i="20"/>
  <c r="N105" i="20"/>
  <c r="M105" i="20"/>
  <c r="N110" i="20"/>
  <c r="N169" i="20"/>
  <c r="M169" i="20"/>
  <c r="N174" i="20"/>
  <c r="N206" i="20"/>
  <c r="N97" i="20"/>
  <c r="M97" i="20"/>
  <c r="N161" i="20"/>
  <c r="M161" i="20"/>
  <c r="N266" i="20"/>
  <c r="M266" i="20"/>
  <c r="M427" i="20"/>
  <c r="N427" i="20"/>
  <c r="N242" i="20"/>
  <c r="M242" i="20"/>
  <c r="N248" i="20"/>
  <c r="M262" i="20"/>
  <c r="M278" i="20"/>
  <c r="M294" i="20"/>
  <c r="N298" i="20"/>
  <c r="M310" i="20"/>
  <c r="N314" i="20"/>
  <c r="M326" i="20"/>
  <c r="N330" i="20"/>
  <c r="N352" i="20"/>
  <c r="M357" i="20"/>
  <c r="N367" i="20"/>
  <c r="N404" i="20"/>
  <c r="N416" i="20"/>
  <c r="M416" i="20"/>
  <c r="M445" i="20"/>
  <c r="N445" i="20"/>
  <c r="N468" i="20"/>
  <c r="N507" i="20"/>
  <c r="M507" i="20"/>
  <c r="M525" i="20"/>
  <c r="N525" i="20"/>
  <c r="N621" i="20"/>
  <c r="M621" i="20"/>
  <c r="N234" i="20"/>
  <c r="M234" i="20"/>
  <c r="M345" i="20"/>
  <c r="N345" i="20"/>
  <c r="N609" i="20"/>
  <c r="M609" i="20"/>
  <c r="N612" i="20"/>
  <c r="M612" i="20"/>
  <c r="N649" i="20"/>
  <c r="M649" i="20"/>
  <c r="N232" i="20"/>
  <c r="M264" i="20"/>
  <c r="M280" i="20"/>
  <c r="M296" i="20"/>
  <c r="M312" i="20"/>
  <c r="M328" i="20"/>
  <c r="N350" i="20"/>
  <c r="M350" i="20"/>
  <c r="N368" i="20"/>
  <c r="N371" i="20"/>
  <c r="N391" i="20"/>
  <c r="N413" i="20"/>
  <c r="N501" i="20"/>
  <c r="M520" i="20"/>
  <c r="N520" i="20"/>
  <c r="M606" i="20"/>
  <c r="N606" i="20"/>
  <c r="K8" i="20"/>
  <c r="M226" i="20"/>
  <c r="M228" i="20"/>
  <c r="N253" i="20"/>
  <c r="N258" i="20"/>
  <c r="M258" i="20"/>
  <c r="N269" i="20"/>
  <c r="N274" i="20"/>
  <c r="M274" i="20"/>
  <c r="N285" i="20"/>
  <c r="N301" i="20"/>
  <c r="N317" i="20"/>
  <c r="N333" i="20"/>
  <c r="N338" i="20"/>
  <c r="M360" i="20"/>
  <c r="M362" i="20"/>
  <c r="N383" i="20"/>
  <c r="M394" i="20"/>
  <c r="N419" i="20"/>
  <c r="N440" i="20"/>
  <c r="M440" i="20"/>
  <c r="N483" i="20"/>
  <c r="N585" i="20"/>
  <c r="M585" i="20"/>
  <c r="M197" i="20"/>
  <c r="M205" i="20"/>
  <c r="M213" i="20"/>
  <c r="N221" i="20"/>
  <c r="M245" i="20"/>
  <c r="M251" i="20"/>
  <c r="M254" i="20"/>
  <c r="M267" i="20"/>
  <c r="M270" i="20"/>
  <c r="M283" i="20"/>
  <c r="M299" i="20"/>
  <c r="M315" i="20"/>
  <c r="N322" i="20"/>
  <c r="M331" i="20"/>
  <c r="N343" i="20"/>
  <c r="N353" i="20"/>
  <c r="M355" i="20"/>
  <c r="N358" i="20"/>
  <c r="M365" i="20"/>
  <c r="M389" i="20"/>
  <c r="N437" i="20"/>
  <c r="N515" i="20"/>
  <c r="M515" i="20"/>
  <c r="M281" i="20"/>
  <c r="M297" i="20"/>
  <c r="M313" i="20"/>
  <c r="M329" i="20"/>
  <c r="M341" i="20"/>
  <c r="M348" i="20"/>
  <c r="N366" i="20"/>
  <c r="M366" i="20"/>
  <c r="N450" i="20"/>
  <c r="M229" i="20"/>
  <c r="N237" i="20"/>
  <c r="M256" i="20"/>
  <c r="M261" i="20"/>
  <c r="M272" i="20"/>
  <c r="M277" i="20"/>
  <c r="M293" i="20"/>
  <c r="N302" i="20"/>
  <c r="M309" i="20"/>
  <c r="N318" i="20"/>
  <c r="M325" i="20"/>
  <c r="N334" i="20"/>
  <c r="N351" i="20"/>
  <c r="M387" i="20"/>
  <c r="N387" i="20"/>
  <c r="M403" i="20"/>
  <c r="N403" i="20"/>
  <c r="M467" i="20"/>
  <c r="N467" i="20"/>
  <c r="M509" i="20"/>
  <c r="N528" i="20"/>
  <c r="M528" i="20"/>
  <c r="M574" i="20"/>
  <c r="N574" i="20"/>
  <c r="M375" i="20"/>
  <c r="M377" i="20"/>
  <c r="N396" i="20"/>
  <c r="N434" i="20"/>
  <c r="M447" i="20"/>
  <c r="N452" i="20"/>
  <c r="M480" i="20"/>
  <c r="N485" i="20"/>
  <c r="N498" i="20"/>
  <c r="M558" i="20"/>
  <c r="N558" i="20"/>
  <c r="N715" i="20"/>
  <c r="M715" i="20"/>
  <c r="N370" i="20"/>
  <c r="N388" i="20"/>
  <c r="N399" i="20"/>
  <c r="M407" i="20"/>
  <c r="N412" i="20"/>
  <c r="N458" i="20"/>
  <c r="M471" i="20"/>
  <c r="N476" i="20"/>
  <c r="N577" i="20"/>
  <c r="M577" i="20"/>
  <c r="N580" i="20"/>
  <c r="M580" i="20"/>
  <c r="N683" i="20"/>
  <c r="M683" i="20"/>
  <c r="N529" i="20"/>
  <c r="M529" i="20"/>
  <c r="N601" i="20"/>
  <c r="M601" i="20"/>
  <c r="N629" i="20"/>
  <c r="M629" i="20"/>
  <c r="M337" i="20"/>
  <c r="N378" i="20"/>
  <c r="N395" i="20"/>
  <c r="N410" i="20"/>
  <c r="M423" i="20"/>
  <c r="N428" i="20"/>
  <c r="N443" i="20"/>
  <c r="N461" i="20"/>
  <c r="N474" i="20"/>
  <c r="M487" i="20"/>
  <c r="N492" i="20"/>
  <c r="N500" i="20"/>
  <c r="M500" i="20"/>
  <c r="N569" i="20"/>
  <c r="M569" i="20"/>
  <c r="N613" i="20"/>
  <c r="M613" i="20"/>
  <c r="M633" i="20"/>
  <c r="N633" i="20"/>
  <c r="M495" i="20"/>
  <c r="M590" i="20"/>
  <c r="N590" i="20"/>
  <c r="M627" i="20"/>
  <c r="N627" i="20"/>
  <c r="M511" i="20"/>
  <c r="N522" i="20"/>
  <c r="M526" i="20"/>
  <c r="N560" i="20"/>
  <c r="M560" i="20"/>
  <c r="M575" i="20"/>
  <c r="N592" i="20"/>
  <c r="M592" i="20"/>
  <c r="M607" i="20"/>
  <c r="N620" i="20"/>
  <c r="N626" i="20"/>
  <c r="N635" i="20"/>
  <c r="M635" i="20"/>
  <c r="M679" i="20"/>
  <c r="M783" i="20"/>
  <c r="N783" i="20"/>
  <c r="M793" i="20"/>
  <c r="N793" i="20"/>
  <c r="M502" i="20"/>
  <c r="M519" i="20"/>
  <c r="M532" i="20"/>
  <c r="M535" i="20"/>
  <c r="N537" i="20"/>
  <c r="M537" i="20"/>
  <c r="M548" i="20"/>
  <c r="M551" i="20"/>
  <c r="N565" i="20"/>
  <c r="N568" i="20"/>
  <c r="M568" i="20"/>
  <c r="M583" i="20"/>
  <c r="N597" i="20"/>
  <c r="N600" i="20"/>
  <c r="M600" i="20"/>
  <c r="N630" i="20"/>
  <c r="M647" i="20"/>
  <c r="N665" i="20"/>
  <c r="M665" i="20"/>
  <c r="N731" i="20"/>
  <c r="M731" i="20"/>
  <c r="M767" i="20"/>
  <c r="N767" i="20"/>
  <c r="M777" i="20"/>
  <c r="N777" i="20"/>
  <c r="N561" i="20"/>
  <c r="M561" i="20"/>
  <c r="N593" i="20"/>
  <c r="M593" i="20"/>
  <c r="N651" i="20"/>
  <c r="M651" i="20"/>
  <c r="N819" i="20"/>
  <c r="M819" i="20"/>
  <c r="N506" i="20"/>
  <c r="M510" i="20"/>
  <c r="M527" i="20"/>
  <c r="N542" i="20"/>
  <c r="M559" i="20"/>
  <c r="N573" i="20"/>
  <c r="N576" i="20"/>
  <c r="M576" i="20"/>
  <c r="M591" i="20"/>
  <c r="N605" i="20"/>
  <c r="N608" i="20"/>
  <c r="M608" i="20"/>
  <c r="N699" i="20"/>
  <c r="M699" i="20"/>
  <c r="M761" i="20"/>
  <c r="N761" i="20"/>
  <c r="N681" i="20"/>
  <c r="M681" i="20"/>
  <c r="M754" i="20"/>
  <c r="N754" i="20"/>
  <c r="M503" i="20"/>
  <c r="N514" i="20"/>
  <c r="M518" i="20"/>
  <c r="M543" i="20"/>
  <c r="N545" i="20"/>
  <c r="M545" i="20"/>
  <c r="N552" i="20"/>
  <c r="M552" i="20"/>
  <c r="M567" i="20"/>
  <c r="N584" i="20"/>
  <c r="M584" i="20"/>
  <c r="M599" i="20"/>
  <c r="N619" i="20"/>
  <c r="M619" i="20"/>
  <c r="M623" i="20"/>
  <c r="N667" i="20"/>
  <c r="M667" i="20"/>
  <c r="M711" i="20"/>
  <c r="M799" i="20"/>
  <c r="N799" i="20"/>
  <c r="M809" i="20"/>
  <c r="N809" i="20"/>
  <c r="N812" i="20"/>
  <c r="N645" i="20"/>
  <c r="N648" i="20"/>
  <c r="N661" i="20"/>
  <c r="N664" i="20"/>
  <c r="N677" i="20"/>
  <c r="N680" i="20"/>
  <c r="N693" i="20"/>
  <c r="N709" i="20"/>
  <c r="N725" i="20"/>
  <c r="N749" i="20"/>
  <c r="N862" i="20"/>
  <c r="N899" i="20"/>
  <c r="M899" i="20"/>
  <c r="M622" i="20"/>
  <c r="M636" i="20"/>
  <c r="N639" i="20"/>
  <c r="N642" i="20"/>
  <c r="M652" i="20"/>
  <c r="N655" i="20"/>
  <c r="N658" i="20"/>
  <c r="M668" i="20"/>
  <c r="N671" i="20"/>
  <c r="N674" i="20"/>
  <c r="M684" i="20"/>
  <c r="N687" i="20"/>
  <c r="N690" i="20"/>
  <c r="M700" i="20"/>
  <c r="N703" i="20"/>
  <c r="M716" i="20"/>
  <c r="N719" i="20"/>
  <c r="M732" i="20"/>
  <c r="N740" i="20"/>
  <c r="N764" i="20"/>
  <c r="N780" i="20"/>
  <c r="N796" i="20"/>
  <c r="N816" i="20"/>
  <c r="M838" i="20"/>
  <c r="M850" i="20"/>
  <c r="N853" i="20"/>
  <c r="M859" i="20"/>
  <c r="N831" i="20"/>
  <c r="M831" i="20"/>
  <c r="N643" i="20"/>
  <c r="N646" i="20"/>
  <c r="N659" i="20"/>
  <c r="N662" i="20"/>
  <c r="N675" i="20"/>
  <c r="N678" i="20"/>
  <c r="N691" i="20"/>
  <c r="N707" i="20"/>
  <c r="N723" i="20"/>
  <c r="M738" i="20"/>
  <c r="N738" i="20"/>
  <c r="N755" i="20"/>
  <c r="M759" i="20"/>
  <c r="N759" i="20"/>
  <c r="M775" i="20"/>
  <c r="N775" i="20"/>
  <c r="M791" i="20"/>
  <c r="N791" i="20"/>
  <c r="M807" i="20"/>
  <c r="N807" i="20"/>
  <c r="M828" i="20"/>
  <c r="N835" i="20"/>
  <c r="M835" i="20"/>
  <c r="M877" i="20"/>
  <c r="M883" i="20"/>
  <c r="N890" i="20"/>
  <c r="M890" i="20"/>
  <c r="M616" i="20"/>
  <c r="M632" i="20"/>
  <c r="N637" i="20"/>
  <c r="N640" i="20"/>
  <c r="M650" i="20"/>
  <c r="N653" i="20"/>
  <c r="N656" i="20"/>
  <c r="M666" i="20"/>
  <c r="N669" i="20"/>
  <c r="N672" i="20"/>
  <c r="M682" i="20"/>
  <c r="N685" i="20"/>
  <c r="N688" i="20"/>
  <c r="M698" i="20"/>
  <c r="M714" i="20"/>
  <c r="N717" i="20"/>
  <c r="M730" i="20"/>
  <c r="N733" i="20"/>
  <c r="M742" i="20"/>
  <c r="M756" i="20"/>
  <c r="M772" i="20"/>
  <c r="M788" i="20"/>
  <c r="M804" i="20"/>
  <c r="N825" i="20"/>
  <c r="M825" i="20"/>
  <c r="M748" i="20"/>
  <c r="N748" i="20"/>
  <c r="M628" i="20"/>
  <c r="M638" i="20"/>
  <c r="N641" i="20"/>
  <c r="N644" i="20"/>
  <c r="M654" i="20"/>
  <c r="N657" i="20"/>
  <c r="N660" i="20"/>
  <c r="M670" i="20"/>
  <c r="N673" i="20"/>
  <c r="N676" i="20"/>
  <c r="M686" i="20"/>
  <c r="N689" i="20"/>
  <c r="N692" i="20"/>
  <c r="M702" i="20"/>
  <c r="N705" i="20"/>
  <c r="M718" i="20"/>
  <c r="N721" i="20"/>
  <c r="N815" i="20"/>
  <c r="M815" i="20"/>
  <c r="N822" i="20"/>
  <c r="M902" i="20"/>
  <c r="M917" i="20"/>
  <c r="M736" i="20"/>
  <c r="M752" i="20"/>
  <c r="M762" i="20"/>
  <c r="M770" i="20"/>
  <c r="M778" i="20"/>
  <c r="M786" i="20"/>
  <c r="N813" i="20"/>
  <c r="M813" i="20"/>
  <c r="N829" i="20"/>
  <c r="M829" i="20"/>
  <c r="N878" i="20"/>
  <c r="N893" i="20"/>
  <c r="N941" i="20"/>
  <c r="M734" i="20"/>
  <c r="M750" i="20"/>
  <c r="M820" i="20"/>
  <c r="N823" i="20"/>
  <c r="M823" i="20"/>
  <c r="M836" i="20"/>
  <c r="N839" i="20"/>
  <c r="M839" i="20"/>
  <c r="M845" i="20"/>
  <c r="N854" i="20"/>
  <c r="M866" i="20"/>
  <c r="N869" i="20"/>
  <c r="M875" i="20"/>
  <c r="M894" i="20"/>
  <c r="M909" i="20"/>
  <c r="N918" i="20"/>
  <c r="N817" i="20"/>
  <c r="M817" i="20"/>
  <c r="N833" i="20"/>
  <c r="M833" i="20"/>
  <c r="M746" i="20"/>
  <c r="N757" i="20"/>
  <c r="N765" i="20"/>
  <c r="N773" i="20"/>
  <c r="N781" i="20"/>
  <c r="N789" i="20"/>
  <c r="N797" i="20"/>
  <c r="N805" i="20"/>
  <c r="N811" i="20"/>
  <c r="M811" i="20"/>
  <c r="M824" i="20"/>
  <c r="N827" i="20"/>
  <c r="M827" i="20"/>
  <c r="M840" i="20"/>
  <c r="M846" i="20"/>
  <c r="M861" i="20"/>
  <c r="N870" i="20"/>
  <c r="M882" i="20"/>
  <c r="N885" i="20"/>
  <c r="M891" i="20"/>
  <c r="M910" i="20"/>
  <c r="M744" i="20"/>
  <c r="M758" i="20"/>
  <c r="N760" i="20"/>
  <c r="M766" i="20"/>
  <c r="N768" i="20"/>
  <c r="M774" i="20"/>
  <c r="N776" i="20"/>
  <c r="M782" i="20"/>
  <c r="N784" i="20"/>
  <c r="M790" i="20"/>
  <c r="N792" i="20"/>
  <c r="M798" i="20"/>
  <c r="N800" i="20"/>
  <c r="M806" i="20"/>
  <c r="N808" i="20"/>
  <c r="N814" i="20"/>
  <c r="M818" i="20"/>
  <c r="N821" i="20"/>
  <c r="M821" i="20"/>
  <c r="N830" i="20"/>
  <c r="M834" i="20"/>
  <c r="N837" i="20"/>
  <c r="M837" i="20"/>
  <c r="M886" i="20"/>
  <c r="M901" i="20"/>
  <c r="N848" i="20"/>
  <c r="N856" i="20"/>
  <c r="N864" i="20"/>
  <c r="N872" i="20"/>
  <c r="N880" i="20"/>
  <c r="N888" i="20"/>
  <c r="N896" i="20"/>
  <c r="N904" i="20"/>
  <c r="N912" i="20"/>
  <c r="N920" i="20"/>
  <c r="N841" i="20"/>
  <c r="N849" i="20"/>
  <c r="N857" i="20"/>
  <c r="N865" i="20"/>
  <c r="N873" i="20"/>
  <c r="N881" i="20"/>
  <c r="N889" i="20"/>
  <c r="N897" i="20"/>
  <c r="N905" i="20"/>
  <c r="N913" i="20"/>
  <c r="N921" i="20"/>
  <c r="N929" i="20"/>
  <c r="N937" i="20"/>
  <c r="N945" i="20"/>
  <c r="N953" i="20"/>
  <c r="N961" i="20"/>
  <c r="N969" i="20"/>
  <c r="N977" i="20"/>
  <c r="N985" i="20"/>
  <c r="N993" i="20"/>
  <c r="N1001" i="20"/>
  <c r="N1009" i="20"/>
  <c r="M15" i="6" l="1"/>
  <c r="N15" i="6"/>
  <c r="M8" i="20"/>
  <c r="N8" i="20"/>
  <c r="M9" i="6" l="1"/>
  <c r="N9" i="6" l="1"/>
  <c r="F9" i="6" s="1"/>
  <c r="D9" i="6" s="1"/>
  <c r="J9" i="6"/>
  <c r="K9" i="6"/>
  <c r="O34" i="13" l="1"/>
  <c r="F56" i="13" s="1"/>
  <c r="G56" i="13" s="1"/>
  <c r="G78" i="13" l="1"/>
  <c r="G76" i="13"/>
  <c r="X76" i="13"/>
  <c r="X71" i="13"/>
  <c r="X67" i="13"/>
  <c r="X66" i="13"/>
  <c r="X62" i="13"/>
  <c r="X56" i="13"/>
  <c r="X33" i="13"/>
  <c r="X32" i="13"/>
  <c r="X27" i="13"/>
  <c r="X22" i="13"/>
  <c r="Y21" i="13"/>
  <c r="X17" i="13"/>
  <c r="X13" i="13"/>
  <c r="X8" i="13"/>
  <c r="G74" i="13"/>
  <c r="O33" i="13"/>
  <c r="O32" i="13"/>
  <c r="O31" i="13"/>
  <c r="O30" i="13"/>
  <c r="O29" i="13"/>
  <c r="O28" i="13"/>
  <c r="O27" i="13"/>
  <c r="F119" i="13" s="1"/>
  <c r="O26" i="13"/>
  <c r="O25" i="13"/>
  <c r="O24" i="13"/>
  <c r="O23" i="13"/>
  <c r="F61" i="13" s="1"/>
  <c r="G61" i="13" s="1"/>
  <c r="O22" i="13"/>
  <c r="F92" i="13" s="1"/>
  <c r="O21" i="13"/>
  <c r="F91" i="13" s="1"/>
  <c r="F126" i="13" s="1"/>
  <c r="G126" i="13" s="1"/>
  <c r="O20" i="13"/>
  <c r="F90" i="13" s="1"/>
  <c r="F125" i="13" s="1"/>
  <c r="G125" i="13" s="1"/>
  <c r="F153" i="13" l="1"/>
  <c r="F177" i="13" s="1"/>
  <c r="G177" i="13" s="1"/>
  <c r="F127" i="13"/>
  <c r="G127" i="13" s="1"/>
  <c r="F152" i="13"/>
  <c r="F176" i="13" s="1"/>
  <c r="F199" i="13" s="1"/>
  <c r="G199" i="13" s="1"/>
  <c r="F175" i="13"/>
  <c r="F198" i="13" s="1"/>
  <c r="G198" i="13" s="1"/>
  <c r="G151" i="13"/>
  <c r="F145" i="13"/>
  <c r="G172" i="13"/>
  <c r="F70" i="13"/>
  <c r="F120" i="13"/>
  <c r="G120" i="13" s="1"/>
  <c r="F71" i="13"/>
  <c r="F121" i="13"/>
  <c r="G121" i="13" s="1"/>
  <c r="F66" i="13"/>
  <c r="F116" i="13"/>
  <c r="F142" i="13" s="1"/>
  <c r="F166" i="13" s="1"/>
  <c r="F67" i="13"/>
  <c r="G122" i="13" s="1"/>
  <c r="F117" i="13"/>
  <c r="F143" i="13" s="1"/>
  <c r="F167" i="13" s="1"/>
  <c r="F68" i="13"/>
  <c r="G123" i="13" s="1"/>
  <c r="F118" i="13"/>
  <c r="F144" i="13" s="1"/>
  <c r="G92" i="13"/>
  <c r="F81" i="13"/>
  <c r="F79" i="13"/>
  <c r="G79" i="13" s="1"/>
  <c r="G91" i="13"/>
  <c r="F80" i="13"/>
  <c r="F69" i="13"/>
  <c r="G124" i="13" s="1"/>
  <c r="F65" i="13"/>
  <c r="F52" i="13"/>
  <c r="Y22" i="13"/>
  <c r="F115" i="13"/>
  <c r="G119" i="13"/>
  <c r="G211" i="13" l="1"/>
  <c r="G116" i="13"/>
  <c r="F200" i="13"/>
  <c r="G200" i="13" s="1"/>
  <c r="G153" i="13"/>
  <c r="F225" i="13"/>
  <c r="F249" i="13" s="1"/>
  <c r="G249" i="13" s="1"/>
  <c r="F224" i="13"/>
  <c r="F248" i="13" s="1"/>
  <c r="F271" i="13" s="1"/>
  <c r="G271" i="13" s="1"/>
  <c r="G152" i="13"/>
  <c r="G69" i="13"/>
  <c r="F100" i="13"/>
  <c r="G68" i="13"/>
  <c r="F99" i="13"/>
  <c r="G70" i="13"/>
  <c r="F101" i="13"/>
  <c r="G65" i="13"/>
  <c r="F96" i="13"/>
  <c r="G67" i="13"/>
  <c r="F98" i="13"/>
  <c r="G66" i="13"/>
  <c r="F97" i="13"/>
  <c r="G71" i="13"/>
  <c r="F102" i="13"/>
  <c r="G167" i="13"/>
  <c r="F191" i="13"/>
  <c r="G166" i="13"/>
  <c r="F190" i="13"/>
  <c r="G118" i="13"/>
  <c r="G145" i="13"/>
  <c r="F169" i="13"/>
  <c r="G144" i="13"/>
  <c r="F168" i="13"/>
  <c r="G142" i="13"/>
  <c r="G174" i="13"/>
  <c r="F147" i="13"/>
  <c r="G176" i="13"/>
  <c r="F146" i="13"/>
  <c r="G175" i="13"/>
  <c r="G143" i="13"/>
  <c r="G178" i="13"/>
  <c r="G115" i="13"/>
  <c r="F141" i="13"/>
  <c r="G117" i="13"/>
  <c r="G80" i="13"/>
  <c r="G81" i="13"/>
  <c r="G52" i="13"/>
  <c r="G57" i="13" s="1"/>
  <c r="F272" i="13" l="1"/>
  <c r="G272" i="13" s="1"/>
  <c r="F226" i="13"/>
  <c r="F250" i="13" s="1"/>
  <c r="G250" i="13" s="1"/>
  <c r="G225" i="13"/>
  <c r="G248" i="13"/>
  <c r="G96" i="13"/>
  <c r="G134" i="13"/>
  <c r="G97" i="13"/>
  <c r="G135" i="13"/>
  <c r="G224" i="13"/>
  <c r="G102" i="13"/>
  <c r="G101" i="13"/>
  <c r="G99" i="13"/>
  <c r="G98" i="13"/>
  <c r="G100" i="13"/>
  <c r="G245" i="13"/>
  <c r="G190" i="13"/>
  <c r="F215" i="13"/>
  <c r="G191" i="13"/>
  <c r="F216" i="13"/>
  <c r="G169" i="13"/>
  <c r="F193" i="13"/>
  <c r="G168" i="13"/>
  <c r="F192" i="13"/>
  <c r="G146" i="13"/>
  <c r="F170" i="13"/>
  <c r="G141" i="13"/>
  <c r="F165" i="13"/>
  <c r="G147" i="13"/>
  <c r="F171" i="13"/>
  <c r="G75" i="13"/>
  <c r="I73" i="13" s="1"/>
  <c r="G181" i="13"/>
  <c r="I76" i="13"/>
  <c r="E43" i="6"/>
  <c r="I43" i="6" s="1"/>
  <c r="G86" i="13" l="1"/>
  <c r="G137" i="13"/>
  <c r="G112" i="13"/>
  <c r="G162" i="13"/>
  <c r="E45" i="6" s="1"/>
  <c r="I45" i="6" s="1"/>
  <c r="G226" i="13"/>
  <c r="F273" i="13"/>
  <c r="G273" i="13" s="1"/>
  <c r="E53" i="6"/>
  <c r="I133" i="13"/>
  <c r="I106" i="13"/>
  <c r="G216" i="13"/>
  <c r="F240" i="13"/>
  <c r="G215" i="13"/>
  <c r="F239" i="13"/>
  <c r="F263" i="13" s="1"/>
  <c r="G263" i="13" s="1"/>
  <c r="G192" i="13"/>
  <c r="F217" i="13"/>
  <c r="G193" i="13"/>
  <c r="F218" i="13"/>
  <c r="G171" i="13"/>
  <c r="F195" i="13"/>
  <c r="G165" i="13"/>
  <c r="F189" i="13"/>
  <c r="G170" i="13"/>
  <c r="F194" i="13"/>
  <c r="K23" i="6"/>
  <c r="E29" i="6"/>
  <c r="I29" i="6" s="1"/>
  <c r="E28" i="6"/>
  <c r="I28" i="6" s="1"/>
  <c r="E27" i="6"/>
  <c r="I27" i="6" s="1"/>
  <c r="E26" i="6"/>
  <c r="I26" i="6" s="1"/>
  <c r="E25" i="6"/>
  <c r="I25" i="6" s="1"/>
  <c r="E24" i="6"/>
  <c r="I24" i="6" s="1"/>
  <c r="I53" i="6" l="1"/>
  <c r="J53" i="6" s="1"/>
  <c r="C37" i="16"/>
  <c r="C38" i="16"/>
  <c r="G186" i="13"/>
  <c r="E46" i="6" s="1"/>
  <c r="I131" i="13"/>
  <c r="E51" i="6"/>
  <c r="E52" i="6"/>
  <c r="G218" i="13"/>
  <c r="F242" i="13"/>
  <c r="G217" i="13"/>
  <c r="F241" i="13"/>
  <c r="F264" i="13"/>
  <c r="G264" i="13" s="1"/>
  <c r="G240" i="13"/>
  <c r="G189" i="13"/>
  <c r="F214" i="13"/>
  <c r="G195" i="13"/>
  <c r="F220" i="13"/>
  <c r="F244" i="13" s="1"/>
  <c r="G194" i="13"/>
  <c r="F219" i="13"/>
  <c r="F243" i="13" s="1"/>
  <c r="N45" i="6"/>
  <c r="M24" i="6"/>
  <c r="N24" i="6" s="1"/>
  <c r="F24" i="6" s="1"/>
  <c r="D24" i="6" s="1"/>
  <c r="J23" i="6"/>
  <c r="M23" i="6"/>
  <c r="M28" i="6"/>
  <c r="N28" i="6" s="1"/>
  <c r="F28" i="6" s="1"/>
  <c r="D28" i="6" s="1"/>
  <c r="J27" i="6"/>
  <c r="K29" i="6"/>
  <c r="M26" i="6"/>
  <c r="J25" i="6"/>
  <c r="M29" i="6"/>
  <c r="J29" i="6"/>
  <c r="K26" i="6"/>
  <c r="K24" i="6"/>
  <c r="J26" i="6"/>
  <c r="J24" i="6"/>
  <c r="K27" i="6"/>
  <c r="O18" i="13"/>
  <c r="F48" i="13" s="1"/>
  <c r="K53" i="6" l="1"/>
  <c r="N53" i="6"/>
  <c r="M53" i="6"/>
  <c r="I46" i="6"/>
  <c r="N46" i="6" s="1"/>
  <c r="I52" i="6"/>
  <c r="M52" i="6" s="1"/>
  <c r="I51" i="6"/>
  <c r="J51" i="6" s="1"/>
  <c r="E47" i="6"/>
  <c r="G214" i="13"/>
  <c r="G235" i="13" s="1"/>
  <c r="F238" i="13"/>
  <c r="F262" i="13" s="1"/>
  <c r="G262" i="13" s="1"/>
  <c r="F267" i="13"/>
  <c r="G267" i="13" s="1"/>
  <c r="G243" i="13"/>
  <c r="F265" i="13"/>
  <c r="G265" i="13" s="1"/>
  <c r="G241" i="13"/>
  <c r="F268" i="13"/>
  <c r="G268" i="13" s="1"/>
  <c r="G244" i="13"/>
  <c r="F266" i="13"/>
  <c r="G266" i="13" s="1"/>
  <c r="G242" i="13"/>
  <c r="G219" i="13"/>
  <c r="G220" i="13"/>
  <c r="G239" i="13"/>
  <c r="K45" i="6"/>
  <c r="M45" i="6"/>
  <c r="F45" i="6" s="1"/>
  <c r="D45" i="6" s="1"/>
  <c r="J45" i="6"/>
  <c r="M27" i="6"/>
  <c r="N27" i="6" s="1"/>
  <c r="F27" i="6" s="1"/>
  <c r="D27" i="6" s="1"/>
  <c r="N23" i="6"/>
  <c r="F23" i="6" s="1"/>
  <c r="K25" i="6"/>
  <c r="M25" i="6"/>
  <c r="N25" i="6" s="1"/>
  <c r="F25" i="6" s="1"/>
  <c r="D25" i="6" s="1"/>
  <c r="J28" i="6"/>
  <c r="K28" i="6"/>
  <c r="N26" i="6"/>
  <c r="F26" i="6" s="1"/>
  <c r="D26" i="6" s="1"/>
  <c r="N29" i="6"/>
  <c r="F29" i="6" s="1"/>
  <c r="D29" i="6" s="1"/>
  <c r="O17" i="13"/>
  <c r="F47" i="13" s="1"/>
  <c r="BT162" i="15"/>
  <c r="BS162" i="15"/>
  <c r="BR162" i="15"/>
  <c r="BQ162" i="15"/>
  <c r="BJ162" i="15"/>
  <c r="BI162" i="15"/>
  <c r="AZ162" i="15"/>
  <c r="AY162" i="15"/>
  <c r="AP162" i="15"/>
  <c r="AO162" i="15"/>
  <c r="AF162" i="15"/>
  <c r="AE162" i="15"/>
  <c r="AD162" i="15"/>
  <c r="V162" i="15"/>
  <c r="U162" i="15"/>
  <c r="T162" i="15"/>
  <c r="G162" i="15"/>
  <c r="F162" i="15"/>
  <c r="E162" i="15"/>
  <c r="D162" i="15"/>
  <c r="BO161" i="15"/>
  <c r="BE161" i="15"/>
  <c r="AU161" i="15"/>
  <c r="AK161" i="15"/>
  <c r="AA161" i="15"/>
  <c r="Q161" i="15"/>
  <c r="B161" i="15"/>
  <c r="BO160" i="15"/>
  <c r="BE160" i="15"/>
  <c r="AU160" i="15"/>
  <c r="AK160" i="15"/>
  <c r="AA160" i="15"/>
  <c r="Q160" i="15"/>
  <c r="B160" i="15"/>
  <c r="BO159" i="15"/>
  <c r="BE159" i="15"/>
  <c r="AU159" i="15"/>
  <c r="AK159" i="15"/>
  <c r="AA159" i="15"/>
  <c r="Q159" i="15"/>
  <c r="B159" i="15"/>
  <c r="BO158" i="15"/>
  <c r="BE158" i="15"/>
  <c r="AU158" i="15"/>
  <c r="AK158" i="15"/>
  <c r="AA158" i="15"/>
  <c r="Q158" i="15"/>
  <c r="B158" i="15"/>
  <c r="BO157" i="15"/>
  <c r="BE157" i="15"/>
  <c r="AU157" i="15"/>
  <c r="AK157" i="15"/>
  <c r="AA157" i="15"/>
  <c r="Q157" i="15"/>
  <c r="B157" i="15"/>
  <c r="BO156" i="15"/>
  <c r="BE156" i="15"/>
  <c r="AU156" i="15"/>
  <c r="AK156" i="15"/>
  <c r="AA156" i="15"/>
  <c r="Q156" i="15"/>
  <c r="B156" i="15"/>
  <c r="BO155" i="15"/>
  <c r="BE155" i="15"/>
  <c r="AU155" i="15"/>
  <c r="AK155" i="15"/>
  <c r="AA155" i="15"/>
  <c r="Q155" i="15"/>
  <c r="B155" i="15"/>
  <c r="BO154" i="15"/>
  <c r="BE154" i="15"/>
  <c r="AU154" i="15"/>
  <c r="AK154" i="15"/>
  <c r="AA154" i="15"/>
  <c r="Q154" i="15"/>
  <c r="B154" i="15"/>
  <c r="BO153" i="15"/>
  <c r="BE153" i="15"/>
  <c r="AU153" i="15"/>
  <c r="AK153" i="15"/>
  <c r="AA153" i="15"/>
  <c r="Q153" i="15"/>
  <c r="B153" i="15"/>
  <c r="BO152" i="15"/>
  <c r="BE152" i="15"/>
  <c r="AU152" i="15"/>
  <c r="AK152" i="15"/>
  <c r="AA152" i="15"/>
  <c r="Q152" i="15"/>
  <c r="B152" i="15"/>
  <c r="BO151" i="15"/>
  <c r="BE151" i="15"/>
  <c r="AU151" i="15"/>
  <c r="AK151" i="15"/>
  <c r="AA151" i="15"/>
  <c r="Q151" i="15"/>
  <c r="B151" i="15"/>
  <c r="BO150" i="15"/>
  <c r="BE150" i="15"/>
  <c r="AU150" i="15"/>
  <c r="AK150" i="15"/>
  <c r="AA150" i="15"/>
  <c r="Q150" i="15"/>
  <c r="B150" i="15"/>
  <c r="BO149" i="15"/>
  <c r="BE149" i="15"/>
  <c r="AU149" i="15"/>
  <c r="AK149" i="15"/>
  <c r="AA149" i="15"/>
  <c r="Q149" i="15"/>
  <c r="B149" i="15"/>
  <c r="BO148" i="15"/>
  <c r="BE148" i="15"/>
  <c r="AU148" i="15"/>
  <c r="AK148" i="15"/>
  <c r="AA148" i="15"/>
  <c r="Q148" i="15"/>
  <c r="B148" i="15"/>
  <c r="BO147" i="15"/>
  <c r="BE147" i="15"/>
  <c r="AU147" i="15"/>
  <c r="AK147" i="15"/>
  <c r="AA147" i="15"/>
  <c r="Q147" i="15"/>
  <c r="B147" i="15"/>
  <c r="BO146" i="15"/>
  <c r="BE146" i="15"/>
  <c r="AU146" i="15"/>
  <c r="AK146" i="15"/>
  <c r="AA146" i="15"/>
  <c r="Q146" i="15"/>
  <c r="B146" i="15"/>
  <c r="BO145" i="15"/>
  <c r="BE145" i="15"/>
  <c r="AU145" i="15"/>
  <c r="AK145" i="15"/>
  <c r="AA145" i="15"/>
  <c r="Q145" i="15"/>
  <c r="B145" i="15"/>
  <c r="BO144" i="15"/>
  <c r="BE144" i="15"/>
  <c r="AU144" i="15"/>
  <c r="AK144" i="15"/>
  <c r="AA144" i="15"/>
  <c r="Q144" i="15"/>
  <c r="B144" i="15"/>
  <c r="BO143" i="15"/>
  <c r="BE143" i="15"/>
  <c r="AU143" i="15"/>
  <c r="AK143" i="15"/>
  <c r="AA143" i="15"/>
  <c r="Q143" i="15"/>
  <c r="B143" i="15"/>
  <c r="BO142" i="15"/>
  <c r="BE142" i="15"/>
  <c r="AU142" i="15"/>
  <c r="AK142" i="15"/>
  <c r="AA142" i="15"/>
  <c r="Q142" i="15"/>
  <c r="B142" i="15"/>
  <c r="BO141" i="15"/>
  <c r="BE141" i="15"/>
  <c r="AU141" i="15"/>
  <c r="AK141" i="15"/>
  <c r="AA141" i="15"/>
  <c r="Q141" i="15"/>
  <c r="B141" i="15"/>
  <c r="BO140" i="15"/>
  <c r="BE140" i="15"/>
  <c r="AU140" i="15"/>
  <c r="AK140" i="15"/>
  <c r="AA140" i="15"/>
  <c r="Q140" i="15"/>
  <c r="B140" i="15"/>
  <c r="BO139" i="15"/>
  <c r="BE139" i="15"/>
  <c r="AU139" i="15"/>
  <c r="AK139" i="15"/>
  <c r="AA139" i="15"/>
  <c r="Q139" i="15"/>
  <c r="B139" i="15"/>
  <c r="BO138" i="15"/>
  <c r="BE138" i="15"/>
  <c r="AU138" i="15"/>
  <c r="AK138" i="15"/>
  <c r="AA138" i="15"/>
  <c r="Q138" i="15"/>
  <c r="B138" i="15"/>
  <c r="BO137" i="15"/>
  <c r="BE137" i="15"/>
  <c r="AU137" i="15"/>
  <c r="AK137" i="15"/>
  <c r="AA137" i="15"/>
  <c r="Q137" i="15"/>
  <c r="B137" i="15"/>
  <c r="BO136" i="15"/>
  <c r="BE136" i="15"/>
  <c r="AU136" i="15"/>
  <c r="AK136" i="15"/>
  <c r="AA136" i="15"/>
  <c r="Q136" i="15"/>
  <c r="B136" i="15"/>
  <c r="BO135" i="15"/>
  <c r="BE135" i="15"/>
  <c r="AU135" i="15"/>
  <c r="AK135" i="15"/>
  <c r="AA135" i="15"/>
  <c r="Q135" i="15"/>
  <c r="B135" i="15"/>
  <c r="BO134" i="15"/>
  <c r="BE134" i="15"/>
  <c r="AU134" i="15"/>
  <c r="AK134" i="15"/>
  <c r="AA134" i="15"/>
  <c r="Q134" i="15"/>
  <c r="B134" i="15"/>
  <c r="BO133" i="15"/>
  <c r="BE133" i="15"/>
  <c r="AU133" i="15"/>
  <c r="AK133" i="15"/>
  <c r="AA133" i="15"/>
  <c r="Q133" i="15"/>
  <c r="B133" i="15"/>
  <c r="BO132" i="15"/>
  <c r="BE132" i="15"/>
  <c r="AU132" i="15"/>
  <c r="AK132" i="15"/>
  <c r="AA132" i="15"/>
  <c r="Q132" i="15"/>
  <c r="B132" i="15"/>
  <c r="BO131" i="15"/>
  <c r="BE131" i="15"/>
  <c r="AU131" i="15"/>
  <c r="AK131" i="15"/>
  <c r="AA131" i="15"/>
  <c r="Q131" i="15"/>
  <c r="B131" i="15"/>
  <c r="BO130" i="15"/>
  <c r="BE130" i="15"/>
  <c r="AU130" i="15"/>
  <c r="AK130" i="15"/>
  <c r="AA130" i="15"/>
  <c r="Q130" i="15"/>
  <c r="B130" i="15"/>
  <c r="BO125" i="15"/>
  <c r="BE125" i="15"/>
  <c r="AU125" i="15"/>
  <c r="AK125" i="15"/>
  <c r="AA125" i="15"/>
  <c r="Q125" i="15"/>
  <c r="B125" i="15"/>
  <c r="BO124" i="15"/>
  <c r="BE124" i="15"/>
  <c r="AU124" i="15"/>
  <c r="AK124" i="15"/>
  <c r="AA124" i="15"/>
  <c r="Q124" i="15"/>
  <c r="B124" i="15"/>
  <c r="BO123" i="15"/>
  <c r="BE123" i="15"/>
  <c r="AU123" i="15"/>
  <c r="AK123" i="15"/>
  <c r="AA123" i="15"/>
  <c r="Q123" i="15"/>
  <c r="B123" i="15"/>
  <c r="BO122" i="15"/>
  <c r="BE122" i="15"/>
  <c r="AU122" i="15"/>
  <c r="AK122" i="15"/>
  <c r="AA122" i="15"/>
  <c r="Q122" i="15"/>
  <c r="B122" i="15"/>
  <c r="BO121" i="15"/>
  <c r="BE121" i="15"/>
  <c r="AU121" i="15"/>
  <c r="AK121" i="15"/>
  <c r="AA121" i="15"/>
  <c r="Q121" i="15"/>
  <c r="B121" i="15"/>
  <c r="BO120" i="15"/>
  <c r="BE120" i="15"/>
  <c r="AU120" i="15"/>
  <c r="AK120" i="15"/>
  <c r="AA120" i="15"/>
  <c r="Q120" i="15"/>
  <c r="B120" i="15"/>
  <c r="BO119" i="15"/>
  <c r="BE119" i="15"/>
  <c r="AU119" i="15"/>
  <c r="AK119" i="15"/>
  <c r="AA119" i="15"/>
  <c r="Q119" i="15"/>
  <c r="B119" i="15"/>
  <c r="BO118" i="15"/>
  <c r="BE118" i="15"/>
  <c r="AU118" i="15"/>
  <c r="AK118" i="15"/>
  <c r="AA118" i="15"/>
  <c r="Q118" i="15"/>
  <c r="B118" i="15"/>
  <c r="BO117" i="15"/>
  <c r="BE117" i="15"/>
  <c r="AU117" i="15"/>
  <c r="AK117" i="15"/>
  <c r="AA117" i="15"/>
  <c r="Q117" i="15"/>
  <c r="B117" i="15"/>
  <c r="BO116" i="15"/>
  <c r="BE116" i="15"/>
  <c r="AU116" i="15"/>
  <c r="AK116" i="15"/>
  <c r="AA116" i="15"/>
  <c r="Q116" i="15"/>
  <c r="B116" i="15"/>
  <c r="BO115" i="15"/>
  <c r="BE115" i="15"/>
  <c r="AU115" i="15"/>
  <c r="AK115" i="15"/>
  <c r="AA115" i="15"/>
  <c r="Q115" i="15"/>
  <c r="B115" i="15"/>
  <c r="BO114" i="15"/>
  <c r="BE114" i="15"/>
  <c r="AU114" i="15"/>
  <c r="AK114" i="15"/>
  <c r="AA114" i="15"/>
  <c r="Q114" i="15"/>
  <c r="B114" i="15"/>
  <c r="BO113" i="15"/>
  <c r="BE113" i="15"/>
  <c r="AU113" i="15"/>
  <c r="AK113" i="15"/>
  <c r="AA113" i="15"/>
  <c r="Q113" i="15"/>
  <c r="B113" i="15"/>
  <c r="BO112" i="15"/>
  <c r="BE112" i="15"/>
  <c r="AU112" i="15"/>
  <c r="AK112" i="15"/>
  <c r="AA112" i="15"/>
  <c r="Q112" i="15"/>
  <c r="B112" i="15"/>
  <c r="BO111" i="15"/>
  <c r="BE111" i="15"/>
  <c r="AU111" i="15"/>
  <c r="AK111" i="15"/>
  <c r="AA111" i="15"/>
  <c r="Q111" i="15"/>
  <c r="B111" i="15"/>
  <c r="BO110" i="15"/>
  <c r="BE110" i="15"/>
  <c r="AU110" i="15"/>
  <c r="AK110" i="15"/>
  <c r="AA110" i="15"/>
  <c r="Q110" i="15"/>
  <c r="B110" i="15"/>
  <c r="BO109" i="15"/>
  <c r="BE109" i="15"/>
  <c r="AU109" i="15"/>
  <c r="AK109" i="15"/>
  <c r="AA109" i="15"/>
  <c r="Q109" i="15"/>
  <c r="B109" i="15"/>
  <c r="BO108" i="15"/>
  <c r="BE108" i="15"/>
  <c r="AU108" i="15"/>
  <c r="AK108" i="15"/>
  <c r="AA108" i="15"/>
  <c r="Q108" i="15"/>
  <c r="B108" i="15"/>
  <c r="BO107" i="15"/>
  <c r="BE107" i="15"/>
  <c r="AU107" i="15"/>
  <c r="AK107" i="15"/>
  <c r="AA107" i="15"/>
  <c r="Q107" i="15"/>
  <c r="B107" i="15"/>
  <c r="BO106" i="15"/>
  <c r="BE106" i="15"/>
  <c r="AU106" i="15"/>
  <c r="AK106" i="15"/>
  <c r="AA106" i="15"/>
  <c r="Q106" i="15"/>
  <c r="B106" i="15"/>
  <c r="BO105" i="15"/>
  <c r="BE105" i="15"/>
  <c r="AU105" i="15"/>
  <c r="AK105" i="15"/>
  <c r="AA105" i="15"/>
  <c r="Q105" i="15"/>
  <c r="B105" i="15"/>
  <c r="BO104" i="15"/>
  <c r="BE104" i="15"/>
  <c r="AU104" i="15"/>
  <c r="AK104" i="15"/>
  <c r="AA104" i="15"/>
  <c r="Q104" i="15"/>
  <c r="B104" i="15"/>
  <c r="BO103" i="15"/>
  <c r="BE103" i="15"/>
  <c r="AU103" i="15"/>
  <c r="AK103" i="15"/>
  <c r="AA103" i="15"/>
  <c r="Q103" i="15"/>
  <c r="B103" i="15"/>
  <c r="BO102" i="15"/>
  <c r="BE102" i="15"/>
  <c r="AU102" i="15"/>
  <c r="AK102" i="15"/>
  <c r="AA102" i="15"/>
  <c r="Q102" i="15"/>
  <c r="B102" i="15"/>
  <c r="BO101" i="15"/>
  <c r="BE101" i="15"/>
  <c r="AU101" i="15"/>
  <c r="AK101" i="15"/>
  <c r="AA101" i="15"/>
  <c r="Q101" i="15"/>
  <c r="B101" i="15"/>
  <c r="BO100" i="15"/>
  <c r="BE100" i="15"/>
  <c r="AU100" i="15"/>
  <c r="AK100" i="15"/>
  <c r="AA100" i="15"/>
  <c r="Q100" i="15"/>
  <c r="B100" i="15"/>
  <c r="BO99" i="15"/>
  <c r="BE99" i="15"/>
  <c r="AU99" i="15"/>
  <c r="AK99" i="15"/>
  <c r="AA99" i="15"/>
  <c r="Q99" i="15"/>
  <c r="B99" i="15"/>
  <c r="BO98" i="15"/>
  <c r="BE98" i="15"/>
  <c r="AU98" i="15"/>
  <c r="AK98" i="15"/>
  <c r="AA98" i="15"/>
  <c r="Q98" i="15"/>
  <c r="B98" i="15"/>
  <c r="BO97" i="15"/>
  <c r="BE97" i="15"/>
  <c r="AU97" i="15"/>
  <c r="AK97" i="15"/>
  <c r="AA97" i="15"/>
  <c r="Q97" i="15"/>
  <c r="B97" i="15"/>
  <c r="BO96" i="15"/>
  <c r="BE96" i="15"/>
  <c r="AU96" i="15"/>
  <c r="AK96" i="15"/>
  <c r="AA96" i="15"/>
  <c r="Q96" i="15"/>
  <c r="B96" i="15"/>
  <c r="BO95" i="15"/>
  <c r="BE95" i="15"/>
  <c r="AU95" i="15"/>
  <c r="AK95" i="15"/>
  <c r="AA95" i="15"/>
  <c r="Q95" i="15"/>
  <c r="B95" i="15"/>
  <c r="BU94" i="15"/>
  <c r="BV94" i="15" s="1"/>
  <c r="BT94" i="15"/>
  <c r="BO94" i="15"/>
  <c r="BK94" i="15"/>
  <c r="BJ94" i="15"/>
  <c r="BE94" i="15"/>
  <c r="BA94" i="15"/>
  <c r="AZ94" i="15"/>
  <c r="AU94" i="15"/>
  <c r="AQ94" i="15"/>
  <c r="AP94" i="15"/>
  <c r="AK94" i="15"/>
  <c r="AG94" i="15"/>
  <c r="AH94" i="15" s="1"/>
  <c r="AF94" i="15"/>
  <c r="AA94" i="15"/>
  <c r="W94" i="15"/>
  <c r="X94" i="15" s="1"/>
  <c r="V94" i="15"/>
  <c r="Q94" i="15"/>
  <c r="H94" i="15"/>
  <c r="G94" i="15"/>
  <c r="B94" i="15"/>
  <c r="BS93" i="15"/>
  <c r="BS129" i="15" s="1"/>
  <c r="BR93" i="15"/>
  <c r="BR129" i="15" s="1"/>
  <c r="BQ93" i="15"/>
  <c r="BQ129" i="15" s="1"/>
  <c r="AO93" i="15"/>
  <c r="AO129" i="15" s="1"/>
  <c r="AN93" i="15"/>
  <c r="AN129" i="15" s="1"/>
  <c r="AM93" i="15"/>
  <c r="AM129" i="15" s="1"/>
  <c r="AE93" i="15"/>
  <c r="AE129" i="15" s="1"/>
  <c r="AD93" i="15"/>
  <c r="AD129" i="15" s="1"/>
  <c r="AC93" i="15"/>
  <c r="AC129" i="15" s="1"/>
  <c r="BT90" i="15"/>
  <c r="BU90" i="15" s="1"/>
  <c r="BJ90" i="15"/>
  <c r="BK90" i="15" s="1"/>
  <c r="AZ90" i="15"/>
  <c r="BA90" i="15" s="1"/>
  <c r="AP90" i="15"/>
  <c r="AQ90" i="15" s="1"/>
  <c r="AF90" i="15"/>
  <c r="AG90" i="15" s="1"/>
  <c r="V90" i="15"/>
  <c r="W90" i="15" s="1"/>
  <c r="G90" i="15"/>
  <c r="H90" i="15" s="1"/>
  <c r="BQ89" i="15"/>
  <c r="BG89" i="15"/>
  <c r="AW89" i="15"/>
  <c r="AM89" i="15"/>
  <c r="AG89" i="15"/>
  <c r="AC89" i="15"/>
  <c r="W89" i="15"/>
  <c r="H89" i="15"/>
  <c r="BU88" i="15"/>
  <c r="BQ88" i="15"/>
  <c r="BG88" i="15"/>
  <c r="AW88" i="15"/>
  <c r="AM88" i="15"/>
  <c r="AC88" i="15"/>
  <c r="H162" i="15" l="1"/>
  <c r="BU162" i="15"/>
  <c r="D23" i="6"/>
  <c r="J85" i="14" s="1"/>
  <c r="F53" i="6"/>
  <c r="D53" i="6" s="1"/>
  <c r="K46" i="6"/>
  <c r="J46" i="6"/>
  <c r="M51" i="6"/>
  <c r="K52" i="6"/>
  <c r="M46" i="6"/>
  <c r="F46" i="6" s="1"/>
  <c r="D46" i="6" s="1"/>
  <c r="N52" i="6"/>
  <c r="F52" i="6" s="1"/>
  <c r="D52" i="6" s="1"/>
  <c r="I47" i="6"/>
  <c r="N47" i="6" s="1"/>
  <c r="N51" i="6"/>
  <c r="J52" i="6"/>
  <c r="K51" i="6"/>
  <c r="G284" i="13"/>
  <c r="E50" i="6" s="1"/>
  <c r="I50" i="6" s="1"/>
  <c r="E48" i="6"/>
  <c r="G238" i="13"/>
  <c r="V80" i="15"/>
  <c r="U80" i="15"/>
  <c r="T80" i="15"/>
  <c r="Q79" i="15"/>
  <c r="Q78" i="15"/>
  <c r="Q77" i="15"/>
  <c r="Q76" i="15"/>
  <c r="Q75" i="15"/>
  <c r="Q74" i="15"/>
  <c r="Q73" i="15"/>
  <c r="Q72" i="15"/>
  <c r="Q71" i="15"/>
  <c r="Q70" i="15"/>
  <c r="Q69" i="15"/>
  <c r="Q68" i="15"/>
  <c r="Q67" i="15"/>
  <c r="Q66" i="15"/>
  <c r="Q65" i="15"/>
  <c r="Q64" i="15"/>
  <c r="Q63" i="15"/>
  <c r="Q62" i="15"/>
  <c r="Q61" i="15"/>
  <c r="Q60" i="15"/>
  <c r="Q59" i="15"/>
  <c r="Q58" i="15"/>
  <c r="Q57" i="15"/>
  <c r="Q56" i="15"/>
  <c r="Q55" i="15"/>
  <c r="Q54" i="15"/>
  <c r="Q53" i="15"/>
  <c r="Q52" i="15"/>
  <c r="Q51" i="15"/>
  <c r="Q50" i="15"/>
  <c r="Q49" i="15"/>
  <c r="Q48" i="15"/>
  <c r="Q43" i="15"/>
  <c r="Q42" i="15"/>
  <c r="Q41" i="15"/>
  <c r="Q40" i="15"/>
  <c r="Q39" i="15"/>
  <c r="Q38" i="15"/>
  <c r="Q37" i="15"/>
  <c r="Q36" i="15"/>
  <c r="Q35" i="15"/>
  <c r="Q34" i="15"/>
  <c r="Q33" i="15"/>
  <c r="Q32" i="15"/>
  <c r="Q31" i="15"/>
  <c r="Q30" i="15"/>
  <c r="Q29" i="15"/>
  <c r="Q28" i="15"/>
  <c r="Q27" i="15"/>
  <c r="Q26" i="15"/>
  <c r="Q25" i="15"/>
  <c r="Q24" i="15"/>
  <c r="Q23" i="15"/>
  <c r="Q22" i="15"/>
  <c r="Q21" i="15"/>
  <c r="Q20" i="15"/>
  <c r="Q19" i="15"/>
  <c r="Q18" i="15"/>
  <c r="Q17" i="15"/>
  <c r="Q16" i="15"/>
  <c r="Q15" i="15"/>
  <c r="Q14" i="15"/>
  <c r="Q13" i="15"/>
  <c r="W12" i="15"/>
  <c r="X12" i="15" s="1"/>
  <c r="V12" i="15"/>
  <c r="Q12" i="15"/>
  <c r="V8" i="15"/>
  <c r="W8" i="15" s="1"/>
  <c r="W7" i="15"/>
  <c r="S7" i="15"/>
  <c r="S6" i="15"/>
  <c r="BT80" i="15"/>
  <c r="BS80" i="15"/>
  <c r="BR80" i="15"/>
  <c r="BQ80" i="15"/>
  <c r="BO79" i="15"/>
  <c r="BO78" i="15"/>
  <c r="BO77" i="15"/>
  <c r="BO76" i="15"/>
  <c r="BO75" i="15"/>
  <c r="BO74" i="15"/>
  <c r="BO73" i="15"/>
  <c r="BO72" i="15"/>
  <c r="BO71" i="15"/>
  <c r="BO70" i="15"/>
  <c r="BO69" i="15"/>
  <c r="BO68" i="15"/>
  <c r="BO67" i="15"/>
  <c r="BO66" i="15"/>
  <c r="BO65" i="15"/>
  <c r="BO64" i="15"/>
  <c r="BO63" i="15"/>
  <c r="BO62" i="15"/>
  <c r="BO61" i="15"/>
  <c r="BO60" i="15"/>
  <c r="BO59" i="15"/>
  <c r="BO58" i="15"/>
  <c r="BO57" i="15"/>
  <c r="BO56" i="15"/>
  <c r="BO55" i="15"/>
  <c r="BO54" i="15"/>
  <c r="BO53" i="15"/>
  <c r="BO52" i="15"/>
  <c r="BO51" i="15"/>
  <c r="BO50" i="15"/>
  <c r="BO49" i="15"/>
  <c r="BO48" i="15"/>
  <c r="BO43" i="15"/>
  <c r="BO42" i="15"/>
  <c r="BO41" i="15"/>
  <c r="BO40" i="15"/>
  <c r="BO39" i="15"/>
  <c r="BO38" i="15"/>
  <c r="BO37" i="15"/>
  <c r="BO36" i="15"/>
  <c r="BO35" i="15"/>
  <c r="BO34" i="15"/>
  <c r="BO33" i="15"/>
  <c r="BO32" i="15"/>
  <c r="BO31" i="15"/>
  <c r="BO30" i="15"/>
  <c r="BO29" i="15"/>
  <c r="BO28" i="15"/>
  <c r="BO27" i="15"/>
  <c r="BO26" i="15"/>
  <c r="BO25" i="15"/>
  <c r="BO24" i="15"/>
  <c r="BO23" i="15"/>
  <c r="BO22" i="15"/>
  <c r="BO21" i="15"/>
  <c r="BO20" i="15"/>
  <c r="BO19" i="15"/>
  <c r="BO18" i="15"/>
  <c r="BO17" i="15"/>
  <c r="BO16" i="15"/>
  <c r="BO15" i="15"/>
  <c r="BO14" i="15"/>
  <c r="BO13" i="15"/>
  <c r="BO12" i="15"/>
  <c r="BS11" i="15"/>
  <c r="BS47" i="15" s="1"/>
  <c r="BR11" i="15"/>
  <c r="BR47" i="15" s="1"/>
  <c r="BQ11" i="15"/>
  <c r="BQ47" i="15" s="1"/>
  <c r="BT8" i="15"/>
  <c r="BU8" i="15" s="1"/>
  <c r="BQ7" i="15"/>
  <c r="BQ6" i="15"/>
  <c r="BJ80" i="15"/>
  <c r="BI80" i="15"/>
  <c r="BE79" i="15"/>
  <c r="BE78" i="15"/>
  <c r="BE77" i="15"/>
  <c r="BE76" i="15"/>
  <c r="BE75" i="15"/>
  <c r="BE74" i="15"/>
  <c r="BE73" i="15"/>
  <c r="BE72" i="15"/>
  <c r="BE71" i="15"/>
  <c r="BE70" i="15"/>
  <c r="BE69" i="15"/>
  <c r="BE68" i="15"/>
  <c r="BE67" i="15"/>
  <c r="BE66" i="15"/>
  <c r="BE65" i="15"/>
  <c r="BE64" i="15"/>
  <c r="BE63" i="15"/>
  <c r="BE62" i="15"/>
  <c r="BE61" i="15"/>
  <c r="BE60" i="15"/>
  <c r="BE59" i="15"/>
  <c r="BE58" i="15"/>
  <c r="BE57" i="15"/>
  <c r="BE56" i="15"/>
  <c r="BE55" i="15"/>
  <c r="BE54" i="15"/>
  <c r="BE53" i="15"/>
  <c r="BE52" i="15"/>
  <c r="BE51" i="15"/>
  <c r="BE50" i="15"/>
  <c r="BE49" i="15"/>
  <c r="BE48" i="15"/>
  <c r="BE43" i="15"/>
  <c r="BE42" i="15"/>
  <c r="BE41" i="15"/>
  <c r="BE40" i="15"/>
  <c r="BE39" i="15"/>
  <c r="BE38" i="15"/>
  <c r="BE37" i="15"/>
  <c r="BE36" i="15"/>
  <c r="BE35" i="15"/>
  <c r="BE34" i="15"/>
  <c r="BE33" i="15"/>
  <c r="BE32" i="15"/>
  <c r="BE31" i="15"/>
  <c r="BE30" i="15"/>
  <c r="BE29" i="15"/>
  <c r="BE28" i="15"/>
  <c r="BE27" i="15"/>
  <c r="BE26" i="15"/>
  <c r="BE25" i="15"/>
  <c r="BE24" i="15"/>
  <c r="BE23" i="15"/>
  <c r="BE22" i="15"/>
  <c r="BE21" i="15"/>
  <c r="BE20" i="15"/>
  <c r="BE19" i="15"/>
  <c r="BE18" i="15"/>
  <c r="BE17" i="15"/>
  <c r="BE16" i="15"/>
  <c r="BE15" i="15"/>
  <c r="BE14" i="15"/>
  <c r="BE13" i="15"/>
  <c r="BK12" i="15"/>
  <c r="BJ12" i="15"/>
  <c r="BE12" i="15"/>
  <c r="BK8" i="15"/>
  <c r="BJ8" i="15"/>
  <c r="BG7" i="15"/>
  <c r="BG6" i="15"/>
  <c r="AZ80" i="15"/>
  <c r="AY80" i="15"/>
  <c r="AU79" i="15"/>
  <c r="AU78" i="15"/>
  <c r="AU77" i="15"/>
  <c r="AU76" i="15"/>
  <c r="AU75" i="15"/>
  <c r="AU74" i="15"/>
  <c r="AU73" i="15"/>
  <c r="AU72" i="15"/>
  <c r="AU71" i="15"/>
  <c r="AU70" i="15"/>
  <c r="AU69" i="15"/>
  <c r="AU68" i="15"/>
  <c r="AU67" i="15"/>
  <c r="AU66" i="15"/>
  <c r="AU65" i="15"/>
  <c r="AU64" i="15"/>
  <c r="AU63" i="15"/>
  <c r="AU62" i="15"/>
  <c r="AU61" i="15"/>
  <c r="AU60" i="15"/>
  <c r="AU59" i="15"/>
  <c r="AU58" i="15"/>
  <c r="AU57" i="15"/>
  <c r="AU56" i="15"/>
  <c r="AU55" i="15"/>
  <c r="AU54" i="15"/>
  <c r="AU53" i="15"/>
  <c r="AU52" i="15"/>
  <c r="AU51" i="15"/>
  <c r="AU50" i="15"/>
  <c r="AU49" i="15"/>
  <c r="AU48" i="15"/>
  <c r="AU43" i="15"/>
  <c r="AU42" i="15"/>
  <c r="AU41" i="15"/>
  <c r="AU40" i="15"/>
  <c r="AU39" i="15"/>
  <c r="AU38" i="15"/>
  <c r="AU37" i="15"/>
  <c r="AU36" i="15"/>
  <c r="AU35" i="15"/>
  <c r="AU34" i="15"/>
  <c r="AU33" i="15"/>
  <c r="AU32" i="15"/>
  <c r="AU31" i="15"/>
  <c r="AU30" i="15"/>
  <c r="AU29" i="15"/>
  <c r="AU28" i="15"/>
  <c r="AU27" i="15"/>
  <c r="AU26" i="15"/>
  <c r="AU25" i="15"/>
  <c r="AU24" i="15"/>
  <c r="AU23" i="15"/>
  <c r="AU22" i="15"/>
  <c r="AU21" i="15"/>
  <c r="AU20" i="15"/>
  <c r="AU19" i="15"/>
  <c r="AU18" i="15"/>
  <c r="AU17" i="15"/>
  <c r="AU16" i="15"/>
  <c r="AU15" i="15"/>
  <c r="AU14" i="15"/>
  <c r="AU13" i="15"/>
  <c r="BA12" i="15"/>
  <c r="AZ12" i="15"/>
  <c r="AU12" i="15"/>
  <c r="AY11" i="15"/>
  <c r="AY47" i="15" s="1"/>
  <c r="AX11" i="15"/>
  <c r="AX47" i="15" s="1"/>
  <c r="AW11" i="15"/>
  <c r="AW47" i="15" s="1"/>
  <c r="AZ8" i="15"/>
  <c r="BA8" i="15" s="1"/>
  <c r="AW7" i="15"/>
  <c r="AW6" i="15"/>
  <c r="J31" i="6"/>
  <c r="K31" i="6"/>
  <c r="K30" i="6"/>
  <c r="J30" i="6"/>
  <c r="K20" i="6"/>
  <c r="K16" i="6"/>
  <c r="J11" i="6"/>
  <c r="J36" i="6"/>
  <c r="AP80" i="15"/>
  <c r="AO80" i="15"/>
  <c r="AK79" i="15"/>
  <c r="AK78" i="15"/>
  <c r="AK77" i="15"/>
  <c r="AK76" i="15"/>
  <c r="AK75" i="15"/>
  <c r="AK74" i="15"/>
  <c r="AK73" i="15"/>
  <c r="AK72" i="15"/>
  <c r="AK71" i="15"/>
  <c r="AK70" i="15"/>
  <c r="AK69" i="15"/>
  <c r="AK68" i="15"/>
  <c r="AK67" i="15"/>
  <c r="AK66" i="15"/>
  <c r="AK65" i="15"/>
  <c r="AK64" i="15"/>
  <c r="AK63" i="15"/>
  <c r="AK62" i="15"/>
  <c r="AK61" i="15"/>
  <c r="AK60" i="15"/>
  <c r="AK59" i="15"/>
  <c r="AK58" i="15"/>
  <c r="AK57" i="15"/>
  <c r="AK56" i="15"/>
  <c r="AK55" i="15"/>
  <c r="AK54" i="15"/>
  <c r="AK53" i="15"/>
  <c r="AK52" i="15"/>
  <c r="AK51" i="15"/>
  <c r="AK50" i="15"/>
  <c r="AK49" i="15"/>
  <c r="AK48" i="15"/>
  <c r="AK43" i="15"/>
  <c r="AK42" i="15"/>
  <c r="AK41" i="15"/>
  <c r="AK40" i="15"/>
  <c r="AK39" i="15"/>
  <c r="AK38" i="15"/>
  <c r="AK37" i="15"/>
  <c r="AK36" i="15"/>
  <c r="AK35" i="15"/>
  <c r="AK34" i="15"/>
  <c r="AK33" i="15"/>
  <c r="AK32" i="15"/>
  <c r="AK31" i="15"/>
  <c r="AK30" i="15"/>
  <c r="AK29" i="15"/>
  <c r="AK28" i="15"/>
  <c r="AK27" i="15"/>
  <c r="AK26" i="15"/>
  <c r="AK25" i="15"/>
  <c r="AK24" i="15"/>
  <c r="AK23" i="15"/>
  <c r="AK22" i="15"/>
  <c r="AK21" i="15"/>
  <c r="AK20" i="15"/>
  <c r="AK19" i="15"/>
  <c r="AK18" i="15"/>
  <c r="AK17" i="15"/>
  <c r="AK16" i="15"/>
  <c r="AK15" i="15"/>
  <c r="AK14" i="15"/>
  <c r="AK13" i="15"/>
  <c r="AQ12" i="15"/>
  <c r="AP12" i="15"/>
  <c r="AK12" i="15"/>
  <c r="AO11" i="15"/>
  <c r="AO47" i="15" s="1"/>
  <c r="AN11" i="15"/>
  <c r="AN47" i="15" s="1"/>
  <c r="AM11" i="15"/>
  <c r="AM47" i="15" s="1"/>
  <c r="AP8" i="15"/>
  <c r="AQ8" i="15" s="1"/>
  <c r="AM7" i="15"/>
  <c r="AM6" i="15"/>
  <c r="AF80" i="15"/>
  <c r="AE80" i="15"/>
  <c r="AD80" i="15"/>
  <c r="AA79" i="15"/>
  <c r="AA78" i="15"/>
  <c r="AA77" i="15"/>
  <c r="AA76" i="15"/>
  <c r="AA75" i="15"/>
  <c r="AA74" i="15"/>
  <c r="AA73" i="15"/>
  <c r="AA72" i="15"/>
  <c r="AA71" i="15"/>
  <c r="AA70" i="15"/>
  <c r="AA69" i="15"/>
  <c r="AA68" i="15"/>
  <c r="AA67" i="15"/>
  <c r="AA66" i="15"/>
  <c r="AA65" i="15"/>
  <c r="AA64" i="15"/>
  <c r="AA63" i="15"/>
  <c r="AA62" i="15"/>
  <c r="AA61" i="15"/>
  <c r="AA60" i="15"/>
  <c r="AA59" i="15"/>
  <c r="AA58" i="15"/>
  <c r="AA57" i="15"/>
  <c r="AA56" i="15"/>
  <c r="AA55" i="15"/>
  <c r="AA54" i="15"/>
  <c r="AA53" i="15"/>
  <c r="AA52" i="15"/>
  <c r="AA51" i="15"/>
  <c r="AA50" i="15"/>
  <c r="AA49" i="15"/>
  <c r="AA48" i="15"/>
  <c r="AA43" i="15"/>
  <c r="AA42" i="15"/>
  <c r="AA41" i="15"/>
  <c r="AA40" i="15"/>
  <c r="AA39" i="15"/>
  <c r="AA38" i="15"/>
  <c r="AA37" i="15"/>
  <c r="AA36" i="15"/>
  <c r="AA35" i="15"/>
  <c r="AA34" i="15"/>
  <c r="AA33" i="15"/>
  <c r="AA32" i="15"/>
  <c r="AA31" i="15"/>
  <c r="AA30" i="15"/>
  <c r="AA29" i="15"/>
  <c r="AA28" i="15"/>
  <c r="AA27" i="15"/>
  <c r="AA26" i="15"/>
  <c r="AA25" i="15"/>
  <c r="AA24" i="15"/>
  <c r="AA23" i="15"/>
  <c r="AA22" i="15"/>
  <c r="AA21" i="15"/>
  <c r="AA20" i="15"/>
  <c r="AA19" i="15"/>
  <c r="AA18" i="15"/>
  <c r="AA17" i="15"/>
  <c r="AA16" i="15"/>
  <c r="AA15" i="15"/>
  <c r="AA14" i="15"/>
  <c r="AA13" i="15"/>
  <c r="AG12" i="15"/>
  <c r="AH12" i="15" s="1"/>
  <c r="AF12" i="15"/>
  <c r="AA12" i="15"/>
  <c r="AE11" i="15"/>
  <c r="AE47" i="15" s="1"/>
  <c r="AD11" i="15"/>
  <c r="AD47" i="15" s="1"/>
  <c r="AC11" i="15"/>
  <c r="AC47" i="15" s="1"/>
  <c r="AF8" i="15"/>
  <c r="AG8" i="15" s="1"/>
  <c r="AG7" i="15"/>
  <c r="AC7" i="15"/>
  <c r="AC6" i="15"/>
  <c r="H12" i="15"/>
  <c r="D7" i="6"/>
  <c r="W78" i="15" s="1"/>
  <c r="G12" i="15"/>
  <c r="B74" i="15"/>
  <c r="B75" i="15"/>
  <c r="B76" i="15"/>
  <c r="B77" i="15"/>
  <c r="B78" i="15"/>
  <c r="B79" i="15"/>
  <c r="B13" i="15"/>
  <c r="B14" i="15"/>
  <c r="B15" i="15"/>
  <c r="B16" i="15"/>
  <c r="B17" i="15"/>
  <c r="B18" i="15"/>
  <c r="B19" i="15"/>
  <c r="B20" i="15"/>
  <c r="B21" i="15"/>
  <c r="B22" i="15"/>
  <c r="B23" i="15"/>
  <c r="B24" i="15"/>
  <c r="B25" i="15"/>
  <c r="B26" i="15"/>
  <c r="B27" i="15"/>
  <c r="B28" i="15"/>
  <c r="B29" i="15"/>
  <c r="B30" i="15"/>
  <c r="B31" i="15"/>
  <c r="B32" i="15"/>
  <c r="B33" i="15"/>
  <c r="B34" i="15"/>
  <c r="B35" i="15"/>
  <c r="B36" i="15"/>
  <c r="B37" i="15"/>
  <c r="B38" i="15"/>
  <c r="B39" i="15"/>
  <c r="B40" i="15"/>
  <c r="B41" i="15"/>
  <c r="B42" i="15"/>
  <c r="B43" i="15"/>
  <c r="B48" i="15"/>
  <c r="B49" i="15"/>
  <c r="B50" i="15"/>
  <c r="B51" i="15"/>
  <c r="B52" i="15"/>
  <c r="B53" i="15"/>
  <c r="B54" i="15"/>
  <c r="B55" i="15"/>
  <c r="B56" i="15"/>
  <c r="B57" i="15"/>
  <c r="B58" i="15"/>
  <c r="B59" i="15"/>
  <c r="B60" i="15"/>
  <c r="B61" i="15"/>
  <c r="B62" i="15"/>
  <c r="B63" i="15"/>
  <c r="B64" i="15"/>
  <c r="B65" i="15"/>
  <c r="B66" i="15"/>
  <c r="B67" i="15"/>
  <c r="B68" i="15"/>
  <c r="B69" i="15"/>
  <c r="B70" i="15"/>
  <c r="B71" i="15"/>
  <c r="B72" i="15"/>
  <c r="B73" i="15"/>
  <c r="B12" i="15"/>
  <c r="E5" i="6"/>
  <c r="H40" i="3"/>
  <c r="M21" i="6"/>
  <c r="N21" i="6" s="1"/>
  <c r="M22" i="6"/>
  <c r="N22" i="6" s="1"/>
  <c r="M20" i="6"/>
  <c r="M30" i="6"/>
  <c r="G8" i="15"/>
  <c r="H8" i="15" s="1"/>
  <c r="H7" i="15"/>
  <c r="BU80" i="15" l="1"/>
  <c r="G259" i="13"/>
  <c r="E49" i="6" s="1"/>
  <c r="K47" i="6"/>
  <c r="J47" i="6"/>
  <c r="M47" i="6"/>
  <c r="F47" i="6" s="1"/>
  <c r="D47" i="6" s="1"/>
  <c r="F51" i="6"/>
  <c r="D51" i="6" s="1"/>
  <c r="I48" i="6"/>
  <c r="J48" i="6" s="1"/>
  <c r="N30" i="6"/>
  <c r="F30" i="6" s="1"/>
  <c r="D30" i="6" s="1"/>
  <c r="J50" i="6"/>
  <c r="W50" i="15"/>
  <c r="W54" i="15"/>
  <c r="W58" i="15"/>
  <c r="W62" i="15"/>
  <c r="W66" i="15"/>
  <c r="W70" i="15"/>
  <c r="W74" i="15"/>
  <c r="BK161" i="15"/>
  <c r="W161" i="15"/>
  <c r="BA160" i="15"/>
  <c r="H160" i="15"/>
  <c r="AQ159" i="15"/>
  <c r="BU158" i="15"/>
  <c r="AG158" i="15"/>
  <c r="BK157" i="15"/>
  <c r="W157" i="15"/>
  <c r="BA156" i="15"/>
  <c r="H156" i="15"/>
  <c r="AQ155" i="15"/>
  <c r="BU154" i="15"/>
  <c r="AG154" i="15"/>
  <c r="BK153" i="15"/>
  <c r="W153" i="15"/>
  <c r="BA152" i="15"/>
  <c r="H152" i="15"/>
  <c r="AQ151" i="15"/>
  <c r="BU150" i="15"/>
  <c r="AG150" i="15"/>
  <c r="BK149" i="15"/>
  <c r="W149" i="15"/>
  <c r="BA148" i="15"/>
  <c r="H148" i="15"/>
  <c r="AQ147" i="15"/>
  <c r="BU146" i="15"/>
  <c r="AG146" i="15"/>
  <c r="BK145" i="15"/>
  <c r="W145" i="15"/>
  <c r="BA144" i="15"/>
  <c r="H144" i="15"/>
  <c r="AQ143" i="15"/>
  <c r="BU142" i="15"/>
  <c r="AG142" i="15"/>
  <c r="BK141" i="15"/>
  <c r="W141" i="15"/>
  <c r="BA140" i="15"/>
  <c r="H140" i="15"/>
  <c r="AQ139" i="15"/>
  <c r="BU138" i="15"/>
  <c r="AG138" i="15"/>
  <c r="BK137" i="15"/>
  <c r="W137" i="15"/>
  <c r="BA136" i="15"/>
  <c r="H136" i="15"/>
  <c r="AQ135" i="15"/>
  <c r="BU134" i="15"/>
  <c r="AG134" i="15"/>
  <c r="BK133" i="15"/>
  <c r="W133" i="15"/>
  <c r="BA132" i="15"/>
  <c r="H132" i="15"/>
  <c r="AQ131" i="15"/>
  <c r="BA161" i="15"/>
  <c r="H161" i="15"/>
  <c r="AQ160" i="15"/>
  <c r="BU159" i="15"/>
  <c r="AG159" i="15"/>
  <c r="BK158" i="15"/>
  <c r="W158" i="15"/>
  <c r="BA157" i="15"/>
  <c r="H157" i="15"/>
  <c r="AQ156" i="15"/>
  <c r="BU155" i="15"/>
  <c r="AG155" i="15"/>
  <c r="BK154" i="15"/>
  <c r="W154" i="15"/>
  <c r="BA153" i="15"/>
  <c r="H153" i="15"/>
  <c r="AQ152" i="15"/>
  <c r="BU151" i="15"/>
  <c r="AG151" i="15"/>
  <c r="BK150" i="15"/>
  <c r="W150" i="15"/>
  <c r="BA149" i="15"/>
  <c r="H149" i="15"/>
  <c r="AQ148" i="15"/>
  <c r="BU147" i="15"/>
  <c r="AG147" i="15"/>
  <c r="BK146" i="15"/>
  <c r="W146" i="15"/>
  <c r="BA145" i="15"/>
  <c r="H145" i="15"/>
  <c r="AQ144" i="15"/>
  <c r="BU143" i="15"/>
  <c r="AG143" i="15"/>
  <c r="BK142" i="15"/>
  <c r="W142" i="15"/>
  <c r="BA141" i="15"/>
  <c r="H141" i="15"/>
  <c r="AQ140" i="15"/>
  <c r="BU139" i="15"/>
  <c r="AG139" i="15"/>
  <c r="BK138" i="15"/>
  <c r="W138" i="15"/>
  <c r="BA137" i="15"/>
  <c r="H137" i="15"/>
  <c r="AQ136" i="15"/>
  <c r="BU135" i="15"/>
  <c r="AG135" i="15"/>
  <c r="BK134" i="15"/>
  <c r="W134" i="15"/>
  <c r="BA133" i="15"/>
  <c r="H133" i="15"/>
  <c r="AQ132" i="15"/>
  <c r="BU131" i="15"/>
  <c r="AG131" i="15"/>
  <c r="H155" i="15"/>
  <c r="AQ142" i="15"/>
  <c r="BU137" i="15"/>
  <c r="H135" i="15"/>
  <c r="W132" i="15"/>
  <c r="BA159" i="15"/>
  <c r="BK140" i="15"/>
  <c r="W136" i="15"/>
  <c r="BK132" i="15"/>
  <c r="AQ161" i="15"/>
  <c r="BU160" i="15"/>
  <c r="AG160" i="15"/>
  <c r="BK159" i="15"/>
  <c r="W159" i="15"/>
  <c r="BA158" i="15"/>
  <c r="H158" i="15"/>
  <c r="AQ157" i="15"/>
  <c r="BU156" i="15"/>
  <c r="AG156" i="15"/>
  <c r="BK155" i="15"/>
  <c r="W155" i="15"/>
  <c r="BA154" i="15"/>
  <c r="H154" i="15"/>
  <c r="AQ153" i="15"/>
  <c r="BU152" i="15"/>
  <c r="AG152" i="15"/>
  <c r="BK151" i="15"/>
  <c r="W151" i="15"/>
  <c r="BA150" i="15"/>
  <c r="H150" i="15"/>
  <c r="AQ149" i="15"/>
  <c r="BU148" i="15"/>
  <c r="AG148" i="15"/>
  <c r="BK147" i="15"/>
  <c r="W147" i="15"/>
  <c r="BA146" i="15"/>
  <c r="H146" i="15"/>
  <c r="AQ145" i="15"/>
  <c r="BU144" i="15"/>
  <c r="AG144" i="15"/>
  <c r="BK143" i="15"/>
  <c r="W143" i="15"/>
  <c r="BA142" i="15"/>
  <c r="H142" i="15"/>
  <c r="AQ141" i="15"/>
  <c r="BU140" i="15"/>
  <c r="AG140" i="15"/>
  <c r="BK139" i="15"/>
  <c r="W139" i="15"/>
  <c r="BA138" i="15"/>
  <c r="H138" i="15"/>
  <c r="AQ137" i="15"/>
  <c r="BU136" i="15"/>
  <c r="AG136" i="15"/>
  <c r="BK135" i="15"/>
  <c r="W135" i="15"/>
  <c r="BA134" i="15"/>
  <c r="H134" i="15"/>
  <c r="AQ133" i="15"/>
  <c r="BU132" i="15"/>
  <c r="AG132" i="15"/>
  <c r="BK131" i="15"/>
  <c r="W131" i="15"/>
  <c r="AQ158" i="15"/>
  <c r="W144" i="15"/>
  <c r="AQ138" i="15"/>
  <c r="AQ134" i="15"/>
  <c r="BA131" i="15"/>
  <c r="AG161" i="15"/>
  <c r="BU157" i="15"/>
  <c r="W156" i="15"/>
  <c r="AQ154" i="15"/>
  <c r="AG153" i="15"/>
  <c r="W152" i="15"/>
  <c r="H151" i="15"/>
  <c r="BU149" i="15"/>
  <c r="BK148" i="15"/>
  <c r="BA147" i="15"/>
  <c r="AQ146" i="15"/>
  <c r="AG145" i="15"/>
  <c r="BA143" i="15"/>
  <c r="BU141" i="15"/>
  <c r="BA139" i="15"/>
  <c r="BK136" i="15"/>
  <c r="BU133" i="15"/>
  <c r="H131" i="15"/>
  <c r="BU161" i="15"/>
  <c r="BK160" i="15"/>
  <c r="W160" i="15"/>
  <c r="H159" i="15"/>
  <c r="AG157" i="15"/>
  <c r="BK156" i="15"/>
  <c r="BA155" i="15"/>
  <c r="BU153" i="15"/>
  <c r="BK152" i="15"/>
  <c r="BA151" i="15"/>
  <c r="AQ150" i="15"/>
  <c r="AG149" i="15"/>
  <c r="W148" i="15"/>
  <c r="H147" i="15"/>
  <c r="BU145" i="15"/>
  <c r="BK144" i="15"/>
  <c r="H143" i="15"/>
  <c r="AG141" i="15"/>
  <c r="W140" i="15"/>
  <c r="H139" i="15"/>
  <c r="AG137" i="15"/>
  <c r="BA135" i="15"/>
  <c r="AG133" i="15"/>
  <c r="W51" i="15"/>
  <c r="W55" i="15"/>
  <c r="W59" i="15"/>
  <c r="W63" i="15"/>
  <c r="W67" i="15"/>
  <c r="W71" i="15"/>
  <c r="W75" i="15"/>
  <c r="W79" i="15"/>
  <c r="W52" i="15"/>
  <c r="W56" i="15"/>
  <c r="W60" i="15"/>
  <c r="W64" i="15"/>
  <c r="W68" i="15"/>
  <c r="W72" i="15"/>
  <c r="W76" i="15"/>
  <c r="W49" i="15"/>
  <c r="W53" i="15"/>
  <c r="W57" i="15"/>
  <c r="W61" i="15"/>
  <c r="W65" i="15"/>
  <c r="W69" i="15"/>
  <c r="W73" i="15"/>
  <c r="W77" i="15"/>
  <c r="J21" i="6"/>
  <c r="BU79" i="15"/>
  <c r="BU75" i="15"/>
  <c r="BU71" i="15"/>
  <c r="BU67" i="15"/>
  <c r="BU63" i="15"/>
  <c r="BU59" i="15"/>
  <c r="BU55" i="15"/>
  <c r="BU51" i="15"/>
  <c r="BA77" i="15"/>
  <c r="BA73" i="15"/>
  <c r="BA69" i="15"/>
  <c r="BA65" i="15"/>
  <c r="BA61" i="15"/>
  <c r="BA57" i="15"/>
  <c r="BA53" i="15"/>
  <c r="BA49" i="15"/>
  <c r="AG77" i="15"/>
  <c r="AG73" i="15"/>
  <c r="AG69" i="15"/>
  <c r="AG65" i="15"/>
  <c r="AG61" i="15"/>
  <c r="AG57" i="15"/>
  <c r="AG53" i="15"/>
  <c r="AG49" i="15"/>
  <c r="H52" i="15"/>
  <c r="H60" i="15"/>
  <c r="H68" i="15"/>
  <c r="H76" i="15"/>
  <c r="BK79" i="15"/>
  <c r="BK75" i="15"/>
  <c r="BK71" i="15"/>
  <c r="BK67" i="15"/>
  <c r="BK63" i="15"/>
  <c r="BK59" i="15"/>
  <c r="BK55" i="15"/>
  <c r="BK51" i="15"/>
  <c r="AQ78" i="15"/>
  <c r="AQ74" i="15"/>
  <c r="AQ70" i="15"/>
  <c r="AQ66" i="15"/>
  <c r="AQ62" i="15"/>
  <c r="AQ58" i="15"/>
  <c r="AQ54" i="15"/>
  <c r="AQ50" i="15"/>
  <c r="H53" i="15"/>
  <c r="H61" i="15"/>
  <c r="H69" i="15"/>
  <c r="H77" i="15"/>
  <c r="BK70" i="15"/>
  <c r="BK62" i="15"/>
  <c r="BK50" i="15"/>
  <c r="AQ77" i="15"/>
  <c r="AQ69" i="15"/>
  <c r="AQ65" i="15"/>
  <c r="AQ53" i="15"/>
  <c r="H55" i="15"/>
  <c r="H79" i="15"/>
  <c r="AQ76" i="15"/>
  <c r="AQ60" i="15"/>
  <c r="H73" i="15"/>
  <c r="BU78" i="15"/>
  <c r="BU74" i="15"/>
  <c r="BU70" i="15"/>
  <c r="BU66" i="15"/>
  <c r="BU62" i="15"/>
  <c r="BU58" i="15"/>
  <c r="BU54" i="15"/>
  <c r="BU50" i="15"/>
  <c r="BA76" i="15"/>
  <c r="BA72" i="15"/>
  <c r="BA68" i="15"/>
  <c r="BA64" i="15"/>
  <c r="BA60" i="15"/>
  <c r="BA56" i="15"/>
  <c r="BA52" i="15"/>
  <c r="AG76" i="15"/>
  <c r="AG72" i="15"/>
  <c r="AG68" i="15"/>
  <c r="AG64" i="15"/>
  <c r="AG60" i="15"/>
  <c r="AG56" i="15"/>
  <c r="AG52" i="15"/>
  <c r="H54" i="15"/>
  <c r="H62" i="15"/>
  <c r="H70" i="15"/>
  <c r="H78" i="15"/>
  <c r="BU77" i="15"/>
  <c r="BU73" i="15"/>
  <c r="BU69" i="15"/>
  <c r="BU65" i="15"/>
  <c r="BU61" i="15"/>
  <c r="BU57" i="15"/>
  <c r="BU53" i="15"/>
  <c r="BU49" i="15"/>
  <c r="BA79" i="15"/>
  <c r="BA75" i="15"/>
  <c r="BA71" i="15"/>
  <c r="BA67" i="15"/>
  <c r="BA63" i="15"/>
  <c r="BA59" i="15"/>
  <c r="BA55" i="15"/>
  <c r="BA51" i="15"/>
  <c r="AG79" i="15"/>
  <c r="AG75" i="15"/>
  <c r="AG71" i="15"/>
  <c r="AG67" i="15"/>
  <c r="AG63" i="15"/>
  <c r="AG59" i="15"/>
  <c r="AG55" i="15"/>
  <c r="AG51" i="15"/>
  <c r="H56" i="15"/>
  <c r="H64" i="15"/>
  <c r="H72" i="15"/>
  <c r="BK77" i="15"/>
  <c r="BK73" i="15"/>
  <c r="BK69" i="15"/>
  <c r="BK65" i="15"/>
  <c r="BK61" i="15"/>
  <c r="BK57" i="15"/>
  <c r="BK53" i="15"/>
  <c r="BK49" i="15"/>
  <c r="AQ72" i="15"/>
  <c r="AQ68" i="15"/>
  <c r="AQ64" i="15"/>
  <c r="AQ52" i="15"/>
  <c r="H57" i="15"/>
  <c r="BU76" i="15"/>
  <c r="BU72" i="15"/>
  <c r="BU68" i="15"/>
  <c r="BU64" i="15"/>
  <c r="BU60" i="15"/>
  <c r="BU56" i="15"/>
  <c r="BU52" i="15"/>
  <c r="BA78" i="15"/>
  <c r="BA74" i="15"/>
  <c r="BA70" i="15"/>
  <c r="BA66" i="15"/>
  <c r="BA62" i="15"/>
  <c r="BA58" i="15"/>
  <c r="BA54" i="15"/>
  <c r="BA50" i="15"/>
  <c r="AG78" i="15"/>
  <c r="AG74" i="15"/>
  <c r="AG70" i="15"/>
  <c r="AG66" i="15"/>
  <c r="AG62" i="15"/>
  <c r="AG58" i="15"/>
  <c r="AG54" i="15"/>
  <c r="AG50" i="15"/>
  <c r="H50" i="15"/>
  <c r="H58" i="15"/>
  <c r="H66" i="15"/>
  <c r="H74" i="15"/>
  <c r="BK74" i="15"/>
  <c r="BK58" i="15"/>
  <c r="AQ73" i="15"/>
  <c r="AQ61" i="15"/>
  <c r="AQ49" i="15"/>
  <c r="H71" i="15"/>
  <c r="H65" i="15"/>
  <c r="BK76" i="15"/>
  <c r="BK72" i="15"/>
  <c r="BK68" i="15"/>
  <c r="BK64" i="15"/>
  <c r="BK60" i="15"/>
  <c r="BK56" i="15"/>
  <c r="BK52" i="15"/>
  <c r="AQ79" i="15"/>
  <c r="AQ75" i="15"/>
  <c r="AQ71" i="15"/>
  <c r="AQ67" i="15"/>
  <c r="AQ63" i="15"/>
  <c r="AQ59" i="15"/>
  <c r="AQ55" i="15"/>
  <c r="AQ51" i="15"/>
  <c r="H51" i="15"/>
  <c r="H59" i="15"/>
  <c r="H67" i="15"/>
  <c r="H75" i="15"/>
  <c r="BK78" i="15"/>
  <c r="BK66" i="15"/>
  <c r="BK54" i="15"/>
  <c r="AQ57" i="15"/>
  <c r="H63" i="15"/>
  <c r="AQ56" i="15"/>
  <c r="H49" i="15"/>
  <c r="J22" i="6"/>
  <c r="K11" i="6"/>
  <c r="K21" i="6"/>
  <c r="J16" i="6"/>
  <c r="J20" i="6"/>
  <c r="K36" i="6"/>
  <c r="K22" i="6"/>
  <c r="BT12" i="15"/>
  <c r="BU12" i="15"/>
  <c r="BV12" i="15" s="1"/>
  <c r="BU6" i="15"/>
  <c r="J38" i="6"/>
  <c r="K38" i="6"/>
  <c r="K37" i="6"/>
  <c r="J37" i="6"/>
  <c r="F38" i="6"/>
  <c r="F37" i="6"/>
  <c r="F80" i="15"/>
  <c r="I49" i="6" l="1"/>
  <c r="K49" i="6" s="1"/>
  <c r="D37" i="6"/>
  <c r="AY6" i="15" s="1"/>
  <c r="D38" i="6"/>
  <c r="BI88" i="15" s="1"/>
  <c r="K48" i="6"/>
  <c r="N48" i="6"/>
  <c r="M48" i="6"/>
  <c r="J49" i="6"/>
  <c r="M50" i="6"/>
  <c r="K50" i="6"/>
  <c r="N50" i="6"/>
  <c r="M49" i="6"/>
  <c r="N49" i="6"/>
  <c r="F36" i="6"/>
  <c r="D36" i="6" s="1"/>
  <c r="AY88" i="15" l="1"/>
  <c r="BI6" i="15"/>
  <c r="F48" i="6"/>
  <c r="D48" i="6" s="1"/>
  <c r="F49" i="6"/>
  <c r="D49" i="6" s="1"/>
  <c r="F50" i="6"/>
  <c r="D50" i="6" s="1"/>
  <c r="AO6" i="15"/>
  <c r="AO88" i="15"/>
  <c r="F78" i="14"/>
  <c r="N20" i="6"/>
  <c r="I8" i="6" l="1"/>
  <c r="K8" i="6" s="1"/>
  <c r="F35" i="14"/>
  <c r="F22" i="6"/>
  <c r="G47" i="13"/>
  <c r="F21" i="6"/>
  <c r="F20" i="6"/>
  <c r="D20" i="6" s="1"/>
  <c r="G48" i="13"/>
  <c r="O16" i="13"/>
  <c r="F43" i="13" s="1"/>
  <c r="O14" i="13"/>
  <c r="O15" i="13"/>
  <c r="O13" i="13"/>
  <c r="E39" i="6" s="1"/>
  <c r="I39" i="6" l="1"/>
  <c r="J39" i="6" s="1"/>
  <c r="L38" i="14"/>
  <c r="L45" i="14" s="1"/>
  <c r="D21" i="6"/>
  <c r="N78" i="14" s="1"/>
  <c r="N83" i="14" s="1"/>
  <c r="J75" i="14"/>
  <c r="D22" i="6"/>
  <c r="J42" i="14" s="1"/>
  <c r="J32" i="14" s="1"/>
  <c r="M8" i="6"/>
  <c r="N8" i="6" s="1"/>
  <c r="F8" i="6" s="1"/>
  <c r="D8" i="6" s="1"/>
  <c r="J8" i="6"/>
  <c r="E40" i="6"/>
  <c r="F60" i="13"/>
  <c r="G60" i="13" s="1"/>
  <c r="G49" i="13"/>
  <c r="E42" i="6" s="1"/>
  <c r="M39" i="6" l="1"/>
  <c r="I40" i="6"/>
  <c r="K40" i="6" s="1"/>
  <c r="J40" i="6"/>
  <c r="K39" i="6"/>
  <c r="N39" i="6"/>
  <c r="L81" i="14"/>
  <c r="L88" i="14" s="1"/>
  <c r="N35" i="14"/>
  <c r="N40" i="14" s="1"/>
  <c r="I42" i="6"/>
  <c r="N42" i="6" s="1"/>
  <c r="G62" i="13"/>
  <c r="E44" i="6" s="1"/>
  <c r="I44" i="6" s="1"/>
  <c r="G43" i="13"/>
  <c r="E41" i="6" s="1"/>
  <c r="F39" i="6" l="1"/>
  <c r="D39" i="6" s="1"/>
  <c r="M40" i="6"/>
  <c r="N40" i="6"/>
  <c r="I41" i="6"/>
  <c r="K41" i="6" s="1"/>
  <c r="M42" i="6"/>
  <c r="F42" i="6" s="1"/>
  <c r="D42" i="6" s="1"/>
  <c r="K42" i="6"/>
  <c r="J42" i="6"/>
  <c r="F40" i="6" l="1"/>
  <c r="D40" i="6" s="1"/>
  <c r="J41" i="6"/>
  <c r="M41" i="6"/>
  <c r="N41" i="6"/>
  <c r="N44" i="6"/>
  <c r="M44" i="6"/>
  <c r="F44" i="6" s="1"/>
  <c r="D44" i="6" s="1"/>
  <c r="J44" i="6"/>
  <c r="K44" i="6"/>
  <c r="F41" i="6" l="1"/>
  <c r="D41" i="6" s="1"/>
  <c r="D5" i="6" l="1"/>
  <c r="D6" i="6"/>
  <c r="M11" i="6"/>
  <c r="N11" i="6"/>
  <c r="M16" i="6"/>
  <c r="M43" i="6" l="1"/>
  <c r="J43" i="6"/>
  <c r="K43" i="6"/>
  <c r="N43" i="6"/>
  <c r="F31" i="6"/>
  <c r="D31" i="6" s="1"/>
  <c r="F32" i="6"/>
  <c r="D32" i="6" s="1"/>
  <c r="F33" i="6"/>
  <c r="D33" i="6" s="1"/>
  <c r="F34" i="6"/>
  <c r="D34" i="6" s="1"/>
  <c r="F35" i="6"/>
  <c r="D35" i="6" s="1"/>
  <c r="E14" i="6"/>
  <c r="I14" i="6" l="1"/>
  <c r="M14" i="6"/>
  <c r="N14" i="6"/>
  <c r="F43" i="6"/>
  <c r="D43" i="6" s="1"/>
  <c r="BJ88" i="15"/>
  <c r="BH88" i="15" s="1"/>
  <c r="BK88" i="15" s="1"/>
  <c r="BJ6" i="15"/>
  <c r="BH6" i="15" s="1"/>
  <c r="BG95" i="15" s="1"/>
  <c r="V88" i="15"/>
  <c r="T88" i="15" s="1"/>
  <c r="W88" i="15" s="1"/>
  <c r="V6" i="15"/>
  <c r="AF6" i="15"/>
  <c r="AE95" i="15" s="1"/>
  <c r="AF88" i="15"/>
  <c r="AD88" i="15" s="1"/>
  <c r="AG88" i="15" s="1"/>
  <c r="AZ88" i="15"/>
  <c r="AX88" i="15" s="1"/>
  <c r="BA88" i="15" s="1"/>
  <c r="AZ6" i="15"/>
  <c r="AX6" i="15" s="1"/>
  <c r="AW95" i="15" s="1"/>
  <c r="AP88" i="15"/>
  <c r="AN88" i="15" s="1"/>
  <c r="AQ88" i="15" s="1"/>
  <c r="AP6" i="15"/>
  <c r="AN6" i="15" s="1"/>
  <c r="AM95" i="15" s="1"/>
  <c r="AP89" i="15"/>
  <c r="AO89" i="15" s="1"/>
  <c r="AQ89" i="15" s="1"/>
  <c r="BT89" i="15"/>
  <c r="BS89" i="15" s="1"/>
  <c r="BU89" i="15" s="1"/>
  <c r="BJ89" i="15"/>
  <c r="BI89" i="15" s="1"/>
  <c r="BK89" i="15" s="1"/>
  <c r="AZ89" i="15"/>
  <c r="AY89" i="15" s="1"/>
  <c r="BA89" i="15" s="1"/>
  <c r="AP7" i="15"/>
  <c r="AO7" i="15" s="1"/>
  <c r="AN95" i="15" s="1"/>
  <c r="AZ7" i="15"/>
  <c r="AY7" i="15" s="1"/>
  <c r="AX95" i="15" s="1"/>
  <c r="BT7" i="15"/>
  <c r="BS95" i="15" s="1"/>
  <c r="BJ7" i="15"/>
  <c r="BI7" i="15" s="1"/>
  <c r="BH95" i="15" s="1"/>
  <c r="E108" i="8"/>
  <c r="E107" i="8"/>
  <c r="E106" i="8"/>
  <c r="E105" i="8"/>
  <c r="E104" i="8"/>
  <c r="E103" i="8"/>
  <c r="E102" i="8"/>
  <c r="E101" i="8"/>
  <c r="E100" i="8"/>
  <c r="E99" i="8"/>
  <c r="E98" i="8"/>
  <c r="E97" i="8"/>
  <c r="E96" i="8"/>
  <c r="E95" i="8"/>
  <c r="E94" i="8"/>
  <c r="E93" i="8"/>
  <c r="E92" i="8"/>
  <c r="E91" i="8"/>
  <c r="E90" i="8"/>
  <c r="E89" i="8"/>
  <c r="E88" i="8"/>
  <c r="E87" i="8"/>
  <c r="E86" i="8"/>
  <c r="E85" i="8"/>
  <c r="E84" i="8"/>
  <c r="E83" i="8"/>
  <c r="E82" i="8"/>
  <c r="E81" i="8"/>
  <c r="E80" i="8"/>
  <c r="E79" i="8"/>
  <c r="E78" i="8"/>
  <c r="E77" i="8"/>
  <c r="E76" i="8"/>
  <c r="E75" i="8"/>
  <c r="E74" i="8"/>
  <c r="E73" i="8"/>
  <c r="E72" i="8"/>
  <c r="E71" i="8"/>
  <c r="E70" i="8"/>
  <c r="E69" i="8"/>
  <c r="E68" i="8"/>
  <c r="E67" i="8"/>
  <c r="E66" i="8"/>
  <c r="E65" i="8"/>
  <c r="E64" i="8"/>
  <c r="E63" i="8"/>
  <c r="E62" i="8"/>
  <c r="E61" i="8"/>
  <c r="E60" i="8"/>
  <c r="E59" i="8"/>
  <c r="E58" i="8"/>
  <c r="E57" i="8"/>
  <c r="E56" i="8"/>
  <c r="E55" i="8"/>
  <c r="E54" i="8"/>
  <c r="E53" i="8"/>
  <c r="E52" i="8"/>
  <c r="E51" i="8"/>
  <c r="E50" i="8"/>
  <c r="E49" i="8"/>
  <c r="E48" i="8"/>
  <c r="E47" i="8"/>
  <c r="E46" i="8"/>
  <c r="E45" i="8"/>
  <c r="E44" i="8"/>
  <c r="E43" i="8"/>
  <c r="E42" i="8"/>
  <c r="E41" i="8"/>
  <c r="E40" i="8"/>
  <c r="E39" i="8"/>
  <c r="E38" i="8"/>
  <c r="E37" i="8"/>
  <c r="E36" i="8"/>
  <c r="E35" i="8"/>
  <c r="E34" i="8"/>
  <c r="E33" i="8"/>
  <c r="E32" i="8"/>
  <c r="E31" i="8"/>
  <c r="E30" i="8"/>
  <c r="E29" i="8"/>
  <c r="E28" i="8"/>
  <c r="E27" i="8"/>
  <c r="E26" i="8"/>
  <c r="E25" i="8"/>
  <c r="E24" i="8"/>
  <c r="E23" i="8"/>
  <c r="L23" i="8" s="1"/>
  <c r="E22" i="8"/>
  <c r="E21" i="8"/>
  <c r="E20" i="8"/>
  <c r="E19" i="8"/>
  <c r="E18" i="8"/>
  <c r="E17" i="8"/>
  <c r="E16" i="8"/>
  <c r="E15" i="8"/>
  <c r="L15" i="8" s="1"/>
  <c r="E14" i="8"/>
  <c r="E13" i="8"/>
  <c r="E12" i="8"/>
  <c r="E11" i="8"/>
  <c r="E10" i="8"/>
  <c r="E9" i="8"/>
  <c r="E8" i="8"/>
  <c r="L6" i="8"/>
  <c r="L86" i="8" s="1"/>
  <c r="N18" i="15" l="1"/>
  <c r="M18" i="15" s="1"/>
  <c r="N100" i="15"/>
  <c r="M100" i="15" s="1"/>
  <c r="N26" i="15"/>
  <c r="M26" i="15" s="1"/>
  <c r="N108" i="15"/>
  <c r="M108" i="15" s="1"/>
  <c r="N116" i="15"/>
  <c r="M116" i="15" s="1"/>
  <c r="N34" i="15"/>
  <c r="M34" i="15" s="1"/>
  <c r="N124" i="15"/>
  <c r="M124" i="15" s="1"/>
  <c r="N42" i="15"/>
  <c r="M42" i="15" s="1"/>
  <c r="N115" i="15"/>
  <c r="M115" i="15" s="1"/>
  <c r="N33" i="15"/>
  <c r="M33" i="15" s="1"/>
  <c r="L31" i="8"/>
  <c r="L39" i="8"/>
  <c r="L47" i="8"/>
  <c r="L55" i="8"/>
  <c r="N19" i="15"/>
  <c r="M19" i="15" s="1"/>
  <c r="N101" i="15"/>
  <c r="M101" i="15" s="1"/>
  <c r="L63" i="8"/>
  <c r="N109" i="15"/>
  <c r="M109" i="15" s="1"/>
  <c r="N27" i="15"/>
  <c r="M27" i="15" s="1"/>
  <c r="L71" i="8"/>
  <c r="N35" i="15"/>
  <c r="M35" i="15" s="1"/>
  <c r="N117" i="15"/>
  <c r="M117" i="15" s="1"/>
  <c r="L79" i="8"/>
  <c r="N43" i="15"/>
  <c r="M43" i="15" s="1"/>
  <c r="N125" i="15"/>
  <c r="M125" i="15" s="1"/>
  <c r="L87" i="8"/>
  <c r="N17" i="15"/>
  <c r="M17" i="15" s="1"/>
  <c r="N99" i="15"/>
  <c r="M99" i="15" s="1"/>
  <c r="N41" i="15"/>
  <c r="M41" i="15" s="1"/>
  <c r="N123" i="15"/>
  <c r="M123" i="15" s="1"/>
  <c r="N12" i="15"/>
  <c r="N94" i="15"/>
  <c r="N102" i="15"/>
  <c r="M102" i="15" s="1"/>
  <c r="N20" i="15"/>
  <c r="M20" i="15" s="1"/>
  <c r="N110" i="15"/>
  <c r="M110" i="15" s="1"/>
  <c r="N28" i="15"/>
  <c r="M28" i="15" s="1"/>
  <c r="N118" i="15"/>
  <c r="M118" i="15" s="1"/>
  <c r="N36" i="15"/>
  <c r="M36" i="15" s="1"/>
  <c r="N25" i="15"/>
  <c r="M25" i="15" s="1"/>
  <c r="N107" i="15"/>
  <c r="M107" i="15" s="1"/>
  <c r="L88" i="8"/>
  <c r="N13" i="15"/>
  <c r="M13" i="15" s="1"/>
  <c r="N95" i="15"/>
  <c r="M95" i="15" s="1"/>
  <c r="N103" i="15"/>
  <c r="M103" i="15" s="1"/>
  <c r="N21" i="15"/>
  <c r="M21" i="15" s="1"/>
  <c r="N119" i="15"/>
  <c r="M119" i="15" s="1"/>
  <c r="N37" i="15"/>
  <c r="M37" i="15" s="1"/>
  <c r="N96" i="15"/>
  <c r="M96" i="15" s="1"/>
  <c r="N14" i="15"/>
  <c r="M14" i="15" s="1"/>
  <c r="N104" i="15"/>
  <c r="M104" i="15" s="1"/>
  <c r="N22" i="15"/>
  <c r="M22" i="15" s="1"/>
  <c r="N112" i="15"/>
  <c r="M112" i="15" s="1"/>
  <c r="N30" i="15"/>
  <c r="M30" i="15" s="1"/>
  <c r="N38" i="15"/>
  <c r="M38" i="15" s="1"/>
  <c r="N120" i="15"/>
  <c r="M120" i="15" s="1"/>
  <c r="L19" i="8"/>
  <c r="L35" i="8"/>
  <c r="L43" i="8"/>
  <c r="L51" i="8"/>
  <c r="N97" i="15"/>
  <c r="M97" i="15" s="1"/>
  <c r="N15" i="15"/>
  <c r="M15" i="15" s="1"/>
  <c r="L59" i="8"/>
  <c r="N23" i="15"/>
  <c r="M23" i="15" s="1"/>
  <c r="N105" i="15"/>
  <c r="M105" i="15" s="1"/>
  <c r="L67" i="8"/>
  <c r="N113" i="15"/>
  <c r="M113" i="15" s="1"/>
  <c r="N31" i="15"/>
  <c r="M31" i="15" s="1"/>
  <c r="L75" i="8"/>
  <c r="N39" i="15"/>
  <c r="M39" i="15" s="1"/>
  <c r="N121" i="15"/>
  <c r="M121" i="15" s="1"/>
  <c r="L83" i="8"/>
  <c r="N111" i="15"/>
  <c r="M111" i="15" s="1"/>
  <c r="N29" i="15"/>
  <c r="M29" i="15" s="1"/>
  <c r="L11" i="8"/>
  <c r="L27" i="8"/>
  <c r="N16" i="15"/>
  <c r="M16" i="15" s="1"/>
  <c r="N98" i="15"/>
  <c r="M98" i="15" s="1"/>
  <c r="N24" i="15"/>
  <c r="M24" i="15" s="1"/>
  <c r="N106" i="15"/>
  <c r="M106" i="15" s="1"/>
  <c r="N114" i="15"/>
  <c r="M114" i="15" s="1"/>
  <c r="N32" i="15"/>
  <c r="M32" i="15" s="1"/>
  <c r="N122" i="15"/>
  <c r="M122" i="15" s="1"/>
  <c r="N40" i="15"/>
  <c r="M40" i="15" s="1"/>
  <c r="BB95" i="15"/>
  <c r="AR95" i="15"/>
  <c r="BL95" i="15"/>
  <c r="AO95" i="15"/>
  <c r="AE13" i="15"/>
  <c r="AD6" i="15"/>
  <c r="AC95" i="15" s="1"/>
  <c r="AN96" i="15"/>
  <c r="AM96" i="15"/>
  <c r="AQ95" i="15"/>
  <c r="AW96" i="15"/>
  <c r="AX96" i="15"/>
  <c r="BA95" i="15"/>
  <c r="U95" i="15"/>
  <c r="U13" i="15"/>
  <c r="T6" i="15"/>
  <c r="BG96" i="15"/>
  <c r="BH96" i="15"/>
  <c r="BK95" i="15"/>
  <c r="BI95" i="15"/>
  <c r="AY95" i="15"/>
  <c r="K14" i="6"/>
  <c r="J19" i="6"/>
  <c r="K19" i="6"/>
  <c r="J14" i="6"/>
  <c r="AM13" i="15"/>
  <c r="AQ6" i="15"/>
  <c r="AO13" i="15"/>
  <c r="BS13" i="15"/>
  <c r="BS7" i="15"/>
  <c r="BR95" i="15" s="1"/>
  <c r="AW13" i="15"/>
  <c r="BA6" i="15"/>
  <c r="AQ7" i="15"/>
  <c r="AN13" i="15"/>
  <c r="AY13" i="15"/>
  <c r="BA7" i="15"/>
  <c r="AX13" i="15"/>
  <c r="BK6" i="15"/>
  <c r="BG13" i="15"/>
  <c r="BK7" i="15"/>
  <c r="BH13" i="15"/>
  <c r="BI13" i="15"/>
  <c r="F79" i="14"/>
  <c r="C18" i="14" s="1"/>
  <c r="C19" i="14" s="1"/>
  <c r="F19" i="6"/>
  <c r="D19" i="6" s="1"/>
  <c r="L76" i="8"/>
  <c r="L8" i="8"/>
  <c r="L16" i="8"/>
  <c r="L24" i="8"/>
  <c r="L32" i="8"/>
  <c r="L40" i="8"/>
  <c r="L48" i="8"/>
  <c r="L60" i="8"/>
  <c r="L68" i="8"/>
  <c r="L72" i="8"/>
  <c r="L9" i="8"/>
  <c r="L13" i="8"/>
  <c r="L17" i="8"/>
  <c r="L21" i="8"/>
  <c r="L25" i="8"/>
  <c r="L29" i="8"/>
  <c r="L33" i="8"/>
  <c r="L37" i="8"/>
  <c r="L41" i="8"/>
  <c r="L45" i="8"/>
  <c r="L49" i="8"/>
  <c r="L53" i="8"/>
  <c r="L57" i="8"/>
  <c r="L61" i="8"/>
  <c r="L65" i="8"/>
  <c r="L69" i="8"/>
  <c r="L73" i="8"/>
  <c r="L77" i="8"/>
  <c r="L81" i="8"/>
  <c r="L85" i="8"/>
  <c r="L84" i="8"/>
  <c r="L12" i="8"/>
  <c r="L20" i="8"/>
  <c r="L28" i="8"/>
  <c r="L36" i="8"/>
  <c r="L44" i="8"/>
  <c r="L52" i="8"/>
  <c r="L56" i="8"/>
  <c r="L64" i="8"/>
  <c r="L80" i="8"/>
  <c r="L10" i="8"/>
  <c r="L14" i="8"/>
  <c r="L18" i="8"/>
  <c r="L22" i="8"/>
  <c r="L26" i="8"/>
  <c r="L30" i="8"/>
  <c r="L34" i="8"/>
  <c r="L38" i="8"/>
  <c r="L42" i="8"/>
  <c r="L46" i="8"/>
  <c r="L50" i="8"/>
  <c r="L54" i="8"/>
  <c r="L58" i="8"/>
  <c r="L62" i="8"/>
  <c r="L66" i="8"/>
  <c r="L70" i="8"/>
  <c r="L74" i="8"/>
  <c r="L78" i="8"/>
  <c r="L82" i="8"/>
  <c r="F13" i="15" l="1"/>
  <c r="M12" i="15"/>
  <c r="F95" i="15"/>
  <c r="M94" i="15"/>
  <c r="BB96" i="15"/>
  <c r="J92" i="14"/>
  <c r="J97" i="14" s="1"/>
  <c r="AR96" i="15"/>
  <c r="BB13" i="15"/>
  <c r="BL13" i="15"/>
  <c r="BL96" i="15"/>
  <c r="AR13" i="15"/>
  <c r="AN14" i="15"/>
  <c r="AP13" i="15"/>
  <c r="AO14" i="15"/>
  <c r="AM14" i="15"/>
  <c r="F36" i="14"/>
  <c r="D18" i="14" s="1"/>
  <c r="D19" i="14" s="1"/>
  <c r="E20" i="16"/>
  <c r="AO96" i="15"/>
  <c r="AO97" i="15" s="1"/>
  <c r="AZ95" i="15"/>
  <c r="BJ95" i="15"/>
  <c r="AP95" i="15"/>
  <c r="AG95" i="15"/>
  <c r="AH95" i="15" s="1"/>
  <c r="AE96" i="15"/>
  <c r="AG6" i="15"/>
  <c r="AC13" i="15"/>
  <c r="AF95" i="15"/>
  <c r="AC96" i="15"/>
  <c r="AY96" i="15"/>
  <c r="BG97" i="15"/>
  <c r="BH97" i="15"/>
  <c r="BK96" i="15"/>
  <c r="BI96" i="15"/>
  <c r="AW97" i="15"/>
  <c r="AX97" i="15"/>
  <c r="BA96" i="15"/>
  <c r="S95" i="15"/>
  <c r="W6" i="15"/>
  <c r="S13" i="15"/>
  <c r="BR96" i="15"/>
  <c r="BS96" i="15"/>
  <c r="BT95" i="15"/>
  <c r="BU95" i="15"/>
  <c r="BV95" i="15" s="1"/>
  <c r="AN97" i="15"/>
  <c r="AM97" i="15"/>
  <c r="AQ96" i="15"/>
  <c r="BI14" i="15"/>
  <c r="BG14" i="15"/>
  <c r="BK13" i="15"/>
  <c r="BJ13" i="15"/>
  <c r="BH14" i="15"/>
  <c r="BA13" i="15"/>
  <c r="AY14" i="15"/>
  <c r="AZ13" i="15"/>
  <c r="AX14" i="15"/>
  <c r="AW14" i="15"/>
  <c r="BU7" i="15"/>
  <c r="BR13" i="15"/>
  <c r="AQ13" i="15"/>
  <c r="D95" i="15" l="1"/>
  <c r="H88" i="15"/>
  <c r="H6" i="15"/>
  <c r="D13" i="15"/>
  <c r="AR14" i="15"/>
  <c r="AR97" i="15"/>
  <c r="BB14" i="15"/>
  <c r="BL14" i="15"/>
  <c r="BL97" i="15"/>
  <c r="BB97" i="15"/>
  <c r="AN15" i="15"/>
  <c r="AP14" i="15"/>
  <c r="AM15" i="15"/>
  <c r="AO15" i="15"/>
  <c r="G20" i="16"/>
  <c r="I20" i="16" s="1"/>
  <c r="AP96" i="15"/>
  <c r="AC14" i="15"/>
  <c r="AC15" i="15" s="1"/>
  <c r="AE14" i="15"/>
  <c r="AZ96" i="15"/>
  <c r="BJ96" i="15"/>
  <c r="AG96" i="15"/>
  <c r="AH96" i="15" s="1"/>
  <c r="AF13" i="15"/>
  <c r="AG13" i="15"/>
  <c r="AH13" i="15" s="1"/>
  <c r="AE97" i="15"/>
  <c r="AC97" i="15"/>
  <c r="BI97" i="15"/>
  <c r="AF96" i="15"/>
  <c r="AY97" i="15"/>
  <c r="AM98" i="15"/>
  <c r="AO98" i="15"/>
  <c r="AN98" i="15"/>
  <c r="AP97" i="15"/>
  <c r="AQ97" i="15"/>
  <c r="BH98" i="15"/>
  <c r="BG98" i="15"/>
  <c r="BK97" i="15"/>
  <c r="AX98" i="15"/>
  <c r="AW98" i="15"/>
  <c r="BA97" i="15"/>
  <c r="BT96" i="15"/>
  <c r="BR97" i="15"/>
  <c r="BS97" i="15"/>
  <c r="BU96" i="15"/>
  <c r="BV96" i="15" s="1"/>
  <c r="U14" i="15"/>
  <c r="S14" i="15"/>
  <c r="W13" i="15"/>
  <c r="X13" i="15" s="1"/>
  <c r="V13" i="15"/>
  <c r="S96" i="15"/>
  <c r="U96" i="15"/>
  <c r="V95" i="15"/>
  <c r="W95" i="15"/>
  <c r="X95" i="15" s="1"/>
  <c r="AY15" i="15"/>
  <c r="AX15" i="15"/>
  <c r="AW15" i="15"/>
  <c r="AZ14" i="15"/>
  <c r="BA14" i="15"/>
  <c r="BI15" i="15"/>
  <c r="BJ14" i="15"/>
  <c r="BK14" i="15"/>
  <c r="BH15" i="15"/>
  <c r="BG15" i="15"/>
  <c r="BR14" i="15"/>
  <c r="BS14" i="15"/>
  <c r="BU13" i="15"/>
  <c r="BV13" i="15" s="1"/>
  <c r="BT13" i="15"/>
  <c r="AQ14" i="15"/>
  <c r="D14" i="15" l="1"/>
  <c r="G13" i="15"/>
  <c r="F14" i="15"/>
  <c r="H13" i="15"/>
  <c r="I13" i="15" s="1"/>
  <c r="F96" i="15"/>
  <c r="D96" i="15"/>
  <c r="H95" i="15"/>
  <c r="I95" i="15" s="1"/>
  <c r="G95" i="15"/>
  <c r="AR15" i="15"/>
  <c r="BB15" i="15"/>
  <c r="BL15" i="15"/>
  <c r="BL98" i="15"/>
  <c r="AR98" i="15"/>
  <c r="BB98" i="15"/>
  <c r="AN16" i="15"/>
  <c r="AP15" i="15"/>
  <c r="AO16" i="15"/>
  <c r="AM16" i="15"/>
  <c r="AG14" i="15"/>
  <c r="AH14" i="15" s="1"/>
  <c r="AF14" i="15"/>
  <c r="AE15" i="15"/>
  <c r="AF15" i="15" s="1"/>
  <c r="AZ97" i="15"/>
  <c r="BJ97" i="15"/>
  <c r="BI98" i="15"/>
  <c r="BI99" i="15" s="1"/>
  <c r="AF97" i="15"/>
  <c r="AE98" i="15"/>
  <c r="AG97" i="15"/>
  <c r="AH97" i="15" s="1"/>
  <c r="AY98" i="15"/>
  <c r="AC98" i="15"/>
  <c r="AG98" i="15" s="1"/>
  <c r="AH98" i="15" s="1"/>
  <c r="V96" i="15"/>
  <c r="S97" i="15"/>
  <c r="U97" i="15"/>
  <c r="W96" i="15"/>
  <c r="X96" i="15" s="1"/>
  <c r="BH99" i="15"/>
  <c r="BG99" i="15"/>
  <c r="BK98" i="15"/>
  <c r="S15" i="15"/>
  <c r="V14" i="15"/>
  <c r="W14" i="15"/>
  <c r="X14" i="15" s="1"/>
  <c r="U15" i="15"/>
  <c r="AX99" i="15"/>
  <c r="AW99" i="15"/>
  <c r="BA98" i="15"/>
  <c r="BT97" i="15"/>
  <c r="BS98" i="15"/>
  <c r="BR98" i="15"/>
  <c r="BU97" i="15"/>
  <c r="BV97" i="15" s="1"/>
  <c r="AM99" i="15"/>
  <c r="AP98" i="15"/>
  <c r="AN99" i="15"/>
  <c r="AO99" i="15"/>
  <c r="AQ98" i="15"/>
  <c r="BR15" i="15"/>
  <c r="BS15" i="15"/>
  <c r="BT14" i="15"/>
  <c r="BU14" i="15"/>
  <c r="BV14" i="15" s="1"/>
  <c r="BH16" i="15"/>
  <c r="BK15" i="15"/>
  <c r="BJ15" i="15"/>
  <c r="BG16" i="15"/>
  <c r="AQ15" i="15"/>
  <c r="AX16" i="15"/>
  <c r="AW16" i="15"/>
  <c r="AY16" i="15"/>
  <c r="BA15" i="15"/>
  <c r="AZ15" i="15"/>
  <c r="BI16" i="15"/>
  <c r="AC16" i="15"/>
  <c r="AG15" i="15"/>
  <c r="AH15" i="15" s="1"/>
  <c r="F14" i="6"/>
  <c r="D14" i="6" s="1"/>
  <c r="F15" i="6"/>
  <c r="D15" i="6" s="1"/>
  <c r="F18" i="6"/>
  <c r="D18" i="6" s="1"/>
  <c r="F10" i="6"/>
  <c r="D97" i="15" l="1"/>
  <c r="F97" i="15"/>
  <c r="H96" i="15"/>
  <c r="I96" i="15" s="1"/>
  <c r="G96" i="15"/>
  <c r="H14" i="15"/>
  <c r="I14" i="15" s="1"/>
  <c r="G14" i="15"/>
  <c r="F15" i="15"/>
  <c r="D15" i="15"/>
  <c r="L21" i="14"/>
  <c r="L28" i="14" s="1"/>
  <c r="H79" i="14"/>
  <c r="H77" i="14" s="1"/>
  <c r="L64" i="14"/>
  <c r="L71" i="14" s="1"/>
  <c r="J49" i="14"/>
  <c r="J54" i="14" s="1"/>
  <c r="BB99" i="15"/>
  <c r="AR16" i="15"/>
  <c r="BL99" i="15"/>
  <c r="BL16" i="15"/>
  <c r="BB16" i="15"/>
  <c r="AR99" i="15"/>
  <c r="AN17" i="15"/>
  <c r="AM17" i="15"/>
  <c r="AP16" i="15"/>
  <c r="AO17" i="15"/>
  <c r="AE16" i="15"/>
  <c r="AE17" i="15" s="1"/>
  <c r="BJ98" i="15"/>
  <c r="AY99" i="15"/>
  <c r="AZ99" i="15" s="1"/>
  <c r="AE99" i="15"/>
  <c r="AZ98" i="15"/>
  <c r="AF98" i="15"/>
  <c r="AC99" i="15"/>
  <c r="U16" i="15"/>
  <c r="AX100" i="15"/>
  <c r="AW100" i="15"/>
  <c r="BA99" i="15"/>
  <c r="AM100" i="15"/>
  <c r="AO100" i="15"/>
  <c r="AN100" i="15"/>
  <c r="AP99" i="15"/>
  <c r="AQ99" i="15"/>
  <c r="BS99" i="15"/>
  <c r="BR99" i="15"/>
  <c r="BT98" i="15"/>
  <c r="BU98" i="15"/>
  <c r="BV98" i="15" s="1"/>
  <c r="BI100" i="15"/>
  <c r="BH100" i="15"/>
  <c r="BG100" i="15"/>
  <c r="BJ99" i="15"/>
  <c r="BK99" i="15"/>
  <c r="S16" i="15"/>
  <c r="W15" i="15"/>
  <c r="X15" i="15" s="1"/>
  <c r="V15" i="15"/>
  <c r="V97" i="15"/>
  <c r="U98" i="15"/>
  <c r="S98" i="15"/>
  <c r="W97" i="15"/>
  <c r="X97" i="15" s="1"/>
  <c r="BI17" i="15"/>
  <c r="AQ16" i="15"/>
  <c r="AX17" i="15"/>
  <c r="AW17" i="15"/>
  <c r="AY17" i="15"/>
  <c r="AZ16" i="15"/>
  <c r="BA16" i="15"/>
  <c r="BJ16" i="15"/>
  <c r="BH17" i="15"/>
  <c r="BK16" i="15"/>
  <c r="BG17" i="15"/>
  <c r="AC17" i="15"/>
  <c r="AG16" i="15"/>
  <c r="AH16" i="15" s="1"/>
  <c r="BR16" i="15"/>
  <c r="BS16" i="15"/>
  <c r="BU15" i="15"/>
  <c r="BV15" i="15" s="1"/>
  <c r="BT15" i="15"/>
  <c r="F16" i="6"/>
  <c r="D16" i="6" s="1"/>
  <c r="F17" i="6"/>
  <c r="D17" i="6" s="1"/>
  <c r="F11" i="6"/>
  <c r="D11" i="6" s="1"/>
  <c r="F13" i="6"/>
  <c r="D13" i="6" s="1"/>
  <c r="F12" i="6"/>
  <c r="D12" i="6" s="1"/>
  <c r="G15" i="15" l="1"/>
  <c r="F16" i="15"/>
  <c r="H15" i="15"/>
  <c r="I15" i="15" s="1"/>
  <c r="D16" i="15"/>
  <c r="F98" i="15"/>
  <c r="G97" i="15"/>
  <c r="D98" i="15"/>
  <c r="H97" i="15"/>
  <c r="I97" i="15" s="1"/>
  <c r="H68" i="14"/>
  <c r="N61" i="14"/>
  <c r="N66" i="14" s="1"/>
  <c r="H25" i="14"/>
  <c r="J23" i="14" s="1"/>
  <c r="H36" i="14"/>
  <c r="BL100" i="15"/>
  <c r="AR17" i="15"/>
  <c r="BL17" i="15"/>
  <c r="BB17" i="15"/>
  <c r="AR100" i="15"/>
  <c r="BB100" i="15"/>
  <c r="AN18" i="15"/>
  <c r="AO18" i="15"/>
  <c r="AM18" i="15"/>
  <c r="AP17" i="15"/>
  <c r="AF16" i="15"/>
  <c r="AY100" i="15"/>
  <c r="AZ100" i="15" s="1"/>
  <c r="C11" i="14"/>
  <c r="N73" i="14"/>
  <c r="H80" i="14"/>
  <c r="E22" i="16" s="1"/>
  <c r="E18" i="16"/>
  <c r="F18" i="16" s="1"/>
  <c r="J83" i="14"/>
  <c r="N24" i="14"/>
  <c r="N18" i="14"/>
  <c r="AG99" i="15"/>
  <c r="AH99" i="15" s="1"/>
  <c r="AC100" i="15"/>
  <c r="AC101" i="15" s="1"/>
  <c r="AF99" i="15"/>
  <c r="AE100" i="15"/>
  <c r="U17" i="15"/>
  <c r="AP100" i="15"/>
  <c r="AM101" i="15"/>
  <c r="AO101" i="15"/>
  <c r="AN101" i="15"/>
  <c r="AQ100" i="15"/>
  <c r="S17" i="15"/>
  <c r="W16" i="15"/>
  <c r="X16" i="15" s="1"/>
  <c r="V16" i="15"/>
  <c r="BR100" i="15"/>
  <c r="BS100" i="15"/>
  <c r="BT99" i="15"/>
  <c r="BU99" i="15"/>
  <c r="BV99" i="15" s="1"/>
  <c r="AX101" i="15"/>
  <c r="AW101" i="15"/>
  <c r="BA100" i="15"/>
  <c r="S99" i="15"/>
  <c r="U99" i="15"/>
  <c r="V98" i="15"/>
  <c r="W98" i="15"/>
  <c r="X98" i="15" s="1"/>
  <c r="BI101" i="15"/>
  <c r="BJ100" i="15"/>
  <c r="BH101" i="15"/>
  <c r="BG101" i="15"/>
  <c r="BK100" i="15"/>
  <c r="BH18" i="15"/>
  <c r="AE18" i="15"/>
  <c r="BR17" i="15"/>
  <c r="BS17" i="15"/>
  <c r="BU16" i="15"/>
  <c r="BV16" i="15" s="1"/>
  <c r="BT16" i="15"/>
  <c r="AQ17" i="15"/>
  <c r="AC18" i="15"/>
  <c r="AG17" i="15"/>
  <c r="AH17" i="15" s="1"/>
  <c r="AF17" i="15"/>
  <c r="BJ17" i="15"/>
  <c r="BG18" i="15"/>
  <c r="BK17" i="15"/>
  <c r="AX18" i="15"/>
  <c r="BA17" i="15"/>
  <c r="AY18" i="15"/>
  <c r="AW18" i="15"/>
  <c r="AZ17" i="15"/>
  <c r="BI18" i="15"/>
  <c r="F99" i="15" l="1"/>
  <c r="G98" i="15"/>
  <c r="H98" i="15"/>
  <c r="I98" i="15" s="1"/>
  <c r="D99" i="15"/>
  <c r="F17" i="15"/>
  <c r="H16" i="15"/>
  <c r="I16" i="15" s="1"/>
  <c r="G16" i="15"/>
  <c r="D17" i="15"/>
  <c r="N26" i="14"/>
  <c r="H26" i="14"/>
  <c r="L20" i="14"/>
  <c r="N23" i="14" s="1"/>
  <c r="H52" i="14"/>
  <c r="H51" i="14" s="1"/>
  <c r="N53" i="14" s="1"/>
  <c r="G15" i="16" s="1"/>
  <c r="H15" i="16" s="1"/>
  <c r="H34" i="14"/>
  <c r="G18" i="16" s="1"/>
  <c r="H18" i="16" s="1"/>
  <c r="I18" i="16" s="1"/>
  <c r="J66" i="14"/>
  <c r="C12" i="14" s="1"/>
  <c r="H95" i="14"/>
  <c r="H94" i="14" s="1"/>
  <c r="N96" i="14" s="1"/>
  <c r="E15" i="16" s="1"/>
  <c r="F15" i="16" s="1"/>
  <c r="BL101" i="15"/>
  <c r="BB101" i="15"/>
  <c r="AR18" i="15"/>
  <c r="BB18" i="15"/>
  <c r="AR101" i="15"/>
  <c r="BL18" i="15"/>
  <c r="AN19" i="15"/>
  <c r="AM19" i="15"/>
  <c r="AP18" i="15"/>
  <c r="AO19" i="15"/>
  <c r="AF100" i="15"/>
  <c r="AG100" i="15"/>
  <c r="AH100" i="15" s="1"/>
  <c r="AY101" i="15"/>
  <c r="AZ101" i="15" s="1"/>
  <c r="AE101" i="15"/>
  <c r="AE102" i="15" s="1"/>
  <c r="L80" i="14"/>
  <c r="J86" i="14"/>
  <c r="N86" i="14"/>
  <c r="AW102" i="15"/>
  <c r="AX102" i="15"/>
  <c r="BA101" i="15"/>
  <c r="V99" i="15"/>
  <c r="S100" i="15"/>
  <c r="U100" i="15"/>
  <c r="W99" i="15"/>
  <c r="X99" i="15" s="1"/>
  <c r="BI102" i="15"/>
  <c r="BH102" i="15"/>
  <c r="BG102" i="15"/>
  <c r="BJ101" i="15"/>
  <c r="BK101" i="15"/>
  <c r="S18" i="15"/>
  <c r="V17" i="15"/>
  <c r="W17" i="15"/>
  <c r="X17" i="15" s="1"/>
  <c r="AC102" i="15"/>
  <c r="AG101" i="15"/>
  <c r="AH101" i="15" s="1"/>
  <c r="BS101" i="15"/>
  <c r="BR101" i="15"/>
  <c r="BT100" i="15"/>
  <c r="BU100" i="15"/>
  <c r="BV100" i="15" s="1"/>
  <c r="U18" i="15"/>
  <c r="AP101" i="15"/>
  <c r="AO102" i="15"/>
  <c r="AN102" i="15"/>
  <c r="AM102" i="15"/>
  <c r="AQ101" i="15"/>
  <c r="BI19" i="15"/>
  <c r="AE19" i="15"/>
  <c r="AX19" i="15"/>
  <c r="AY19" i="15"/>
  <c r="AZ18" i="15"/>
  <c r="BA18" i="15"/>
  <c r="AW19" i="15"/>
  <c r="AC19" i="15"/>
  <c r="AF18" i="15"/>
  <c r="AG18" i="15"/>
  <c r="AH18" i="15" s="1"/>
  <c r="AQ18" i="15"/>
  <c r="BJ18" i="15"/>
  <c r="BH19" i="15"/>
  <c r="BK18" i="15"/>
  <c r="BG19" i="15"/>
  <c r="BR18" i="15"/>
  <c r="BS18" i="15"/>
  <c r="BT17" i="15"/>
  <c r="BU17" i="15"/>
  <c r="BV17" i="15" s="1"/>
  <c r="G99" i="15" l="1"/>
  <c r="H99" i="15"/>
  <c r="I99" i="15" s="1"/>
  <c r="F100" i="15"/>
  <c r="D100" i="15"/>
  <c r="H17" i="15"/>
  <c r="I17" i="15" s="1"/>
  <c r="D18" i="15"/>
  <c r="F18" i="15"/>
  <c r="G17" i="15"/>
  <c r="N17" i="14"/>
  <c r="D11" i="14"/>
  <c r="E17" i="16"/>
  <c r="F17" i="16" s="1"/>
  <c r="J48" i="14"/>
  <c r="AF127" i="15" s="1"/>
  <c r="J91" i="14"/>
  <c r="AF45" i="15" s="1"/>
  <c r="AC51" i="15" s="1"/>
  <c r="H37" i="14"/>
  <c r="G22" i="16" s="1"/>
  <c r="I22" i="16" s="1"/>
  <c r="N30" i="14"/>
  <c r="J40" i="14"/>
  <c r="J43" i="14" s="1"/>
  <c r="G21" i="16" s="1"/>
  <c r="L63" i="14"/>
  <c r="E10" i="16" s="1"/>
  <c r="F10" i="16" s="1"/>
  <c r="H69" i="14"/>
  <c r="E21" i="16" s="1"/>
  <c r="E23" i="16" s="1"/>
  <c r="N69" i="14"/>
  <c r="E14" i="16" s="1"/>
  <c r="F14" i="16" s="1"/>
  <c r="BL102" i="15"/>
  <c r="AR19" i="15"/>
  <c r="BL19" i="15"/>
  <c r="BB19" i="15"/>
  <c r="AR102" i="15"/>
  <c r="BB102" i="15"/>
  <c r="AN20" i="15"/>
  <c r="AM20" i="15"/>
  <c r="AO20" i="15"/>
  <c r="AP19" i="15"/>
  <c r="AY102" i="15"/>
  <c r="AY103" i="15" s="1"/>
  <c r="AF101" i="15"/>
  <c r="I15" i="16"/>
  <c r="N82" i="14"/>
  <c r="N77" i="14"/>
  <c r="U19" i="15"/>
  <c r="AF102" i="15"/>
  <c r="AC103" i="15"/>
  <c r="AE103" i="15"/>
  <c r="AG102" i="15"/>
  <c r="AH102" i="15" s="1"/>
  <c r="S19" i="15"/>
  <c r="V18" i="15"/>
  <c r="W18" i="15"/>
  <c r="X18" i="15" s="1"/>
  <c r="U101" i="15"/>
  <c r="S101" i="15"/>
  <c r="V100" i="15"/>
  <c r="W100" i="15"/>
  <c r="X100" i="15" s="1"/>
  <c r="BJ102" i="15"/>
  <c r="BG103" i="15"/>
  <c r="BI103" i="15"/>
  <c r="BH103" i="15"/>
  <c r="BK102" i="15"/>
  <c r="BT101" i="15"/>
  <c r="BS102" i="15"/>
  <c r="BR102" i="15"/>
  <c r="BU101" i="15"/>
  <c r="BV101" i="15" s="1"/>
  <c r="AN103" i="15"/>
  <c r="AM103" i="15"/>
  <c r="AP102" i="15"/>
  <c r="AO103" i="15"/>
  <c r="AQ102" i="15"/>
  <c r="AX103" i="15"/>
  <c r="AW103" i="15"/>
  <c r="BA102" i="15"/>
  <c r="AE20" i="15"/>
  <c r="BK19" i="15"/>
  <c r="BG20" i="15"/>
  <c r="BJ19" i="15"/>
  <c r="AQ19" i="15"/>
  <c r="AX20" i="15"/>
  <c r="AY20" i="15"/>
  <c r="BA19" i="15"/>
  <c r="AW20" i="15"/>
  <c r="AZ19" i="15"/>
  <c r="BH20" i="15"/>
  <c r="BI20" i="15"/>
  <c r="BR19" i="15"/>
  <c r="BS19" i="15"/>
  <c r="BT18" i="15"/>
  <c r="BU18" i="15"/>
  <c r="BV18" i="15" s="1"/>
  <c r="AC20" i="15"/>
  <c r="AG19" i="15"/>
  <c r="AH19" i="15" s="1"/>
  <c r="AF19" i="15"/>
  <c r="F19" i="15" l="1"/>
  <c r="H18" i="15"/>
  <c r="I18" i="15" s="1"/>
  <c r="G18" i="15"/>
  <c r="D19" i="15"/>
  <c r="G100" i="15"/>
  <c r="F101" i="15"/>
  <c r="D101" i="15"/>
  <c r="H100" i="15"/>
  <c r="I100" i="15" s="1"/>
  <c r="G13" i="16"/>
  <c r="H13" i="16" s="1"/>
  <c r="N43" i="14"/>
  <c r="G127" i="15" s="1"/>
  <c r="G23" i="16"/>
  <c r="I23" i="16" s="1"/>
  <c r="L37" i="14"/>
  <c r="N34" i="14" s="1"/>
  <c r="D12" i="14"/>
  <c r="E13" i="16"/>
  <c r="F13" i="16" s="1"/>
  <c r="AC52" i="15"/>
  <c r="AC56" i="15"/>
  <c r="AC55" i="15"/>
  <c r="AC50" i="15"/>
  <c r="AC53" i="15"/>
  <c r="AC49" i="15"/>
  <c r="AC48" i="15"/>
  <c r="AC54" i="15"/>
  <c r="G17" i="16"/>
  <c r="H17" i="16" s="1"/>
  <c r="I17" i="16" s="1"/>
  <c r="I12" i="15"/>
  <c r="G45" i="15"/>
  <c r="N65" i="14"/>
  <c r="V45" i="15" s="1"/>
  <c r="N60" i="14"/>
  <c r="AP45" i="15" s="1"/>
  <c r="AR20" i="15"/>
  <c r="BB20" i="15"/>
  <c r="BB103" i="15"/>
  <c r="BL103" i="15"/>
  <c r="BL20" i="15"/>
  <c r="AR103" i="15"/>
  <c r="AN21" i="15"/>
  <c r="AM21" i="15"/>
  <c r="AP20" i="15"/>
  <c r="AO21" i="15"/>
  <c r="AC137" i="15"/>
  <c r="AC131" i="15"/>
  <c r="AC139" i="15"/>
  <c r="AC135" i="15"/>
  <c r="AC136" i="15"/>
  <c r="AC133" i="15"/>
  <c r="AC138" i="15"/>
  <c r="AC132" i="15"/>
  <c r="AC134" i="15"/>
  <c r="I21" i="16"/>
  <c r="AZ102" i="15"/>
  <c r="AC130" i="15"/>
  <c r="U20" i="15"/>
  <c r="AO104" i="15"/>
  <c r="AN104" i="15"/>
  <c r="AP103" i="15"/>
  <c r="AM104" i="15"/>
  <c r="AQ103" i="15"/>
  <c r="S20" i="15"/>
  <c r="W19" i="15"/>
  <c r="X19" i="15" s="1"/>
  <c r="V19" i="15"/>
  <c r="BI104" i="15"/>
  <c r="BJ103" i="15"/>
  <c r="BH104" i="15"/>
  <c r="BG104" i="15"/>
  <c r="BK103" i="15"/>
  <c r="BT102" i="15"/>
  <c r="BS103" i="15"/>
  <c r="BR103" i="15"/>
  <c r="BU102" i="15"/>
  <c r="BV102" i="15" s="1"/>
  <c r="AC104" i="15"/>
  <c r="AC140" i="15" s="1"/>
  <c r="AE104" i="15"/>
  <c r="AF103" i="15"/>
  <c r="AG103" i="15"/>
  <c r="AH103" i="15" s="1"/>
  <c r="V101" i="15"/>
  <c r="U102" i="15"/>
  <c r="S102" i="15"/>
  <c r="W101" i="15"/>
  <c r="X101" i="15" s="1"/>
  <c r="AZ103" i="15"/>
  <c r="AX104" i="15"/>
  <c r="AW104" i="15"/>
  <c r="AY104" i="15"/>
  <c r="BA103" i="15"/>
  <c r="AE21" i="15"/>
  <c r="AX21" i="15"/>
  <c r="AY21" i="15"/>
  <c r="AW21" i="15"/>
  <c r="BA20" i="15"/>
  <c r="AZ20" i="15"/>
  <c r="AQ20" i="15"/>
  <c r="BH21" i="15"/>
  <c r="BJ20" i="15"/>
  <c r="BK20" i="15"/>
  <c r="BG21" i="15"/>
  <c r="BR20" i="15"/>
  <c r="BS20" i="15"/>
  <c r="BU19" i="15"/>
  <c r="BV19" i="15" s="1"/>
  <c r="BT19" i="15"/>
  <c r="AC21" i="15"/>
  <c r="AC57" i="15" s="1"/>
  <c r="AF20" i="15"/>
  <c r="AG20" i="15"/>
  <c r="AH20" i="15" s="1"/>
  <c r="BI21" i="15"/>
  <c r="G14" i="16" l="1"/>
  <c r="H14" i="16" s="1"/>
  <c r="I14" i="16" s="1"/>
  <c r="D102" i="15"/>
  <c r="H101" i="15"/>
  <c r="I101" i="15" s="1"/>
  <c r="G101" i="15"/>
  <c r="F102" i="15"/>
  <c r="H19" i="15"/>
  <c r="I19" i="15" s="1"/>
  <c r="D20" i="15"/>
  <c r="G19" i="15"/>
  <c r="F20" i="15"/>
  <c r="I13" i="16"/>
  <c r="G10" i="16"/>
  <c r="H10" i="16" s="1"/>
  <c r="I10" i="16" s="1"/>
  <c r="N39" i="14"/>
  <c r="D15" i="14" s="1"/>
  <c r="I94" i="15"/>
  <c r="C15" i="14"/>
  <c r="E12" i="16"/>
  <c r="F12" i="16" s="1"/>
  <c r="E11" i="16"/>
  <c r="F11" i="16" s="1"/>
  <c r="C14" i="14"/>
  <c r="BT45" i="15"/>
  <c r="AZ45" i="15"/>
  <c r="AW55" i="15" s="1"/>
  <c r="BJ45" i="15"/>
  <c r="BG53" i="15" s="1"/>
  <c r="AM55" i="15"/>
  <c r="AM51" i="15"/>
  <c r="AM52" i="15"/>
  <c r="AM48" i="15"/>
  <c r="AM53" i="15"/>
  <c r="AM49" i="15"/>
  <c r="AM56" i="15"/>
  <c r="AM50" i="15"/>
  <c r="AM54" i="15"/>
  <c r="S54" i="15"/>
  <c r="S52" i="15"/>
  <c r="S49" i="15"/>
  <c r="S53" i="15"/>
  <c r="S51" i="15"/>
  <c r="S50" i="15"/>
  <c r="S55" i="15"/>
  <c r="S56" i="15"/>
  <c r="AR21" i="15"/>
  <c r="BB104" i="15"/>
  <c r="BB21" i="15"/>
  <c r="BL21" i="15"/>
  <c r="BL104" i="15"/>
  <c r="AR104" i="15"/>
  <c r="AM57" i="15"/>
  <c r="AN22" i="15"/>
  <c r="AN58" i="15" s="1"/>
  <c r="AO22" i="15"/>
  <c r="AP21" i="15"/>
  <c r="AM22" i="15"/>
  <c r="AN57" i="15"/>
  <c r="AN48" i="15"/>
  <c r="AN49" i="15"/>
  <c r="AN51" i="15"/>
  <c r="AN55" i="15"/>
  <c r="AN53" i="15"/>
  <c r="AN52" i="15"/>
  <c r="AN54" i="15"/>
  <c r="AN50" i="15"/>
  <c r="S48" i="15"/>
  <c r="AZ127" i="15"/>
  <c r="AP127" i="15"/>
  <c r="BJ127" i="15"/>
  <c r="D14" i="14"/>
  <c r="G11" i="16"/>
  <c r="BT127" i="15"/>
  <c r="AN56" i="15"/>
  <c r="S21" i="15"/>
  <c r="S57" i="15" s="1"/>
  <c r="W20" i="15"/>
  <c r="X20" i="15" s="1"/>
  <c r="V20" i="15"/>
  <c r="U21" i="15"/>
  <c r="S103" i="15"/>
  <c r="V102" i="15"/>
  <c r="U103" i="15"/>
  <c r="W102" i="15"/>
  <c r="X102" i="15" s="1"/>
  <c r="BG105" i="15"/>
  <c r="BJ104" i="15"/>
  <c r="BI105" i="15"/>
  <c r="BH105" i="15"/>
  <c r="BK104" i="15"/>
  <c r="AO105" i="15"/>
  <c r="AN105" i="15"/>
  <c r="AP104" i="15"/>
  <c r="AM105" i="15"/>
  <c r="AQ104" i="15"/>
  <c r="AC105" i="15"/>
  <c r="AC141" i="15" s="1"/>
  <c r="AF104" i="15"/>
  <c r="AE105" i="15"/>
  <c r="AG104" i="15"/>
  <c r="AH104" i="15" s="1"/>
  <c r="AZ104" i="15"/>
  <c r="AW105" i="15"/>
  <c r="AX105" i="15"/>
  <c r="AY105" i="15"/>
  <c r="BA104" i="15"/>
  <c r="BT103" i="15"/>
  <c r="BS104" i="15"/>
  <c r="BR104" i="15"/>
  <c r="BU103" i="15"/>
  <c r="BV103" i="15" s="1"/>
  <c r="AC22" i="15"/>
  <c r="AC58" i="15" s="1"/>
  <c r="AG21" i="15"/>
  <c r="AH21" i="15" s="1"/>
  <c r="AF21" i="15"/>
  <c r="BJ21" i="15"/>
  <c r="BK21" i="15"/>
  <c r="BG22" i="15"/>
  <c r="BH22" i="15"/>
  <c r="AX22" i="15"/>
  <c r="AY22" i="15"/>
  <c r="AZ21" i="15"/>
  <c r="AW22" i="15"/>
  <c r="BA21" i="15"/>
  <c r="AE22" i="15"/>
  <c r="AQ21" i="15"/>
  <c r="BI22" i="15"/>
  <c r="BR21" i="15"/>
  <c r="BS21" i="15"/>
  <c r="BT20" i="15"/>
  <c r="BU20" i="15"/>
  <c r="BV20" i="15" s="1"/>
  <c r="D21" i="15" l="1"/>
  <c r="G20" i="15"/>
  <c r="F21" i="15"/>
  <c r="H20" i="15"/>
  <c r="I20" i="15" s="1"/>
  <c r="D103" i="15"/>
  <c r="F103" i="15"/>
  <c r="H102" i="15"/>
  <c r="I102" i="15" s="1"/>
  <c r="G102" i="15"/>
  <c r="V127" i="15"/>
  <c r="S134" i="15" s="1"/>
  <c r="G12" i="16"/>
  <c r="H12" i="16" s="1"/>
  <c r="I12" i="16" s="1"/>
  <c r="AX49" i="15"/>
  <c r="AX58" i="15"/>
  <c r="AX50" i="15"/>
  <c r="AX56" i="15"/>
  <c r="AX55" i="15"/>
  <c r="AX48" i="15"/>
  <c r="AX54" i="15"/>
  <c r="AX52" i="15"/>
  <c r="AX51" i="15"/>
  <c r="AX53" i="15"/>
  <c r="BH48" i="15"/>
  <c r="BH55" i="15"/>
  <c r="BH58" i="15"/>
  <c r="BH53" i="15"/>
  <c r="BH54" i="15"/>
  <c r="BH52" i="15"/>
  <c r="BH51" i="15"/>
  <c r="BH50" i="15"/>
  <c r="BH49" i="15"/>
  <c r="BH56" i="15"/>
  <c r="BG52" i="15"/>
  <c r="BG51" i="15"/>
  <c r="BG49" i="15"/>
  <c r="AW50" i="15"/>
  <c r="AW49" i="15"/>
  <c r="AX57" i="15"/>
  <c r="AW54" i="15"/>
  <c r="AW52" i="15"/>
  <c r="BG50" i="15"/>
  <c r="AW51" i="15"/>
  <c r="BH57" i="15"/>
  <c r="BG57" i="15"/>
  <c r="AW57" i="15"/>
  <c r="BG56" i="15"/>
  <c r="AW48" i="15"/>
  <c r="AW56" i="15"/>
  <c r="AW53" i="15"/>
  <c r="BG55" i="15"/>
  <c r="BG48" i="15"/>
  <c r="BG54" i="15"/>
  <c r="BB22" i="15"/>
  <c r="AR105" i="15"/>
  <c r="BB105" i="15"/>
  <c r="BL22" i="15"/>
  <c r="BL105" i="15"/>
  <c r="AR22" i="15"/>
  <c r="BG58" i="15"/>
  <c r="AW58" i="15"/>
  <c r="AM58" i="15"/>
  <c r="AN23" i="15"/>
  <c r="AN59" i="15" s="1"/>
  <c r="AP22" i="15"/>
  <c r="AM23" i="15"/>
  <c r="AO23" i="15"/>
  <c r="BH140" i="15"/>
  <c r="BG137" i="15"/>
  <c r="BG138" i="15"/>
  <c r="BG131" i="15"/>
  <c r="BG139" i="15"/>
  <c r="BG133" i="15"/>
  <c r="BG134" i="15"/>
  <c r="BG132" i="15"/>
  <c r="BG135" i="15"/>
  <c r="BG136" i="15"/>
  <c r="BG140" i="15"/>
  <c r="BG141" i="15"/>
  <c r="BG130" i="15"/>
  <c r="AM130" i="15"/>
  <c r="AM140" i="15"/>
  <c r="AM132" i="15"/>
  <c r="AM134" i="15"/>
  <c r="AM136" i="15"/>
  <c r="AM131" i="15"/>
  <c r="AM141" i="15"/>
  <c r="AM133" i="15"/>
  <c r="AM137" i="15"/>
  <c r="AM139" i="15"/>
  <c r="AM138" i="15"/>
  <c r="AM135" i="15"/>
  <c r="AW137" i="15"/>
  <c r="AW131" i="15"/>
  <c r="AW138" i="15"/>
  <c r="AW139" i="15"/>
  <c r="AW133" i="15"/>
  <c r="AW134" i="15"/>
  <c r="AW135" i="15"/>
  <c r="AW136" i="15"/>
  <c r="AW140" i="15"/>
  <c r="AW141" i="15"/>
  <c r="AW130" i="15"/>
  <c r="AW132" i="15"/>
  <c r="BH141" i="15"/>
  <c r="H11" i="16"/>
  <c r="I11" i="16" s="1"/>
  <c r="AN141" i="15"/>
  <c r="AX141" i="15"/>
  <c r="AX137" i="15"/>
  <c r="AX130" i="15"/>
  <c r="AX133" i="15"/>
  <c r="AX134" i="15"/>
  <c r="AX136" i="15"/>
  <c r="AX135" i="15"/>
  <c r="AX131" i="15"/>
  <c r="AX132" i="15"/>
  <c r="AX138" i="15"/>
  <c r="AX139" i="15"/>
  <c r="AX140" i="15"/>
  <c r="AN132" i="15"/>
  <c r="AN131" i="15"/>
  <c r="AN136" i="15"/>
  <c r="AN133" i="15"/>
  <c r="AN135" i="15"/>
  <c r="AN134" i="15"/>
  <c r="AN138" i="15"/>
  <c r="AN137" i="15"/>
  <c r="AN130" i="15"/>
  <c r="AN139" i="15"/>
  <c r="AN140" i="15"/>
  <c r="BH131" i="15"/>
  <c r="BH132" i="15"/>
  <c r="BH135" i="15"/>
  <c r="BH138" i="15"/>
  <c r="BH134" i="15"/>
  <c r="BH130" i="15"/>
  <c r="BH133" i="15"/>
  <c r="BH136" i="15"/>
  <c r="BH137" i="15"/>
  <c r="BH139" i="15"/>
  <c r="U22" i="15"/>
  <c r="AE106" i="15"/>
  <c r="AF105" i="15"/>
  <c r="AC106" i="15"/>
  <c r="AC142" i="15" s="1"/>
  <c r="AG105" i="15"/>
  <c r="AH105" i="15" s="1"/>
  <c r="AP105" i="15"/>
  <c r="AM106" i="15"/>
  <c r="AO106" i="15"/>
  <c r="AN106" i="15"/>
  <c r="AN142" i="15" s="1"/>
  <c r="AQ105" i="15"/>
  <c r="BJ105" i="15"/>
  <c r="BI106" i="15"/>
  <c r="BH106" i="15"/>
  <c r="BH142" i="15" s="1"/>
  <c r="BG106" i="15"/>
  <c r="BK105" i="15"/>
  <c r="S22" i="15"/>
  <c r="S58" i="15" s="1"/>
  <c r="W21" i="15"/>
  <c r="X21" i="15" s="1"/>
  <c r="V21" i="15"/>
  <c r="AZ105" i="15"/>
  <c r="AX106" i="15"/>
  <c r="AX142" i="15" s="1"/>
  <c r="AY106" i="15"/>
  <c r="AW106" i="15"/>
  <c r="BA105" i="15"/>
  <c r="BR105" i="15"/>
  <c r="BS105" i="15"/>
  <c r="BT104" i="15"/>
  <c r="BU104" i="15"/>
  <c r="BV104" i="15" s="1"/>
  <c r="U104" i="15"/>
  <c r="S104" i="15"/>
  <c r="V103" i="15"/>
  <c r="W103" i="15"/>
  <c r="X103" i="15" s="1"/>
  <c r="BI23" i="15"/>
  <c r="AE23" i="15"/>
  <c r="BR22" i="15"/>
  <c r="BS22" i="15"/>
  <c r="BU21" i="15"/>
  <c r="BV21" i="15" s="1"/>
  <c r="BT21" i="15"/>
  <c r="AX23" i="15"/>
  <c r="AX59" i="15" s="1"/>
  <c r="AZ22" i="15"/>
  <c r="AY23" i="15"/>
  <c r="AW23" i="15"/>
  <c r="BA22" i="15"/>
  <c r="AQ22" i="15"/>
  <c r="AC23" i="15"/>
  <c r="AC59" i="15" s="1"/>
  <c r="AG22" i="15"/>
  <c r="AH22" i="15" s="1"/>
  <c r="AF22" i="15"/>
  <c r="BH23" i="15"/>
  <c r="BH59" i="15" s="1"/>
  <c r="BG23" i="15"/>
  <c r="BK22" i="15"/>
  <c r="BJ22" i="15"/>
  <c r="G103" i="15" l="1"/>
  <c r="F104" i="15"/>
  <c r="D104" i="15"/>
  <c r="H103" i="15"/>
  <c r="I103" i="15" s="1"/>
  <c r="G21" i="15"/>
  <c r="D22" i="15"/>
  <c r="H21" i="15"/>
  <c r="I21" i="15" s="1"/>
  <c r="F22" i="15"/>
  <c r="S130" i="15"/>
  <c r="S140" i="15"/>
  <c r="S132" i="15"/>
  <c r="S137" i="15"/>
  <c r="S139" i="15"/>
  <c r="S136" i="15"/>
  <c r="S131" i="15"/>
  <c r="S135" i="15"/>
  <c r="S133" i="15"/>
  <c r="S138" i="15"/>
  <c r="BB106" i="15"/>
  <c r="BL106" i="15"/>
  <c r="AR106" i="15"/>
  <c r="BB23" i="15"/>
  <c r="BL23" i="15"/>
  <c r="AR23" i="15"/>
  <c r="BG142" i="15"/>
  <c r="AW59" i="15"/>
  <c r="AM59" i="15"/>
  <c r="AN24" i="15"/>
  <c r="AN60" i="15" s="1"/>
  <c r="BG59" i="15"/>
  <c r="AW142" i="15"/>
  <c r="AM142" i="15"/>
  <c r="AP23" i="15"/>
  <c r="AM24" i="15"/>
  <c r="AO24" i="15"/>
  <c r="S23" i="15"/>
  <c r="S59" i="15" s="1"/>
  <c r="V22" i="15"/>
  <c r="W22" i="15"/>
  <c r="X22" i="15" s="1"/>
  <c r="AP106" i="15"/>
  <c r="AN107" i="15"/>
  <c r="AN143" i="15" s="1"/>
  <c r="AO107" i="15"/>
  <c r="AM107" i="15"/>
  <c r="AQ106" i="15"/>
  <c r="AZ106" i="15"/>
  <c r="AW107" i="15"/>
  <c r="AY107" i="15"/>
  <c r="AX107" i="15"/>
  <c r="AX143" i="15" s="1"/>
  <c r="BA106" i="15"/>
  <c r="BG107" i="15"/>
  <c r="BJ106" i="15"/>
  <c r="BH107" i="15"/>
  <c r="BH143" i="15" s="1"/>
  <c r="BI107" i="15"/>
  <c r="BK106" i="15"/>
  <c r="BT105" i="15"/>
  <c r="BS106" i="15"/>
  <c r="BR106" i="15"/>
  <c r="BU105" i="15"/>
  <c r="BV105" i="15" s="1"/>
  <c r="AE107" i="15"/>
  <c r="AC107" i="15"/>
  <c r="AC143" i="15" s="1"/>
  <c r="AF106" i="15"/>
  <c r="AG106" i="15"/>
  <c r="AH106" i="15" s="1"/>
  <c r="U105" i="15"/>
  <c r="V104" i="15"/>
  <c r="S105" i="15"/>
  <c r="S141" i="15" s="1"/>
  <c r="W104" i="15"/>
  <c r="X104" i="15" s="1"/>
  <c r="U23" i="15"/>
  <c r="AE24" i="15"/>
  <c r="BI24" i="15"/>
  <c r="AQ23" i="15"/>
  <c r="AC24" i="15"/>
  <c r="AC60" i="15" s="1"/>
  <c r="AF23" i="15"/>
  <c r="AG23" i="15"/>
  <c r="AH23" i="15" s="1"/>
  <c r="BJ23" i="15"/>
  <c r="BK23" i="15"/>
  <c r="BH24" i="15"/>
  <c r="BH60" i="15" s="1"/>
  <c r="BG24" i="15"/>
  <c r="AX24" i="15"/>
  <c r="AX60" i="15" s="1"/>
  <c r="AW24" i="15"/>
  <c r="BA23" i="15"/>
  <c r="AZ23" i="15"/>
  <c r="AY24" i="15"/>
  <c r="BR23" i="15"/>
  <c r="BS23" i="15"/>
  <c r="BU22" i="15"/>
  <c r="BV22" i="15" s="1"/>
  <c r="BT22" i="15"/>
  <c r="F23" i="15" l="1"/>
  <c r="G22" i="15"/>
  <c r="D23" i="15"/>
  <c r="H22" i="15"/>
  <c r="I22" i="15" s="1"/>
  <c r="D105" i="15"/>
  <c r="G104" i="15"/>
  <c r="F105" i="15"/>
  <c r="H104" i="15"/>
  <c r="I104" i="15" s="1"/>
  <c r="BB24" i="15"/>
  <c r="BL24" i="15"/>
  <c r="BB107" i="15"/>
  <c r="AR107" i="15"/>
  <c r="AR24" i="15"/>
  <c r="BL107" i="15"/>
  <c r="AM60" i="15"/>
  <c r="AN25" i="15"/>
  <c r="AN61" i="15" s="1"/>
  <c r="BG143" i="15"/>
  <c r="AM143" i="15"/>
  <c r="AW60" i="15"/>
  <c r="AW143" i="15"/>
  <c r="BG60" i="15"/>
  <c r="AO25" i="15"/>
  <c r="AP24" i="15"/>
  <c r="AM25" i="15"/>
  <c r="U24" i="15"/>
  <c r="AY108" i="15"/>
  <c r="AX108" i="15"/>
  <c r="AX144" i="15" s="1"/>
  <c r="AW108" i="15"/>
  <c r="AZ107" i="15"/>
  <c r="BA107" i="15"/>
  <c r="S24" i="15"/>
  <c r="S60" i="15" s="1"/>
  <c r="W23" i="15"/>
  <c r="X23" i="15" s="1"/>
  <c r="V23" i="15"/>
  <c r="AF107" i="15"/>
  <c r="AE108" i="15"/>
  <c r="AC108" i="15"/>
  <c r="AC144" i="15" s="1"/>
  <c r="AG107" i="15"/>
  <c r="AH107" i="15" s="1"/>
  <c r="AM108" i="15"/>
  <c r="AO108" i="15"/>
  <c r="AN108" i="15"/>
  <c r="AN144" i="15" s="1"/>
  <c r="AP107" i="15"/>
  <c r="AQ107" i="15"/>
  <c r="BI108" i="15"/>
  <c r="BH108" i="15"/>
  <c r="BH144" i="15" s="1"/>
  <c r="BJ107" i="15"/>
  <c r="BG108" i="15"/>
  <c r="BK107" i="15"/>
  <c r="U106" i="15"/>
  <c r="V105" i="15"/>
  <c r="S106" i="15"/>
  <c r="S142" i="15" s="1"/>
  <c r="W105" i="15"/>
  <c r="X105" i="15" s="1"/>
  <c r="BS107" i="15"/>
  <c r="BR107" i="15"/>
  <c r="BT106" i="15"/>
  <c r="BU106" i="15"/>
  <c r="BV106" i="15" s="1"/>
  <c r="BR24" i="15"/>
  <c r="BS24" i="15"/>
  <c r="BT23" i="15"/>
  <c r="BU23" i="15"/>
  <c r="BV23" i="15" s="1"/>
  <c r="BK24" i="15"/>
  <c r="BG25" i="15"/>
  <c r="BH25" i="15"/>
  <c r="BH61" i="15" s="1"/>
  <c r="BJ24" i="15"/>
  <c r="AC25" i="15"/>
  <c r="AC61" i="15" s="1"/>
  <c r="AF24" i="15"/>
  <c r="AG24" i="15"/>
  <c r="AH24" i="15" s="1"/>
  <c r="AX25" i="15"/>
  <c r="AX61" i="15" s="1"/>
  <c r="AW25" i="15"/>
  <c r="AY25" i="15"/>
  <c r="BA24" i="15"/>
  <c r="AZ24" i="15"/>
  <c r="AQ24" i="15"/>
  <c r="AE25" i="15"/>
  <c r="BI25" i="15"/>
  <c r="H105" i="15" l="1"/>
  <c r="I105" i="15" s="1"/>
  <c r="G105" i="15"/>
  <c r="D106" i="15"/>
  <c r="F106" i="15"/>
  <c r="D24" i="15"/>
  <c r="F24" i="15"/>
  <c r="G23" i="15"/>
  <c r="H23" i="15"/>
  <c r="I23" i="15" s="1"/>
  <c r="BB25" i="15"/>
  <c r="AR25" i="15"/>
  <c r="BB108" i="15"/>
  <c r="BL25" i="15"/>
  <c r="BL108" i="15"/>
  <c r="AR108" i="15"/>
  <c r="BG61" i="15"/>
  <c r="AW61" i="15"/>
  <c r="AM144" i="15"/>
  <c r="BG144" i="15"/>
  <c r="AW144" i="15"/>
  <c r="AM61" i="15"/>
  <c r="AN26" i="15"/>
  <c r="AN62" i="15" s="1"/>
  <c r="AP25" i="15"/>
  <c r="AM26" i="15"/>
  <c r="AO26" i="15"/>
  <c r="BI109" i="15"/>
  <c r="BH109" i="15"/>
  <c r="BH145" i="15" s="1"/>
  <c r="BJ108" i="15"/>
  <c r="BG109" i="15"/>
  <c r="BK108" i="15"/>
  <c r="AN109" i="15"/>
  <c r="AN145" i="15" s="1"/>
  <c r="AP108" i="15"/>
  <c r="AM109" i="15"/>
  <c r="AO109" i="15"/>
  <c r="AQ108" i="15"/>
  <c r="S25" i="15"/>
  <c r="S61" i="15" s="1"/>
  <c r="V24" i="15"/>
  <c r="W24" i="15"/>
  <c r="X24" i="15" s="1"/>
  <c r="BS108" i="15"/>
  <c r="BR108" i="15"/>
  <c r="BT107" i="15"/>
  <c r="BU107" i="15"/>
  <c r="BV107" i="15" s="1"/>
  <c r="U25" i="15"/>
  <c r="AF108" i="15"/>
  <c r="AE109" i="15"/>
  <c r="AC109" i="15"/>
  <c r="AC145" i="15" s="1"/>
  <c r="AG108" i="15"/>
  <c r="AH108" i="15" s="1"/>
  <c r="AZ108" i="15"/>
  <c r="AX109" i="15"/>
  <c r="AX145" i="15" s="1"/>
  <c r="AW109" i="15"/>
  <c r="AY109" i="15"/>
  <c r="BA108" i="15"/>
  <c r="U107" i="15"/>
  <c r="S107" i="15"/>
  <c r="S143" i="15" s="1"/>
  <c r="V106" i="15"/>
  <c r="W106" i="15"/>
  <c r="X106" i="15" s="1"/>
  <c r="AE26" i="15"/>
  <c r="AX26" i="15"/>
  <c r="AX62" i="15" s="1"/>
  <c r="AW26" i="15"/>
  <c r="BA25" i="15"/>
  <c r="AZ25" i="15"/>
  <c r="BK25" i="15"/>
  <c r="BJ25" i="15"/>
  <c r="BG26" i="15"/>
  <c r="AQ25" i="15"/>
  <c r="AC26" i="15"/>
  <c r="AC62" i="15" s="1"/>
  <c r="AF25" i="15"/>
  <c r="AG25" i="15"/>
  <c r="AH25" i="15" s="1"/>
  <c r="BI26" i="15"/>
  <c r="AY26" i="15"/>
  <c r="BH26" i="15"/>
  <c r="BH62" i="15" s="1"/>
  <c r="BS25" i="15"/>
  <c r="BR25" i="15"/>
  <c r="BU24" i="15"/>
  <c r="BV24" i="15" s="1"/>
  <c r="BT24" i="15"/>
  <c r="F25" i="15" l="1"/>
  <c r="D25" i="15"/>
  <c r="G24" i="15"/>
  <c r="H24" i="15"/>
  <c r="I24" i="15" s="1"/>
  <c r="D107" i="15"/>
  <c r="H106" i="15"/>
  <c r="I106" i="15" s="1"/>
  <c r="G106" i="15"/>
  <c r="F107" i="15"/>
  <c r="BB26" i="15"/>
  <c r="AR26" i="15"/>
  <c r="AR109" i="15"/>
  <c r="BB109" i="15"/>
  <c r="BL26" i="15"/>
  <c r="BL109" i="15"/>
  <c r="AW145" i="15"/>
  <c r="AW62" i="15"/>
  <c r="AM145" i="15"/>
  <c r="BG145" i="15"/>
  <c r="AM62" i="15"/>
  <c r="AN27" i="15"/>
  <c r="AN63" i="15" s="1"/>
  <c r="BG62" i="15"/>
  <c r="AO27" i="15"/>
  <c r="AP26" i="15"/>
  <c r="AM27" i="15"/>
  <c r="AP109" i="15"/>
  <c r="AN110" i="15"/>
  <c r="AN146" i="15" s="1"/>
  <c r="AO110" i="15"/>
  <c r="AM110" i="15"/>
  <c r="AQ109" i="15"/>
  <c r="BR109" i="15"/>
  <c r="BS109" i="15"/>
  <c r="BT108" i="15"/>
  <c r="BU108" i="15"/>
  <c r="BV108" i="15" s="1"/>
  <c r="U108" i="15"/>
  <c r="S108" i="15"/>
  <c r="S144" i="15" s="1"/>
  <c r="V107" i="15"/>
  <c r="W107" i="15"/>
  <c r="X107" i="15" s="1"/>
  <c r="AC110" i="15"/>
  <c r="AC146" i="15" s="1"/>
  <c r="AE110" i="15"/>
  <c r="AF109" i="15"/>
  <c r="AG109" i="15"/>
  <c r="AH109" i="15" s="1"/>
  <c r="BJ109" i="15"/>
  <c r="BG110" i="15"/>
  <c r="BI110" i="15"/>
  <c r="BH110" i="15"/>
  <c r="BH146" i="15" s="1"/>
  <c r="BK109" i="15"/>
  <c r="S26" i="15"/>
  <c r="S62" i="15" s="1"/>
  <c r="W25" i="15"/>
  <c r="X25" i="15" s="1"/>
  <c r="V25" i="15"/>
  <c r="U26" i="15"/>
  <c r="AZ109" i="15"/>
  <c r="AW110" i="15"/>
  <c r="AX110" i="15"/>
  <c r="AX146" i="15" s="1"/>
  <c r="AY110" i="15"/>
  <c r="BA109" i="15"/>
  <c r="BK26" i="15"/>
  <c r="BH27" i="15"/>
  <c r="BH63" i="15" s="1"/>
  <c r="BG27" i="15"/>
  <c r="BJ26" i="15"/>
  <c r="AC27" i="15"/>
  <c r="AC63" i="15" s="1"/>
  <c r="AG26" i="15"/>
  <c r="AH26" i="15" s="1"/>
  <c r="AF26" i="15"/>
  <c r="AE27" i="15"/>
  <c r="AX27" i="15"/>
  <c r="AX63" i="15" s="1"/>
  <c r="AY27" i="15"/>
  <c r="AW27" i="15"/>
  <c r="BA26" i="15"/>
  <c r="AZ26" i="15"/>
  <c r="BI27" i="15"/>
  <c r="AQ26" i="15"/>
  <c r="BR26" i="15"/>
  <c r="BS26" i="15"/>
  <c r="BT25" i="15"/>
  <c r="BU25" i="15"/>
  <c r="BV25" i="15" s="1"/>
  <c r="D108" i="15" l="1"/>
  <c r="F108" i="15"/>
  <c r="G107" i="15"/>
  <c r="H107" i="15"/>
  <c r="I107" i="15" s="1"/>
  <c r="G25" i="15"/>
  <c r="D26" i="15"/>
  <c r="F26" i="15"/>
  <c r="H25" i="15"/>
  <c r="I25" i="15" s="1"/>
  <c r="BB27" i="15"/>
  <c r="BL27" i="15"/>
  <c r="BL110" i="15"/>
  <c r="AR110" i="15"/>
  <c r="BB110" i="15"/>
  <c r="AR27" i="15"/>
  <c r="AW146" i="15"/>
  <c r="AM146" i="15"/>
  <c r="BG146" i="15"/>
  <c r="AM63" i="15"/>
  <c r="AN28" i="15"/>
  <c r="AN64" i="15" s="1"/>
  <c r="AW63" i="15"/>
  <c r="BG63" i="15"/>
  <c r="AP27" i="15"/>
  <c r="AM28" i="15"/>
  <c r="AO28" i="15"/>
  <c r="U27" i="15"/>
  <c r="AY111" i="15"/>
  <c r="AW111" i="15"/>
  <c r="AZ110" i="15"/>
  <c r="AX111" i="15"/>
  <c r="AX147" i="15" s="1"/>
  <c r="BA110" i="15"/>
  <c r="AN111" i="15"/>
  <c r="AN147" i="15" s="1"/>
  <c r="AP110" i="15"/>
  <c r="AO111" i="15"/>
  <c r="AM111" i="15"/>
  <c r="AQ110" i="15"/>
  <c r="BH111" i="15"/>
  <c r="BH147" i="15" s="1"/>
  <c r="BJ110" i="15"/>
  <c r="BI111" i="15"/>
  <c r="BG111" i="15"/>
  <c r="BK110" i="15"/>
  <c r="U109" i="15"/>
  <c r="V108" i="15"/>
  <c r="S109" i="15"/>
  <c r="S145" i="15" s="1"/>
  <c r="W108" i="15"/>
  <c r="X108" i="15" s="1"/>
  <c r="S27" i="15"/>
  <c r="S63" i="15" s="1"/>
  <c r="V26" i="15"/>
  <c r="W26" i="15"/>
  <c r="X26" i="15" s="1"/>
  <c r="AE111" i="15"/>
  <c r="AC111" i="15"/>
  <c r="AC147" i="15" s="1"/>
  <c r="AF110" i="15"/>
  <c r="AG110" i="15"/>
  <c r="AH110" i="15" s="1"/>
  <c r="BS110" i="15"/>
  <c r="BT109" i="15"/>
  <c r="BR110" i="15"/>
  <c r="BU109" i="15"/>
  <c r="BV109" i="15" s="1"/>
  <c r="BI28" i="15"/>
  <c r="BR27" i="15"/>
  <c r="BS27" i="15"/>
  <c r="BU26" i="15"/>
  <c r="BV26" i="15" s="1"/>
  <c r="BT26" i="15"/>
  <c r="AC28" i="15"/>
  <c r="AC64" i="15" s="1"/>
  <c r="AG27" i="15"/>
  <c r="AH27" i="15" s="1"/>
  <c r="AF27" i="15"/>
  <c r="AX28" i="15"/>
  <c r="AX64" i="15" s="1"/>
  <c r="AY28" i="15"/>
  <c r="AW28" i="15"/>
  <c r="AZ27" i="15"/>
  <c r="BA27" i="15"/>
  <c r="BG28" i="15"/>
  <c r="BJ27" i="15"/>
  <c r="BK27" i="15"/>
  <c r="AQ27" i="15"/>
  <c r="AE28" i="15"/>
  <c r="BH28" i="15"/>
  <c r="BH64" i="15" s="1"/>
  <c r="G26" i="15" l="1"/>
  <c r="H26" i="15"/>
  <c r="I26" i="15" s="1"/>
  <c r="D27" i="15"/>
  <c r="F27" i="15"/>
  <c r="G108" i="15"/>
  <c r="F109" i="15"/>
  <c r="D109" i="15"/>
  <c r="H108" i="15"/>
  <c r="I108" i="15" s="1"/>
  <c r="AR111" i="15"/>
  <c r="BB28" i="15"/>
  <c r="BL28" i="15"/>
  <c r="BB111" i="15"/>
  <c r="AR28" i="15"/>
  <c r="BL111" i="15"/>
  <c r="AM64" i="15"/>
  <c r="AN29" i="15"/>
  <c r="AN65" i="15" s="1"/>
  <c r="AW64" i="15"/>
  <c r="BG64" i="15"/>
  <c r="AW147" i="15"/>
  <c r="BG147" i="15"/>
  <c r="AM147" i="15"/>
  <c r="AO29" i="15"/>
  <c r="AP28" i="15"/>
  <c r="AM29" i="15"/>
  <c r="BI112" i="15"/>
  <c r="BG112" i="15"/>
  <c r="BH112" i="15"/>
  <c r="BH148" i="15" s="1"/>
  <c r="BJ111" i="15"/>
  <c r="BK111" i="15"/>
  <c r="AE112" i="15"/>
  <c r="AC112" i="15"/>
  <c r="AC148" i="15" s="1"/>
  <c r="AF111" i="15"/>
  <c r="AG111" i="15"/>
  <c r="AH111" i="15" s="1"/>
  <c r="S28" i="15"/>
  <c r="S64" i="15" s="1"/>
  <c r="V27" i="15"/>
  <c r="W27" i="15"/>
  <c r="X27" i="15" s="1"/>
  <c r="U28" i="15"/>
  <c r="BR111" i="15"/>
  <c r="BT110" i="15"/>
  <c r="BS111" i="15"/>
  <c r="BU110" i="15"/>
  <c r="BV110" i="15" s="1"/>
  <c r="U110" i="15"/>
  <c r="V109" i="15"/>
  <c r="S110" i="15"/>
  <c r="S146" i="15" s="1"/>
  <c r="W109" i="15"/>
  <c r="X109" i="15" s="1"/>
  <c r="AX112" i="15"/>
  <c r="AX148" i="15" s="1"/>
  <c r="AW112" i="15"/>
  <c r="AY112" i="15"/>
  <c r="AZ111" i="15"/>
  <c r="BA111" i="15"/>
  <c r="AO112" i="15"/>
  <c r="AM112" i="15"/>
  <c r="AP111" i="15"/>
  <c r="AN112" i="15"/>
  <c r="AN148" i="15" s="1"/>
  <c r="AQ111" i="15"/>
  <c r="BI29" i="15"/>
  <c r="AC29" i="15"/>
  <c r="AC65" i="15" s="1"/>
  <c r="AF28" i="15"/>
  <c r="AG28" i="15"/>
  <c r="AH28" i="15" s="1"/>
  <c r="AX29" i="15"/>
  <c r="AX65" i="15" s="1"/>
  <c r="BA28" i="15"/>
  <c r="AY29" i="15"/>
  <c r="AW29" i="15"/>
  <c r="AZ28" i="15"/>
  <c r="AQ28" i="15"/>
  <c r="BK28" i="15"/>
  <c r="BH29" i="15"/>
  <c r="BH65" i="15" s="1"/>
  <c r="BJ28" i="15"/>
  <c r="BG29" i="15"/>
  <c r="AE29" i="15"/>
  <c r="BR28" i="15"/>
  <c r="BS28" i="15"/>
  <c r="BU27" i="15"/>
  <c r="BV27" i="15" s="1"/>
  <c r="BT27" i="15"/>
  <c r="F110" i="15" l="1"/>
  <c r="D110" i="15"/>
  <c r="H109" i="15"/>
  <c r="I109" i="15" s="1"/>
  <c r="G109" i="15"/>
  <c r="F28" i="15"/>
  <c r="H27" i="15"/>
  <c r="I27" i="15" s="1"/>
  <c r="G27" i="15"/>
  <c r="D28" i="15"/>
  <c r="BB112" i="15"/>
  <c r="AR112" i="15"/>
  <c r="AR29" i="15"/>
  <c r="BL112" i="15"/>
  <c r="BB29" i="15"/>
  <c r="BL29" i="15"/>
  <c r="AM65" i="15"/>
  <c r="AN30" i="15"/>
  <c r="AN66" i="15" s="1"/>
  <c r="BG65" i="15"/>
  <c r="AM148" i="15"/>
  <c r="AW65" i="15"/>
  <c r="BG148" i="15"/>
  <c r="AW148" i="15"/>
  <c r="AP29" i="15"/>
  <c r="AO30" i="15"/>
  <c r="AM30" i="15"/>
  <c r="AE30" i="15"/>
  <c r="U29" i="15"/>
  <c r="AO113" i="15"/>
  <c r="AN113" i="15"/>
  <c r="AN149" i="15" s="1"/>
  <c r="AP112" i="15"/>
  <c r="AM113" i="15"/>
  <c r="AQ112" i="15"/>
  <c r="AX113" i="15"/>
  <c r="AX149" i="15" s="1"/>
  <c r="AZ112" i="15"/>
  <c r="AW113" i="15"/>
  <c r="AY113" i="15"/>
  <c r="BA112" i="15"/>
  <c r="AC113" i="15"/>
  <c r="AC149" i="15" s="1"/>
  <c r="AF112" i="15"/>
  <c r="AE113" i="15"/>
  <c r="AG112" i="15"/>
  <c r="AH112" i="15" s="1"/>
  <c r="BT111" i="15"/>
  <c r="BS112" i="15"/>
  <c r="BR112" i="15"/>
  <c r="BU111" i="15"/>
  <c r="BV111" i="15" s="1"/>
  <c r="U111" i="15"/>
  <c r="V110" i="15"/>
  <c r="S111" i="15"/>
  <c r="S147" i="15" s="1"/>
  <c r="W110" i="15"/>
  <c r="X110" i="15" s="1"/>
  <c r="S29" i="15"/>
  <c r="S65" i="15" s="1"/>
  <c r="W28" i="15"/>
  <c r="X28" i="15" s="1"/>
  <c r="V28" i="15"/>
  <c r="BH113" i="15"/>
  <c r="BH149" i="15" s="1"/>
  <c r="BI113" i="15"/>
  <c r="BG113" i="15"/>
  <c r="BJ112" i="15"/>
  <c r="BK112" i="15"/>
  <c r="BI30" i="15"/>
  <c r="BR29" i="15"/>
  <c r="BS29" i="15"/>
  <c r="BU28" i="15"/>
  <c r="BV28" i="15" s="1"/>
  <c r="BT28" i="15"/>
  <c r="BK29" i="15"/>
  <c r="BJ29" i="15"/>
  <c r="BH30" i="15"/>
  <c r="BH66" i="15" s="1"/>
  <c r="BG30" i="15"/>
  <c r="AQ29" i="15"/>
  <c r="AC30" i="15"/>
  <c r="AC66" i="15" s="1"/>
  <c r="AG29" i="15"/>
  <c r="AH29" i="15" s="1"/>
  <c r="AF29" i="15"/>
  <c r="AX30" i="15"/>
  <c r="AX66" i="15" s="1"/>
  <c r="AY30" i="15"/>
  <c r="AW30" i="15"/>
  <c r="AZ29" i="15"/>
  <c r="BA29" i="15"/>
  <c r="F29" i="15" l="1"/>
  <c r="D29" i="15"/>
  <c r="H28" i="15"/>
  <c r="I28" i="15" s="1"/>
  <c r="G28" i="15"/>
  <c r="H110" i="15"/>
  <c r="I110" i="15" s="1"/>
  <c r="D111" i="15"/>
  <c r="G110" i="15"/>
  <c r="F111" i="15"/>
  <c r="BB30" i="15"/>
  <c r="BL30" i="15"/>
  <c r="AR30" i="15"/>
  <c r="AR113" i="15"/>
  <c r="BL113" i="15"/>
  <c r="BB113" i="15"/>
  <c r="BG66" i="15"/>
  <c r="AW149" i="15"/>
  <c r="AW66" i="15"/>
  <c r="BG149" i="15"/>
  <c r="AM66" i="15"/>
  <c r="AN31" i="15"/>
  <c r="AN67" i="15" s="1"/>
  <c r="AM149" i="15"/>
  <c r="AP30" i="15"/>
  <c r="AO31" i="15"/>
  <c r="AM31" i="15"/>
  <c r="AX114" i="15"/>
  <c r="AX150" i="15" s="1"/>
  <c r="AW114" i="15"/>
  <c r="AZ113" i="15"/>
  <c r="AY114" i="15"/>
  <c r="BA113" i="15"/>
  <c r="V111" i="15"/>
  <c r="S112" i="15"/>
  <c r="S148" i="15" s="1"/>
  <c r="U112" i="15"/>
  <c r="W111" i="15"/>
  <c r="X111" i="15" s="1"/>
  <c r="S30" i="15"/>
  <c r="S66" i="15" s="1"/>
  <c r="V29" i="15"/>
  <c r="W29" i="15"/>
  <c r="X29" i="15" s="1"/>
  <c r="AM114" i="15"/>
  <c r="AP113" i="15"/>
  <c r="AN114" i="15"/>
  <c r="AN150" i="15" s="1"/>
  <c r="AO114" i="15"/>
  <c r="AQ113" i="15"/>
  <c r="U30" i="15"/>
  <c r="AE114" i="15"/>
  <c r="AC114" i="15"/>
  <c r="AC150" i="15" s="1"/>
  <c r="AF113" i="15"/>
  <c r="AG113" i="15"/>
  <c r="AH113" i="15" s="1"/>
  <c r="BI114" i="15"/>
  <c r="BJ113" i="15"/>
  <c r="BG114" i="15"/>
  <c r="BH114" i="15"/>
  <c r="BH150" i="15" s="1"/>
  <c r="BK113" i="15"/>
  <c r="BR113" i="15"/>
  <c r="BS113" i="15"/>
  <c r="BT112" i="15"/>
  <c r="BU112" i="15"/>
  <c r="BV112" i="15" s="1"/>
  <c r="BI31" i="15"/>
  <c r="AX31" i="15"/>
  <c r="AX67" i="15" s="1"/>
  <c r="AY31" i="15"/>
  <c r="AW31" i="15"/>
  <c r="AZ30" i="15"/>
  <c r="BA30" i="15"/>
  <c r="AQ30" i="15"/>
  <c r="BJ30" i="15"/>
  <c r="BH31" i="15"/>
  <c r="BH67" i="15" s="1"/>
  <c r="BG31" i="15"/>
  <c r="BK30" i="15"/>
  <c r="AC31" i="15"/>
  <c r="AC67" i="15" s="1"/>
  <c r="AF30" i="15"/>
  <c r="AG30" i="15"/>
  <c r="AH30" i="15" s="1"/>
  <c r="AE31" i="15"/>
  <c r="BR30" i="15"/>
  <c r="BS30" i="15"/>
  <c r="BU29" i="15"/>
  <c r="BV29" i="15" s="1"/>
  <c r="BT29" i="15"/>
  <c r="D112" i="15" l="1"/>
  <c r="F112" i="15"/>
  <c r="G111" i="15"/>
  <c r="H111" i="15"/>
  <c r="I111" i="15" s="1"/>
  <c r="F30" i="15"/>
  <c r="G29" i="15"/>
  <c r="D30" i="15"/>
  <c r="H29" i="15"/>
  <c r="I29" i="15" s="1"/>
  <c r="AR114" i="15"/>
  <c r="BL31" i="15"/>
  <c r="AR31" i="15"/>
  <c r="BB31" i="15"/>
  <c r="BB114" i="15"/>
  <c r="BL114" i="15"/>
  <c r="AW67" i="15"/>
  <c r="BG67" i="15"/>
  <c r="AW150" i="15"/>
  <c r="BG150" i="15"/>
  <c r="AM150" i="15"/>
  <c r="AM67" i="15"/>
  <c r="AN32" i="15"/>
  <c r="AN68" i="15" s="1"/>
  <c r="AP31" i="15"/>
  <c r="AM32" i="15"/>
  <c r="AO32" i="15"/>
  <c r="U31" i="15"/>
  <c r="BT113" i="15"/>
  <c r="BS114" i="15"/>
  <c r="BR114" i="15"/>
  <c r="BU113" i="15"/>
  <c r="BV113" i="15" s="1"/>
  <c r="AE115" i="15"/>
  <c r="AF114" i="15"/>
  <c r="AC115" i="15"/>
  <c r="AC151" i="15" s="1"/>
  <c r="AG114" i="15"/>
  <c r="AH114" i="15" s="1"/>
  <c r="S31" i="15"/>
  <c r="S67" i="15" s="1"/>
  <c r="V30" i="15"/>
  <c r="W30" i="15"/>
  <c r="X30" i="15" s="1"/>
  <c r="AX115" i="15"/>
  <c r="AX151" i="15" s="1"/>
  <c r="AY115" i="15"/>
  <c r="AZ114" i="15"/>
  <c r="AW115" i="15"/>
  <c r="BA114" i="15"/>
  <c r="BI115" i="15"/>
  <c r="BG115" i="15"/>
  <c r="BH115" i="15"/>
  <c r="BH151" i="15" s="1"/>
  <c r="BJ114" i="15"/>
  <c r="BK114" i="15"/>
  <c r="U113" i="15"/>
  <c r="S113" i="15"/>
  <c r="S149" i="15" s="1"/>
  <c r="V112" i="15"/>
  <c r="W112" i="15"/>
  <c r="X112" i="15" s="1"/>
  <c r="AM115" i="15"/>
  <c r="AO115" i="15"/>
  <c r="AP114" i="15"/>
  <c r="AN115" i="15"/>
  <c r="AN151" i="15" s="1"/>
  <c r="AQ114" i="15"/>
  <c r="AE32" i="15"/>
  <c r="AQ31" i="15"/>
  <c r="BH32" i="15"/>
  <c r="BH68" i="15" s="1"/>
  <c r="AX32" i="15"/>
  <c r="AX68" i="15" s="1"/>
  <c r="AW32" i="15"/>
  <c r="AZ31" i="15"/>
  <c r="BA31" i="15"/>
  <c r="AC32" i="15"/>
  <c r="AC68" i="15" s="1"/>
  <c r="AG31" i="15"/>
  <c r="AH31" i="15" s="1"/>
  <c r="AF31" i="15"/>
  <c r="AY32" i="15"/>
  <c r="BR31" i="15"/>
  <c r="BS31" i="15"/>
  <c r="BU30" i="15"/>
  <c r="BV30" i="15" s="1"/>
  <c r="BT30" i="15"/>
  <c r="BJ31" i="15"/>
  <c r="BK31" i="15"/>
  <c r="BG32" i="15"/>
  <c r="BI32" i="15"/>
  <c r="G30" i="15" l="1"/>
  <c r="H30" i="15"/>
  <c r="I30" i="15" s="1"/>
  <c r="D31" i="15"/>
  <c r="F31" i="15"/>
  <c r="G112" i="15"/>
  <c r="F113" i="15"/>
  <c r="D113" i="15"/>
  <c r="H112" i="15"/>
  <c r="I112" i="15" s="1"/>
  <c r="BB32" i="15"/>
  <c r="BL32" i="15"/>
  <c r="BB115" i="15"/>
  <c r="BL115" i="15"/>
  <c r="AR115" i="15"/>
  <c r="AR32" i="15"/>
  <c r="AM151" i="15"/>
  <c r="AM68" i="15"/>
  <c r="AN33" i="15"/>
  <c r="AN69" i="15" s="1"/>
  <c r="BG151" i="15"/>
  <c r="BG68" i="15"/>
  <c r="AW68" i="15"/>
  <c r="AW151" i="15"/>
  <c r="AO33" i="15"/>
  <c r="AP32" i="15"/>
  <c r="AM33" i="15"/>
  <c r="S114" i="15"/>
  <c r="S150" i="15" s="1"/>
  <c r="U114" i="15"/>
  <c r="V113" i="15"/>
  <c r="W113" i="15"/>
  <c r="X113" i="15" s="1"/>
  <c r="AZ115" i="15"/>
  <c r="AX116" i="15"/>
  <c r="AX152" i="15" s="1"/>
  <c r="AW116" i="15"/>
  <c r="AY116" i="15"/>
  <c r="BA115" i="15"/>
  <c r="AE116" i="15"/>
  <c r="AF115" i="15"/>
  <c r="AC116" i="15"/>
  <c r="AC152" i="15" s="1"/>
  <c r="AG115" i="15"/>
  <c r="AH115" i="15" s="1"/>
  <c r="AO116" i="15"/>
  <c r="AM116" i="15"/>
  <c r="AP115" i="15"/>
  <c r="AN116" i="15"/>
  <c r="AN152" i="15" s="1"/>
  <c r="AQ115" i="15"/>
  <c r="BH116" i="15"/>
  <c r="BH152" i="15" s="1"/>
  <c r="BG116" i="15"/>
  <c r="BJ115" i="15"/>
  <c r="BI116" i="15"/>
  <c r="BK115" i="15"/>
  <c r="BS115" i="15"/>
  <c r="BR115" i="15"/>
  <c r="BT114" i="15"/>
  <c r="BU114" i="15"/>
  <c r="BV114" i="15" s="1"/>
  <c r="S32" i="15"/>
  <c r="S68" i="15" s="1"/>
  <c r="W31" i="15"/>
  <c r="X31" i="15" s="1"/>
  <c r="V31" i="15"/>
  <c r="U32" i="15"/>
  <c r="AE33" i="15"/>
  <c r="BI33" i="15"/>
  <c r="BK32" i="15"/>
  <c r="BG33" i="15"/>
  <c r="BH33" i="15"/>
  <c r="BH69" i="15" s="1"/>
  <c r="BJ32" i="15"/>
  <c r="BR32" i="15"/>
  <c r="BS32" i="15"/>
  <c r="BT31" i="15"/>
  <c r="BU31" i="15"/>
  <c r="BV31" i="15" s="1"/>
  <c r="AC33" i="15"/>
  <c r="AC69" i="15" s="1"/>
  <c r="AG32" i="15"/>
  <c r="AH32" i="15" s="1"/>
  <c r="AF32" i="15"/>
  <c r="AX33" i="15"/>
  <c r="AX69" i="15" s="1"/>
  <c r="AZ32" i="15"/>
  <c r="AY33" i="15"/>
  <c r="BA32" i="15"/>
  <c r="AW33" i="15"/>
  <c r="AQ32" i="15"/>
  <c r="D114" i="15" l="1"/>
  <c r="G113" i="15"/>
  <c r="F114" i="15"/>
  <c r="H113" i="15"/>
  <c r="I113" i="15" s="1"/>
  <c r="H31" i="15"/>
  <c r="I31" i="15" s="1"/>
  <c r="D32" i="15"/>
  <c r="F32" i="15"/>
  <c r="G31" i="15"/>
  <c r="BB116" i="15"/>
  <c r="BL116" i="15"/>
  <c r="AR33" i="15"/>
  <c r="AR116" i="15"/>
  <c r="BB33" i="15"/>
  <c r="BL33" i="15"/>
  <c r="AW69" i="15"/>
  <c r="AM152" i="15"/>
  <c r="BG69" i="15"/>
  <c r="AW152" i="15"/>
  <c r="BG152" i="15"/>
  <c r="AM69" i="15"/>
  <c r="AN34" i="15"/>
  <c r="AN70" i="15" s="1"/>
  <c r="AP33" i="15"/>
  <c r="AM34" i="15"/>
  <c r="AO34" i="15"/>
  <c r="S33" i="15"/>
  <c r="S69" i="15" s="1"/>
  <c r="W32" i="15"/>
  <c r="X32" i="15" s="1"/>
  <c r="V32" i="15"/>
  <c r="BG117" i="15"/>
  <c r="BI117" i="15"/>
  <c r="BH117" i="15"/>
  <c r="BH153" i="15" s="1"/>
  <c r="BJ116" i="15"/>
  <c r="BK116" i="15"/>
  <c r="AZ116" i="15"/>
  <c r="AY117" i="15"/>
  <c r="AX117" i="15"/>
  <c r="AX153" i="15" s="1"/>
  <c r="AW117" i="15"/>
  <c r="BA116" i="15"/>
  <c r="BT115" i="15"/>
  <c r="BR116" i="15"/>
  <c r="BS116" i="15"/>
  <c r="BU115" i="15"/>
  <c r="BV115" i="15" s="1"/>
  <c r="AF116" i="15"/>
  <c r="AE117" i="15"/>
  <c r="AC117" i="15"/>
  <c r="AC153" i="15" s="1"/>
  <c r="AG116" i="15"/>
  <c r="AH116" i="15" s="1"/>
  <c r="U33" i="15"/>
  <c r="AM117" i="15"/>
  <c r="AO117" i="15"/>
  <c r="AP116" i="15"/>
  <c r="AN117" i="15"/>
  <c r="AN153" i="15" s="1"/>
  <c r="AQ116" i="15"/>
  <c r="S115" i="15"/>
  <c r="S151" i="15" s="1"/>
  <c r="V114" i="15"/>
  <c r="U115" i="15"/>
  <c r="W114" i="15"/>
  <c r="X114" i="15" s="1"/>
  <c r="BH34" i="15"/>
  <c r="BH70" i="15" s="1"/>
  <c r="AE34" i="15"/>
  <c r="BR33" i="15"/>
  <c r="BS33" i="15"/>
  <c r="BU32" i="15"/>
  <c r="BV32" i="15" s="1"/>
  <c r="BT32" i="15"/>
  <c r="AC34" i="15"/>
  <c r="AC70" i="15" s="1"/>
  <c r="AF33" i="15"/>
  <c r="AG33" i="15"/>
  <c r="AH33" i="15" s="1"/>
  <c r="BJ33" i="15"/>
  <c r="BG34" i="15"/>
  <c r="BK33" i="15"/>
  <c r="AX34" i="15"/>
  <c r="AX70" i="15" s="1"/>
  <c r="AW34" i="15"/>
  <c r="BA33" i="15"/>
  <c r="AZ33" i="15"/>
  <c r="AY34" i="15"/>
  <c r="BI34" i="15"/>
  <c r="AQ33" i="15"/>
  <c r="D33" i="15" l="1"/>
  <c r="F33" i="15"/>
  <c r="H32" i="15"/>
  <c r="I32" i="15" s="1"/>
  <c r="G32" i="15"/>
  <c r="H114" i="15"/>
  <c r="I114" i="15" s="1"/>
  <c r="F115" i="15"/>
  <c r="D115" i="15"/>
  <c r="G114" i="15"/>
  <c r="BL34" i="15"/>
  <c r="AR34" i="15"/>
  <c r="AR117" i="15"/>
  <c r="BB34" i="15"/>
  <c r="BB117" i="15"/>
  <c r="BL117" i="15"/>
  <c r="AM70" i="15"/>
  <c r="AN35" i="15"/>
  <c r="AN71" i="15" s="1"/>
  <c r="BG70" i="15"/>
  <c r="BG153" i="15"/>
  <c r="AW70" i="15"/>
  <c r="AW153" i="15"/>
  <c r="AM153" i="15"/>
  <c r="AP34" i="15"/>
  <c r="AO35" i="15"/>
  <c r="AM35" i="15"/>
  <c r="U34" i="15"/>
  <c r="U116" i="15"/>
  <c r="S116" i="15"/>
  <c r="S152" i="15" s="1"/>
  <c r="V115" i="15"/>
  <c r="W115" i="15"/>
  <c r="X115" i="15" s="1"/>
  <c r="AF117" i="15"/>
  <c r="AC118" i="15"/>
  <c r="AC154" i="15" s="1"/>
  <c r="AE118" i="15"/>
  <c r="AG117" i="15"/>
  <c r="AH117" i="15" s="1"/>
  <c r="AW118" i="15"/>
  <c r="AY118" i="15"/>
  <c r="AZ117" i="15"/>
  <c r="AX118" i="15"/>
  <c r="AX154" i="15" s="1"/>
  <c r="BA117" i="15"/>
  <c r="BI118" i="15"/>
  <c r="BH118" i="15"/>
  <c r="BH154" i="15" s="1"/>
  <c r="BJ117" i="15"/>
  <c r="BG118" i="15"/>
  <c r="BK117" i="15"/>
  <c r="AN118" i="15"/>
  <c r="AN154" i="15" s="1"/>
  <c r="AM118" i="15"/>
  <c r="AP117" i="15"/>
  <c r="AO118" i="15"/>
  <c r="AQ117" i="15"/>
  <c r="BT116" i="15"/>
  <c r="BS117" i="15"/>
  <c r="BR117" i="15"/>
  <c r="BU116" i="15"/>
  <c r="BV116" i="15" s="1"/>
  <c r="S34" i="15"/>
  <c r="S70" i="15" s="1"/>
  <c r="W33" i="15"/>
  <c r="X33" i="15" s="1"/>
  <c r="V33" i="15"/>
  <c r="BI35" i="15"/>
  <c r="AX35" i="15"/>
  <c r="AX71" i="15" s="1"/>
  <c r="AY35" i="15"/>
  <c r="AW35" i="15"/>
  <c r="AZ34" i="15"/>
  <c r="BA34" i="15"/>
  <c r="AC35" i="15"/>
  <c r="AC71" i="15" s="1"/>
  <c r="AG34" i="15"/>
  <c r="AH34" i="15" s="1"/>
  <c r="AF34" i="15"/>
  <c r="BH35" i="15"/>
  <c r="BH71" i="15" s="1"/>
  <c r="BG35" i="15"/>
  <c r="BJ34" i="15"/>
  <c r="BK34" i="15"/>
  <c r="AQ34" i="15"/>
  <c r="AE35" i="15"/>
  <c r="BR34" i="15"/>
  <c r="BS34" i="15"/>
  <c r="BT33" i="15"/>
  <c r="BU33" i="15"/>
  <c r="BV33" i="15" s="1"/>
  <c r="H115" i="15" l="1"/>
  <c r="I115" i="15" s="1"/>
  <c r="G115" i="15"/>
  <c r="F116" i="15"/>
  <c r="D116" i="15"/>
  <c r="G33" i="15"/>
  <c r="D34" i="15"/>
  <c r="H33" i="15"/>
  <c r="I33" i="15" s="1"/>
  <c r="F34" i="15"/>
  <c r="BL118" i="15"/>
  <c r="BB35" i="15"/>
  <c r="BL35" i="15"/>
  <c r="AR118" i="15"/>
  <c r="AR35" i="15"/>
  <c r="BB118" i="15"/>
  <c r="AW154" i="15"/>
  <c r="AW71" i="15"/>
  <c r="BG71" i="15"/>
  <c r="BG154" i="15"/>
  <c r="AM154" i="15"/>
  <c r="AM71" i="15"/>
  <c r="AN36" i="15"/>
  <c r="AN72" i="15" s="1"/>
  <c r="AP35" i="15"/>
  <c r="AM36" i="15"/>
  <c r="AO36" i="15"/>
  <c r="U35" i="15"/>
  <c r="AN119" i="15"/>
  <c r="AN155" i="15" s="1"/>
  <c r="AM119" i="15"/>
  <c r="AP118" i="15"/>
  <c r="AO119" i="15"/>
  <c r="AQ118" i="15"/>
  <c r="BS118" i="15"/>
  <c r="BR118" i="15"/>
  <c r="BT117" i="15"/>
  <c r="BU117" i="15"/>
  <c r="BV117" i="15" s="1"/>
  <c r="AC119" i="15"/>
  <c r="AC155" i="15" s="1"/>
  <c r="AF118" i="15"/>
  <c r="AE119" i="15"/>
  <c r="AG118" i="15"/>
  <c r="AH118" i="15" s="1"/>
  <c r="BI119" i="15"/>
  <c r="BH119" i="15"/>
  <c r="BH155" i="15" s="1"/>
  <c r="BG119" i="15"/>
  <c r="BJ118" i="15"/>
  <c r="BK118" i="15"/>
  <c r="AX119" i="15"/>
  <c r="AX155" i="15" s="1"/>
  <c r="AW119" i="15"/>
  <c r="AZ118" i="15"/>
  <c r="AY119" i="15"/>
  <c r="BA118" i="15"/>
  <c r="U117" i="15"/>
  <c r="S117" i="15"/>
  <c r="S153" i="15" s="1"/>
  <c r="V116" i="15"/>
  <c r="W116" i="15"/>
  <c r="X116" i="15" s="1"/>
  <c r="S35" i="15"/>
  <c r="S71" i="15" s="1"/>
  <c r="V34" i="15"/>
  <c r="W34" i="15"/>
  <c r="X34" i="15" s="1"/>
  <c r="BI36" i="15"/>
  <c r="AE36" i="15"/>
  <c r="AQ35" i="15"/>
  <c r="AC36" i="15"/>
  <c r="AC72" i="15" s="1"/>
  <c r="AG35" i="15"/>
  <c r="AH35" i="15" s="1"/>
  <c r="AF35" i="15"/>
  <c r="BK35" i="15"/>
  <c r="BG36" i="15"/>
  <c r="BJ35" i="15"/>
  <c r="AX36" i="15"/>
  <c r="AX72" i="15" s="1"/>
  <c r="AZ35" i="15"/>
  <c r="AW36" i="15"/>
  <c r="BA35" i="15"/>
  <c r="BH36" i="15"/>
  <c r="BH72" i="15" s="1"/>
  <c r="AY36" i="15"/>
  <c r="BR35" i="15"/>
  <c r="BS35" i="15"/>
  <c r="BU34" i="15"/>
  <c r="BV34" i="15" s="1"/>
  <c r="BT34" i="15"/>
  <c r="D35" i="15" l="1"/>
  <c r="H34" i="15"/>
  <c r="I34" i="15" s="1"/>
  <c r="F35" i="15"/>
  <c r="G34" i="15"/>
  <c r="F117" i="15"/>
  <c r="D117" i="15"/>
  <c r="G116" i="15"/>
  <c r="H116" i="15"/>
  <c r="I116" i="15" s="1"/>
  <c r="BL119" i="15"/>
  <c r="BL36" i="15"/>
  <c r="AR119" i="15"/>
  <c r="BB36" i="15"/>
  <c r="AR36" i="15"/>
  <c r="BB119" i="15"/>
  <c r="AW155" i="15"/>
  <c r="AW72" i="15"/>
  <c r="AM72" i="15"/>
  <c r="AN37" i="15"/>
  <c r="AN73" i="15" s="1"/>
  <c r="AM155" i="15"/>
  <c r="BG155" i="15"/>
  <c r="BG72" i="15"/>
  <c r="AP36" i="15"/>
  <c r="AO37" i="15"/>
  <c r="AM37" i="15"/>
  <c r="BR119" i="15"/>
  <c r="BT118" i="15"/>
  <c r="BS119" i="15"/>
  <c r="BU118" i="15"/>
  <c r="BV118" i="15" s="1"/>
  <c r="V117" i="15"/>
  <c r="U118" i="15"/>
  <c r="S118" i="15"/>
  <c r="S154" i="15" s="1"/>
  <c r="W117" i="15"/>
  <c r="X117" i="15" s="1"/>
  <c r="AZ119" i="15"/>
  <c r="AY120" i="15"/>
  <c r="AX120" i="15"/>
  <c r="AX156" i="15" s="1"/>
  <c r="AW120" i="15"/>
  <c r="BA119" i="15"/>
  <c r="AF119" i="15"/>
  <c r="AE120" i="15"/>
  <c r="AC120" i="15"/>
  <c r="AC156" i="15" s="1"/>
  <c r="AG119" i="15"/>
  <c r="AH119" i="15" s="1"/>
  <c r="AP119" i="15"/>
  <c r="AO120" i="15"/>
  <c r="AN120" i="15"/>
  <c r="AN156" i="15" s="1"/>
  <c r="AM120" i="15"/>
  <c r="AQ119" i="15"/>
  <c r="S36" i="15"/>
  <c r="S72" i="15" s="1"/>
  <c r="W35" i="15"/>
  <c r="X35" i="15" s="1"/>
  <c r="V35" i="15"/>
  <c r="BJ119" i="15"/>
  <c r="BI120" i="15"/>
  <c r="BG120" i="15"/>
  <c r="BH120" i="15"/>
  <c r="BH156" i="15" s="1"/>
  <c r="BK119" i="15"/>
  <c r="U36" i="15"/>
  <c r="BK36" i="15"/>
  <c r="BH37" i="15"/>
  <c r="BH73" i="15" s="1"/>
  <c r="BJ36" i="15"/>
  <c r="BG37" i="15"/>
  <c r="AC37" i="15"/>
  <c r="AC73" i="15" s="1"/>
  <c r="AG36" i="15"/>
  <c r="AH36" i="15" s="1"/>
  <c r="AF36" i="15"/>
  <c r="BR36" i="15"/>
  <c r="BS36" i="15"/>
  <c r="BU35" i="15"/>
  <c r="BV35" i="15" s="1"/>
  <c r="BT35" i="15"/>
  <c r="AY37" i="15"/>
  <c r="AW37" i="15"/>
  <c r="AX37" i="15"/>
  <c r="AX73" i="15" s="1"/>
  <c r="BA36" i="15"/>
  <c r="AZ36" i="15"/>
  <c r="BI37" i="15"/>
  <c r="AE37" i="15"/>
  <c r="AQ36" i="15"/>
  <c r="G117" i="15" l="1"/>
  <c r="D118" i="15"/>
  <c r="F118" i="15"/>
  <c r="H117" i="15"/>
  <c r="I117" i="15" s="1"/>
  <c r="H35" i="15"/>
  <c r="I35" i="15" s="1"/>
  <c r="D36" i="15"/>
  <c r="F36" i="15"/>
  <c r="G35" i="15"/>
  <c r="BL37" i="15"/>
  <c r="BB120" i="15"/>
  <c r="AR37" i="15"/>
  <c r="BB37" i="15"/>
  <c r="BL120" i="15"/>
  <c r="AR120" i="15"/>
  <c r="BG73" i="15"/>
  <c r="AM156" i="15"/>
  <c r="AW156" i="15"/>
  <c r="AW73" i="15"/>
  <c r="BG156" i="15"/>
  <c r="AM73" i="15"/>
  <c r="AN38" i="15"/>
  <c r="AN74" i="15" s="1"/>
  <c r="AP37" i="15"/>
  <c r="AM38" i="15"/>
  <c r="AO38" i="15"/>
  <c r="U37" i="15"/>
  <c r="BH121" i="15"/>
  <c r="BH157" i="15" s="1"/>
  <c r="BG121" i="15"/>
  <c r="BJ120" i="15"/>
  <c r="BI121" i="15"/>
  <c r="BK120" i="15"/>
  <c r="AF120" i="15"/>
  <c r="AE121" i="15"/>
  <c r="AC121" i="15"/>
  <c r="AC157" i="15" s="1"/>
  <c r="AG120" i="15"/>
  <c r="AH120" i="15" s="1"/>
  <c r="V118" i="15"/>
  <c r="U119" i="15"/>
  <c r="S119" i="15"/>
  <c r="S155" i="15" s="1"/>
  <c r="W118" i="15"/>
  <c r="X118" i="15" s="1"/>
  <c r="AO121" i="15"/>
  <c r="AN121" i="15"/>
  <c r="AN157" i="15" s="1"/>
  <c r="AM121" i="15"/>
  <c r="AP120" i="15"/>
  <c r="AQ120" i="15"/>
  <c r="AW121" i="15"/>
  <c r="AZ120" i="15"/>
  <c r="AY121" i="15"/>
  <c r="AX121" i="15"/>
  <c r="AX157" i="15" s="1"/>
  <c r="BA120" i="15"/>
  <c r="S37" i="15"/>
  <c r="S73" i="15" s="1"/>
  <c r="W36" i="15"/>
  <c r="X36" i="15" s="1"/>
  <c r="V36" i="15"/>
  <c r="BR120" i="15"/>
  <c r="BT119" i="15"/>
  <c r="BS120" i="15"/>
  <c r="BU119" i="15"/>
  <c r="BV119" i="15" s="1"/>
  <c r="AE38" i="15"/>
  <c r="BI38" i="15"/>
  <c r="AC38" i="15"/>
  <c r="AC74" i="15" s="1"/>
  <c r="AF37" i="15"/>
  <c r="AG37" i="15"/>
  <c r="AH37" i="15" s="1"/>
  <c r="BK37" i="15"/>
  <c r="BJ37" i="15"/>
  <c r="BG38" i="15"/>
  <c r="BR37" i="15"/>
  <c r="BS37" i="15"/>
  <c r="BU36" i="15"/>
  <c r="BV36" i="15" s="1"/>
  <c r="BT36" i="15"/>
  <c r="BH38" i="15"/>
  <c r="BH74" i="15" s="1"/>
  <c r="AY38" i="15"/>
  <c r="AW38" i="15"/>
  <c r="AX38" i="15"/>
  <c r="AX74" i="15" s="1"/>
  <c r="BA37" i="15"/>
  <c r="AZ37" i="15"/>
  <c r="AQ37" i="15"/>
  <c r="H36" i="15" l="1"/>
  <c r="I36" i="15" s="1"/>
  <c r="G36" i="15"/>
  <c r="D37" i="15"/>
  <c r="F37" i="15"/>
  <c r="D119" i="15"/>
  <c r="H118" i="15"/>
  <c r="I118" i="15" s="1"/>
  <c r="F119" i="15"/>
  <c r="G118" i="15"/>
  <c r="AP38" i="15"/>
  <c r="AR38" i="15"/>
  <c r="BL121" i="15"/>
  <c r="AR121" i="15"/>
  <c r="BB121" i="15"/>
  <c r="BL38" i="15"/>
  <c r="BB38" i="15"/>
  <c r="AM74" i="15"/>
  <c r="AN39" i="15"/>
  <c r="AN75" i="15" s="1"/>
  <c r="BG157" i="15"/>
  <c r="AW157" i="15"/>
  <c r="AW74" i="15"/>
  <c r="AM157" i="15"/>
  <c r="BG74" i="15"/>
  <c r="AO39" i="15"/>
  <c r="AM39" i="15"/>
  <c r="U38" i="15"/>
  <c r="BT120" i="15"/>
  <c r="BS121" i="15"/>
  <c r="BR121" i="15"/>
  <c r="BU120" i="15"/>
  <c r="BV120" i="15" s="1"/>
  <c r="AP121" i="15"/>
  <c r="AO122" i="15"/>
  <c r="AN122" i="15"/>
  <c r="AN158" i="15" s="1"/>
  <c r="AM122" i="15"/>
  <c r="AQ121" i="15"/>
  <c r="AE122" i="15"/>
  <c r="AF121" i="15"/>
  <c r="AC122" i="15"/>
  <c r="AC158" i="15" s="1"/>
  <c r="AG121" i="15"/>
  <c r="AH121" i="15" s="1"/>
  <c r="U120" i="15"/>
  <c r="S120" i="15"/>
  <c r="S156" i="15" s="1"/>
  <c r="V119" i="15"/>
  <c r="W119" i="15"/>
  <c r="X119" i="15" s="1"/>
  <c r="AZ121" i="15"/>
  <c r="AX122" i="15"/>
  <c r="AX158" i="15" s="1"/>
  <c r="AY122" i="15"/>
  <c r="AW122" i="15"/>
  <c r="BA121" i="15"/>
  <c r="BJ121" i="15"/>
  <c r="BI122" i="15"/>
  <c r="BH122" i="15"/>
  <c r="BH158" i="15" s="1"/>
  <c r="BG122" i="15"/>
  <c r="BK121" i="15"/>
  <c r="S38" i="15"/>
  <c r="S74" i="15" s="1"/>
  <c r="V37" i="15"/>
  <c r="W37" i="15"/>
  <c r="X37" i="15" s="1"/>
  <c r="BI39" i="15"/>
  <c r="BR38" i="15"/>
  <c r="BS38" i="15"/>
  <c r="BU37" i="15"/>
  <c r="BV37" i="15" s="1"/>
  <c r="BT37" i="15"/>
  <c r="AC39" i="15"/>
  <c r="AC75" i="15" s="1"/>
  <c r="AG38" i="15"/>
  <c r="AH38" i="15" s="1"/>
  <c r="AF38" i="15"/>
  <c r="AY39" i="15"/>
  <c r="AW39" i="15"/>
  <c r="BA38" i="15"/>
  <c r="AX39" i="15"/>
  <c r="AX75" i="15" s="1"/>
  <c r="AZ38" i="15"/>
  <c r="BH39" i="15"/>
  <c r="BH75" i="15" s="1"/>
  <c r="BK38" i="15"/>
  <c r="BG39" i="15"/>
  <c r="BJ38" i="15"/>
  <c r="AQ38" i="15"/>
  <c r="AE39" i="15"/>
  <c r="F120" i="15" l="1"/>
  <c r="D120" i="15"/>
  <c r="G119" i="15"/>
  <c r="H119" i="15"/>
  <c r="I119" i="15" s="1"/>
  <c r="H37" i="15"/>
  <c r="I37" i="15" s="1"/>
  <c r="D38" i="15"/>
  <c r="G37" i="15"/>
  <c r="F38" i="15"/>
  <c r="AR39" i="15"/>
  <c r="BL122" i="15"/>
  <c r="BB122" i="15"/>
  <c r="AR122" i="15"/>
  <c r="BB39" i="15"/>
  <c r="BL39" i="15"/>
  <c r="BG158" i="15"/>
  <c r="AW75" i="15"/>
  <c r="BG75" i="15"/>
  <c r="AW158" i="15"/>
  <c r="AM158" i="15"/>
  <c r="AM75" i="15"/>
  <c r="AN40" i="15"/>
  <c r="AN76" i="15" s="1"/>
  <c r="AP39" i="15"/>
  <c r="AM40" i="15"/>
  <c r="AO40" i="15"/>
  <c r="U39" i="15"/>
  <c r="AE123" i="15"/>
  <c r="AC123" i="15"/>
  <c r="AC159" i="15" s="1"/>
  <c r="AF122" i="15"/>
  <c r="AG122" i="15"/>
  <c r="AH122" i="15" s="1"/>
  <c r="BG123" i="15"/>
  <c r="BJ122" i="15"/>
  <c r="BI123" i="15"/>
  <c r="BH123" i="15"/>
  <c r="BH159" i="15" s="1"/>
  <c r="BK122" i="15"/>
  <c r="U121" i="15"/>
  <c r="S121" i="15"/>
  <c r="S157" i="15" s="1"/>
  <c r="V120" i="15"/>
  <c r="W120" i="15"/>
  <c r="X120" i="15" s="1"/>
  <c r="BR122" i="15"/>
  <c r="BT121" i="15"/>
  <c r="BS122" i="15"/>
  <c r="BU121" i="15"/>
  <c r="BV121" i="15" s="1"/>
  <c r="AZ122" i="15"/>
  <c r="AY123" i="15"/>
  <c r="AX123" i="15"/>
  <c r="AX159" i="15" s="1"/>
  <c r="AW123" i="15"/>
  <c r="BA122" i="15"/>
  <c r="S39" i="15"/>
  <c r="S75" i="15" s="1"/>
  <c r="W38" i="15"/>
  <c r="X38" i="15" s="1"/>
  <c r="V38" i="15"/>
  <c r="AP122" i="15"/>
  <c r="AO123" i="15"/>
  <c r="AN123" i="15"/>
  <c r="AN159" i="15" s="1"/>
  <c r="AM123" i="15"/>
  <c r="AQ122" i="15"/>
  <c r="AQ39" i="15"/>
  <c r="AC40" i="15"/>
  <c r="AC76" i="15" s="1"/>
  <c r="AF39" i="15"/>
  <c r="AG39" i="15"/>
  <c r="AH39" i="15" s="1"/>
  <c r="BJ39" i="15"/>
  <c r="BK39" i="15"/>
  <c r="BG40" i="15"/>
  <c r="AY40" i="15"/>
  <c r="AX40" i="15"/>
  <c r="AX76" i="15" s="1"/>
  <c r="AZ39" i="15"/>
  <c r="BA39" i="15"/>
  <c r="AW40" i="15"/>
  <c r="AE40" i="15"/>
  <c r="BH40" i="15"/>
  <c r="BH76" i="15" s="1"/>
  <c r="BS39" i="15"/>
  <c r="BR39" i="15"/>
  <c r="BU38" i="15"/>
  <c r="BV38" i="15" s="1"/>
  <c r="BT38" i="15"/>
  <c r="BI40" i="15"/>
  <c r="H38" i="15" l="1"/>
  <c r="I38" i="15" s="1"/>
  <c r="F39" i="15"/>
  <c r="D39" i="15"/>
  <c r="G38" i="15"/>
  <c r="D121" i="15"/>
  <c r="H120" i="15"/>
  <c r="I120" i="15" s="1"/>
  <c r="G120" i="15"/>
  <c r="F121" i="15"/>
  <c r="BB40" i="15"/>
  <c r="BB123" i="15"/>
  <c r="AR40" i="15"/>
  <c r="BL40" i="15"/>
  <c r="AR123" i="15"/>
  <c r="BL123" i="15"/>
  <c r="BG159" i="15"/>
  <c r="AW76" i="15"/>
  <c r="AM76" i="15"/>
  <c r="AN41" i="15"/>
  <c r="AN77" i="15" s="1"/>
  <c r="AW159" i="15"/>
  <c r="BG76" i="15"/>
  <c r="AM159" i="15"/>
  <c r="AO41" i="15"/>
  <c r="AP40" i="15"/>
  <c r="AM41" i="15"/>
  <c r="S40" i="15"/>
  <c r="S76" i="15" s="1"/>
  <c r="U40" i="15"/>
  <c r="W39" i="15"/>
  <c r="X39" i="15" s="1"/>
  <c r="V39" i="15"/>
  <c r="BT122" i="15"/>
  <c r="BS123" i="15"/>
  <c r="BR123" i="15"/>
  <c r="BU122" i="15"/>
  <c r="BV122" i="15" s="1"/>
  <c r="AZ123" i="15"/>
  <c r="AY124" i="15"/>
  <c r="AX124" i="15"/>
  <c r="AX160" i="15" s="1"/>
  <c r="AW124" i="15"/>
  <c r="BA123" i="15"/>
  <c r="BJ123" i="15"/>
  <c r="BH124" i="15"/>
  <c r="BH160" i="15" s="1"/>
  <c r="BI124" i="15"/>
  <c r="BG124" i="15"/>
  <c r="BK123" i="15"/>
  <c r="V121" i="15"/>
  <c r="U122" i="15"/>
  <c r="S122" i="15"/>
  <c r="S158" i="15" s="1"/>
  <c r="W121" i="15"/>
  <c r="X121" i="15" s="1"/>
  <c r="AE124" i="15"/>
  <c r="AF123" i="15"/>
  <c r="AC124" i="15"/>
  <c r="AC160" i="15" s="1"/>
  <c r="AG123" i="15"/>
  <c r="AH123" i="15" s="1"/>
  <c r="AM124" i="15"/>
  <c r="AP123" i="15"/>
  <c r="AO124" i="15"/>
  <c r="AN124" i="15"/>
  <c r="AN160" i="15" s="1"/>
  <c r="AQ123" i="15"/>
  <c r="BI41" i="15"/>
  <c r="AE41" i="15"/>
  <c r="AQ40" i="15"/>
  <c r="BR40" i="15"/>
  <c r="BS40" i="15"/>
  <c r="BU39" i="15"/>
  <c r="BV39" i="15" s="1"/>
  <c r="BT39" i="15"/>
  <c r="AY41" i="15"/>
  <c r="AX41" i="15"/>
  <c r="AX77" i="15" s="1"/>
  <c r="AW41" i="15"/>
  <c r="BA40" i="15"/>
  <c r="AZ40" i="15"/>
  <c r="AC41" i="15"/>
  <c r="AC77" i="15" s="1"/>
  <c r="AF40" i="15"/>
  <c r="AG40" i="15"/>
  <c r="AH40" i="15" s="1"/>
  <c r="BH41" i="15"/>
  <c r="BH77" i="15" s="1"/>
  <c r="BK40" i="15"/>
  <c r="BJ40" i="15"/>
  <c r="BG41" i="15"/>
  <c r="H121" i="15" l="1"/>
  <c r="I121" i="15" s="1"/>
  <c r="G121" i="15"/>
  <c r="F122" i="15"/>
  <c r="D122" i="15"/>
  <c r="H39" i="15"/>
  <c r="I39" i="15" s="1"/>
  <c r="D40" i="15"/>
  <c r="G39" i="15"/>
  <c r="F40" i="15"/>
  <c r="BL124" i="15"/>
  <c r="BB124" i="15"/>
  <c r="AR41" i="15"/>
  <c r="AR124" i="15"/>
  <c r="BL41" i="15"/>
  <c r="BB41" i="15"/>
  <c r="AW77" i="15"/>
  <c r="AM160" i="15"/>
  <c r="BG160" i="15"/>
  <c r="BG77" i="15"/>
  <c r="AW160" i="15"/>
  <c r="AM77" i="15"/>
  <c r="AN42" i="15"/>
  <c r="AN78" i="15" s="1"/>
  <c r="AP41" i="15"/>
  <c r="AO42" i="15"/>
  <c r="AM42" i="15"/>
  <c r="U41" i="15"/>
  <c r="AP124" i="15"/>
  <c r="AM125" i="15"/>
  <c r="AO125" i="15"/>
  <c r="AN125" i="15"/>
  <c r="AQ124" i="15"/>
  <c r="BR124" i="15"/>
  <c r="BT123" i="15"/>
  <c r="BS124" i="15"/>
  <c r="BU123" i="15"/>
  <c r="BV123" i="15" s="1"/>
  <c r="AF124" i="15"/>
  <c r="AE125" i="15"/>
  <c r="AC125" i="15"/>
  <c r="AC161" i="15" s="1"/>
  <c r="AG124" i="15"/>
  <c r="AH124" i="15" s="1"/>
  <c r="AZ124" i="15"/>
  <c r="AY125" i="15"/>
  <c r="AX125" i="15"/>
  <c r="AW125" i="15"/>
  <c r="BA124" i="15"/>
  <c r="V122" i="15"/>
  <c r="U123" i="15"/>
  <c r="S123" i="15"/>
  <c r="S159" i="15" s="1"/>
  <c r="W122" i="15"/>
  <c r="X122" i="15" s="1"/>
  <c r="BG125" i="15"/>
  <c r="BI125" i="15"/>
  <c r="BH125" i="15"/>
  <c r="BJ124" i="15"/>
  <c r="BK124" i="15"/>
  <c r="S41" i="15"/>
  <c r="S77" i="15" s="1"/>
  <c r="W40" i="15"/>
  <c r="X40" i="15" s="1"/>
  <c r="V40" i="15"/>
  <c r="AE42" i="15"/>
  <c r="BH42" i="15"/>
  <c r="BH78" i="15" s="1"/>
  <c r="AX42" i="15"/>
  <c r="AX78" i="15" s="1"/>
  <c r="AY42" i="15"/>
  <c r="AZ41" i="15"/>
  <c r="BA41" i="15"/>
  <c r="AW42" i="15"/>
  <c r="BR41" i="15"/>
  <c r="BS41" i="15"/>
  <c r="BT40" i="15"/>
  <c r="BU40" i="15"/>
  <c r="BV40" i="15" s="1"/>
  <c r="BI42" i="15"/>
  <c r="BK41" i="15"/>
  <c r="BG42" i="15"/>
  <c r="BJ41" i="15"/>
  <c r="AC42" i="15"/>
  <c r="AC78" i="15" s="1"/>
  <c r="AG41" i="15"/>
  <c r="AH41" i="15" s="1"/>
  <c r="AF41" i="15"/>
  <c r="AQ41" i="15"/>
  <c r="D41" i="15" l="1"/>
  <c r="F41" i="15"/>
  <c r="H40" i="15"/>
  <c r="I40" i="15" s="1"/>
  <c r="G40" i="15"/>
  <c r="H122" i="15"/>
  <c r="I122" i="15" s="1"/>
  <c r="D123" i="15"/>
  <c r="G122" i="15"/>
  <c r="F123" i="15"/>
  <c r="AR42" i="15"/>
  <c r="BL42" i="15"/>
  <c r="BL125" i="15"/>
  <c r="BL126" i="15" s="1"/>
  <c r="BL127" i="15" s="1"/>
  <c r="AR125" i="15"/>
  <c r="AR126" i="15" s="1"/>
  <c r="AR127" i="15" s="1"/>
  <c r="BB42" i="15"/>
  <c r="BB125" i="15"/>
  <c r="BB126" i="15" s="1"/>
  <c r="BB127" i="15" s="1"/>
  <c r="BG161" i="15"/>
  <c r="BG162" i="15" s="1"/>
  <c r="AW161" i="15"/>
  <c r="AW162" i="15" s="1"/>
  <c r="AW78" i="15"/>
  <c r="BG78" i="15"/>
  <c r="AM161" i="15"/>
  <c r="AM162" i="15" s="1"/>
  <c r="AM78" i="15"/>
  <c r="AN43" i="15"/>
  <c r="AP42" i="15"/>
  <c r="AM43" i="15"/>
  <c r="AO43" i="15"/>
  <c r="AC162" i="15"/>
  <c r="AG162" i="15" s="1"/>
  <c r="AN161" i="15"/>
  <c r="AN162" i="15" s="1"/>
  <c r="BH161" i="15"/>
  <c r="BH162" i="15" s="1"/>
  <c r="AX161" i="15"/>
  <c r="AX162" i="15" s="1"/>
  <c r="U42" i="15"/>
  <c r="BS125" i="15"/>
  <c r="BR125" i="15"/>
  <c r="BT124" i="15"/>
  <c r="BU124" i="15"/>
  <c r="BV124" i="15" s="1"/>
  <c r="BJ125" i="15"/>
  <c r="BK125" i="15"/>
  <c r="BK126" i="15" s="1"/>
  <c r="BK127" i="15" s="1"/>
  <c r="AF125" i="15"/>
  <c r="AG125" i="15"/>
  <c r="AH125" i="15" s="1"/>
  <c r="U124" i="15"/>
  <c r="S124" i="15"/>
  <c r="S160" i="15" s="1"/>
  <c r="V123" i="15"/>
  <c r="W123" i="15"/>
  <c r="X123" i="15" s="1"/>
  <c r="AP125" i="15"/>
  <c r="AQ125" i="15"/>
  <c r="AQ126" i="15" s="1"/>
  <c r="AQ127" i="15" s="1"/>
  <c r="S42" i="15"/>
  <c r="S78" i="15" s="1"/>
  <c r="W41" i="15"/>
  <c r="X41" i="15" s="1"/>
  <c r="V41" i="15"/>
  <c r="AZ125" i="15"/>
  <c r="BA125" i="15"/>
  <c r="BA126" i="15" s="1"/>
  <c r="BA127" i="15" s="1"/>
  <c r="AE43" i="15"/>
  <c r="BI43" i="15"/>
  <c r="BH43" i="15"/>
  <c r="BG43" i="15"/>
  <c r="BK42" i="15"/>
  <c r="BJ42" i="15"/>
  <c r="BR42" i="15"/>
  <c r="BS42" i="15"/>
  <c r="BT41" i="15"/>
  <c r="BU41" i="15"/>
  <c r="BV41" i="15" s="1"/>
  <c r="AQ42" i="15"/>
  <c r="AY43" i="15"/>
  <c r="BA42" i="15"/>
  <c r="AX43" i="15"/>
  <c r="AW43" i="15"/>
  <c r="AZ42" i="15"/>
  <c r="AC43" i="15"/>
  <c r="AC79" i="15" s="1"/>
  <c r="AG42" i="15"/>
  <c r="AH42" i="15" s="1"/>
  <c r="AF42" i="15"/>
  <c r="G123" i="15" l="1"/>
  <c r="F124" i="15"/>
  <c r="D124" i="15"/>
  <c r="H123" i="15"/>
  <c r="I123" i="15" s="1"/>
  <c r="H41" i="15"/>
  <c r="I41" i="15" s="1"/>
  <c r="D42" i="15"/>
  <c r="G41" i="15"/>
  <c r="F42" i="15"/>
  <c r="BB43" i="15"/>
  <c r="BB44" i="15" s="1"/>
  <c r="BB45" i="15" s="1"/>
  <c r="BL43" i="15"/>
  <c r="BL44" i="15" s="1"/>
  <c r="BL45" i="15" s="1"/>
  <c r="AM79" i="15"/>
  <c r="AM80" i="15" s="1"/>
  <c r="AR43" i="15"/>
  <c r="AR44" i="15" s="1"/>
  <c r="AR45" i="15" s="1"/>
  <c r="AG126" i="15"/>
  <c r="AG127" i="15" s="1"/>
  <c r="AH126" i="15"/>
  <c r="AH127" i="15" s="1"/>
  <c r="AW79" i="15"/>
  <c r="AW80" i="15" s="1"/>
  <c r="BG79" i="15"/>
  <c r="BG80" i="15" s="1"/>
  <c r="AP43" i="15"/>
  <c r="AQ162" i="15"/>
  <c r="BK162" i="15"/>
  <c r="BA162" i="15"/>
  <c r="AC80" i="15"/>
  <c r="AG80" i="15" s="1"/>
  <c r="BH79" i="15"/>
  <c r="BH80" i="15" s="1"/>
  <c r="AN79" i="15"/>
  <c r="AN80" i="15" s="1"/>
  <c r="AX79" i="15"/>
  <c r="AX80" i="15" s="1"/>
  <c r="V124" i="15"/>
  <c r="S125" i="15"/>
  <c r="U125" i="15"/>
  <c r="W124" i="15"/>
  <c r="X124" i="15" s="1"/>
  <c r="S43" i="15"/>
  <c r="V42" i="15"/>
  <c r="W42" i="15"/>
  <c r="X42" i="15" s="1"/>
  <c r="BT125" i="15"/>
  <c r="BU125" i="15"/>
  <c r="BV125" i="15" s="1"/>
  <c r="U43" i="15"/>
  <c r="BR43" i="15"/>
  <c r="BS43" i="15"/>
  <c r="BU42" i="15"/>
  <c r="BV42" i="15" s="1"/>
  <c r="BT42" i="15"/>
  <c r="AQ43" i="15"/>
  <c r="AQ44" i="15" s="1"/>
  <c r="AQ45" i="15" s="1"/>
  <c r="AG43" i="15"/>
  <c r="AH43" i="15" s="1"/>
  <c r="AF43" i="15"/>
  <c r="BJ43" i="15"/>
  <c r="BK43" i="15"/>
  <c r="BK44" i="15" s="1"/>
  <c r="BK45" i="15" s="1"/>
  <c r="BA43" i="15"/>
  <c r="BA44" i="15" s="1"/>
  <c r="BA45" i="15" s="1"/>
  <c r="AZ43" i="15"/>
  <c r="G42" i="15" l="1"/>
  <c r="H42" i="15"/>
  <c r="I42" i="15" s="1"/>
  <c r="D43" i="15"/>
  <c r="F43" i="15"/>
  <c r="H124" i="15"/>
  <c r="I124" i="15" s="1"/>
  <c r="G124" i="15"/>
  <c r="F125" i="15"/>
  <c r="D125" i="15"/>
  <c r="BU126" i="15"/>
  <c r="BU127" i="15" s="1"/>
  <c r="BV126" i="15"/>
  <c r="BV127" i="15" s="1"/>
  <c r="AG44" i="15"/>
  <c r="AG45" i="15" s="1"/>
  <c r="AH44" i="15"/>
  <c r="AH45" i="15" s="1"/>
  <c r="S79" i="15"/>
  <c r="S80" i="15" s="1"/>
  <c r="W80" i="15" s="1"/>
  <c r="S161" i="15"/>
  <c r="S162" i="15" s="1"/>
  <c r="W162" i="15" s="1"/>
  <c r="F31" i="16" s="1"/>
  <c r="BA80" i="15"/>
  <c r="BK80" i="15"/>
  <c r="AQ80" i="15"/>
  <c r="W43" i="15"/>
  <c r="X43" i="15" s="1"/>
  <c r="V43" i="15"/>
  <c r="V125" i="15"/>
  <c r="W125" i="15"/>
  <c r="X125" i="15" s="1"/>
  <c r="BU43" i="15"/>
  <c r="BV43" i="15" s="1"/>
  <c r="BT43" i="15"/>
  <c r="G80" i="15"/>
  <c r="D80" i="15"/>
  <c r="H125" i="15" l="1"/>
  <c r="I125" i="15" s="1"/>
  <c r="I126" i="15" s="1"/>
  <c r="I127" i="15" s="1"/>
  <c r="G125" i="15"/>
  <c r="H43" i="15"/>
  <c r="G43" i="15"/>
  <c r="H126" i="15"/>
  <c r="H127" i="15" s="1"/>
  <c r="BU44" i="15"/>
  <c r="BU45" i="15" s="1"/>
  <c r="BV44" i="15"/>
  <c r="BV45" i="15" s="1"/>
  <c r="W44" i="15"/>
  <c r="W45" i="15" s="1"/>
  <c r="X44" i="15"/>
  <c r="X45" i="15" s="1"/>
  <c r="W126" i="15"/>
  <c r="W127" i="15" s="1"/>
  <c r="X126" i="15"/>
  <c r="X127" i="15" s="1"/>
  <c r="D5" i="20"/>
  <c r="F39" i="16" s="1"/>
  <c r="F32" i="16"/>
  <c r="E80" i="15"/>
  <c r="H31" i="16" l="1"/>
  <c r="F5" i="20" s="1"/>
  <c r="I43" i="15"/>
  <c r="I44" i="15" s="1"/>
  <c r="I45" i="15" s="1"/>
  <c r="H32" i="16" s="1"/>
  <c r="E5" i="20" s="1"/>
  <c r="H44" i="15"/>
  <c r="H45" i="15" s="1"/>
  <c r="E32" i="16" s="1"/>
  <c r="E31" i="16"/>
  <c r="G37" i="16"/>
  <c r="F33" i="16"/>
  <c r="C5" i="20"/>
  <c r="G5" i="20" s="1"/>
  <c r="H5" i="20" l="1"/>
  <c r="I5" i="20" s="1"/>
  <c r="H33" i="16"/>
  <c r="I31" i="16" s="1"/>
  <c r="E33" i="16"/>
  <c r="G31" i="16" s="1"/>
  <c r="J31"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tc={AC8E9FA8-E0ED-40E9-AFE3-2B189D572B5B}</author>
    <author>tc={C3309E74-2EE0-44B0-AED7-74B0C502759A}</author>
    <author>tc={4AC7E394-BF52-49DC-9E4C-35BA3C14CEF3}</author>
    <author>tc={CD93ECFE-7FC1-42BC-96A2-D04983F7E0E5}</author>
    <author>tc={245A0D28-EC5B-4F80-A624-615B50B168CB}</author>
    <author>tc={36FDD373-A655-4ABB-8D93-34BCFF3B0821}</author>
    <author>tc={828D7BF6-605B-488B-9438-B012C469E8AB}</author>
    <author>tc={8D003007-BCE2-454C-969C-90B0042C2A1F}</author>
    <author>tc={F0A3515F-EBD1-4DD6-9DCA-444DD2D8552D}</author>
    <author>tc={2347ABAF-34B2-405E-8208-9576C8F33CB0}</author>
    <author>tc={76A110BC-C058-4A29-875C-DAAA3D5632FA}</author>
    <author>tc={A890EF70-5652-42B8-A418-57FB2FCB9C5D}</author>
    <author>tc={DD0473B2-5568-4680-9663-9034D9E29625}</author>
    <author>tc={F3ABECAC-7C65-4F18-B338-9C8E499A7E1A}</author>
    <author>tc={BD4BC16E-F46B-498F-AAB4-100D4F6F4D26}</author>
    <author>tc={3E473D78-8BD6-4F76-A4B9-5E089322F8E5}</author>
    <author>tc={B26E0BC4-4D94-469B-90FC-EF34985F324C}</author>
    <author>tc={94DD4E33-9393-46B0-9357-10592ABDE1C4}</author>
    <author>tc={E8AB4D88-D6FF-400D-B414-AA3F0F3987B6}</author>
    <author>tc={9D5B08D4-1972-43B1-AB7E-1272D0D61D5E}</author>
    <author>tc={C18A25AB-725B-45D1-8EC4-30DE5C4CD6F5}</author>
    <author>tc={7A1885E3-F7EA-4A8D-8321-670726830A06}</author>
    <author>tc={E89288DB-1C4A-4E68-AF67-838202C1B82A}</author>
    <author>tc={21C97EE0-54F4-4994-8612-DC7F8A5E3269}</author>
    <author>tc={709BA34C-C935-4116-8D9B-538B2737572A}</author>
    <author>tc={77E96DA7-E768-4F65-BDE3-BB1085BB54DD}</author>
    <author>tc={2AF9222E-50F9-4FD3-9FA2-40DDAC359F4F}</author>
    <author>tc={BD66C677-ED11-4420-B90B-AAD91BAE46CF}</author>
    <author>tc={26844E89-B4C6-49DF-AA40-B7D39F69ACED}</author>
    <author>tc={6CA32866-A20C-4067-8B1D-6AF1A3036199}</author>
    <author>tc={ECF80B7C-E3FA-4BBB-8B64-64E19B563466}</author>
    <author>tc={D329270A-D6E5-4EBC-BBFA-EF62C0F4BBE3}</author>
    <author>tc={E856E30F-49EC-4872-9FD9-CDC187BDB7D1}</author>
    <author>tc={F22A0ED2-6F7E-4B62-9028-942767980C90}</author>
    <author>tc={67ED8AFC-4D3D-404C-845B-C58AD02F3CC5}</author>
  </authors>
  <commentList>
    <comment ref="C73" authorId="0" shapeId="0" xr:uid="{00000000-0006-0000-0600-000001000000}">
      <text>
        <t>[Comentário encadeado]
Sua versão do Excel permite que você leia este comentário encadeado, no entanto, as edições serão removidas se o arquivo for aberto em uma versão mais recente do Excel. Saiba mais: https://go.microsoft.com/fwlink/?linkid=870924
Comentário:
    1 frasco-ampola a cada 3
semanas</t>
      </text>
    </comment>
    <comment ref="C74" authorId="1" shapeId="0" xr:uid="{00000000-0006-0000-0600-000002000000}">
      <text>
        <t>[Comentário encadeado]
Sua versão do Excel permite que você leia este comentário encadeado, no entanto, as edições serão removidas se o arquivo for aberto em uma versão mais recente do Excel. Saiba mais: https://go.microsoft.com/fwlink/?linkid=870924
Comentário:
    2mg/kg por semana</t>
      </text>
    </comment>
    <comment ref="C75" authorId="2" shapeId="0" xr:uid="{00000000-0006-0000-0600-000003000000}">
      <text>
        <t>[Comentário encadeado]
Sua versão do Excel permite que você leia este comentário encadeado, no entanto, as edições serão removidas se o arquivo for aberto em uma versão mais recente do Excel. Saiba mais: https://go.microsoft.com/fwlink/?linkid=870924
Comentário:
    75 mg/m2
a cada 3 semanas</t>
      </text>
    </comment>
    <comment ref="C93" authorId="3" shapeId="0" xr:uid="{00000000-0006-0000-0600-000004000000}">
      <text>
        <t>[Comentário encadeado]
Sua versão do Excel permite que você leia este comentário encadeado, no entanto, as edições serão removidas se o arquivo for aberto em uma versão mais recente do Excel. Saiba mais: https://go.microsoft.com/fwlink/?linkid=870924
Comentário:
    TC: ciclofosfamida 600 mg/m2 IV associada a docetaxel 75 mg/m2 IV a cada 21 dias por 4 ciclos.</t>
      </text>
    </comment>
    <comment ref="C108" authorId="4" shapeId="0" xr:uid="{00000000-0006-0000-0600-000005000000}">
      <text>
        <t>[Comentário encadeado]
Sua versão do Excel permite que você leia este comentário encadeado, no entanto, as edições serão removidas se o arquivo for aberto em uma versão mais recente do Excel. Saiba mais: https://go.microsoft.com/fwlink/?linkid=870924
Comentário:
    1 frasco-ampola a cada 3
semanas</t>
      </text>
    </comment>
    <comment ref="C109" authorId="5" shapeId="0" xr:uid="{00000000-0006-0000-0600-000006000000}">
      <text>
        <t>[Comentário encadeado]
Sua versão do Excel permite que você leia este comentário encadeado, no entanto, as edições serão removidas se o arquivo for aberto em uma versão mais recente do Excel. Saiba mais: https://go.microsoft.com/fwlink/?linkid=870924
Comentário:
    2mg/kg por semana</t>
      </text>
    </comment>
    <comment ref="C110" authorId="6" shapeId="0" xr:uid="{00000000-0006-0000-0600-000007000000}">
      <text>
        <t>[Comentário encadeado]
Sua versão do Excel permite que você leia este comentário encadeado, no entanto, as edições serão removidas se o arquivo for aberto em uma versão mais recente do Excel. Saiba mais: https://go.microsoft.com/fwlink/?linkid=870924
Comentário:
    75 mg/m2
a cada 3 semanas</t>
      </text>
    </comment>
    <comment ref="C128" authorId="7" shapeId="0" xr:uid="{00000000-0006-0000-0600-000008000000}">
      <text>
        <t>[Comentário encadeado]
Sua versão do Excel permite que você leia este comentário encadeado, no entanto, as edições serão removidas se o arquivo for aberto em uma versão mais recente do Excel. Saiba mais: https://go.microsoft.com/fwlink/?linkid=870924
Comentário:
    TC: ciclofosfamida 600 mg/m2 IV associada a docetaxel 75 mg/m2 IV a cada 21 dias por 4 ciclos.</t>
      </text>
    </comment>
    <comment ref="C133" authorId="8" shapeId="0" xr:uid="{00000000-0006-0000-0600-000009000000}">
      <text>
        <t>[Comentário encadeado]
Sua versão do Excel permite que você leia este comentário encadeado, no entanto, as edições serão removidas se o arquivo for aberto em uma versão mais recente do Excel. Saiba mais: https://go.microsoft.com/fwlink/?linkid=870924
Comentário:
    1 frasco-ampola a cada 3
semanas</t>
      </text>
    </comment>
    <comment ref="C134" authorId="9" shapeId="0" xr:uid="{00000000-0006-0000-0600-00000A000000}">
      <text>
        <t>[Comentário encadeado]
Sua versão do Excel permite que você leia este comentário encadeado, no entanto, as edições serão removidas se o arquivo for aberto em uma versão mais recente do Excel. Saiba mais: https://go.microsoft.com/fwlink/?linkid=870924
Comentário:
    2mg/kg por semana</t>
      </text>
    </comment>
    <comment ref="C135" authorId="10" shapeId="0" xr:uid="{00000000-0006-0000-0600-00000B000000}">
      <text>
        <t>[Comentário encadeado]
Sua versão do Excel permite que você leia este comentário encadeado, no entanto, as edições serão removidas se o arquivo for aberto em uma versão mais recente do Excel. Saiba mais: https://go.microsoft.com/fwlink/?linkid=870924
Comentário:
    75 mg/m2
a cada 3 semanas</t>
      </text>
    </comment>
    <comment ref="C149" authorId="11" shapeId="0" xr:uid="{00000000-0006-0000-0600-00000C000000}">
      <text>
        <t>[Comentário encadeado]
Sua versão do Excel permite que você leia este comentário encadeado, no entanto, as edições serão removidas se o arquivo for aberto em uma versão mais recente do Excel. Saiba mais: https://go.microsoft.com/fwlink/?linkid=870924
Comentário:
    TC: ciclofosfamida 600 mg/m2 IV associada a docetaxel 75 mg/m2 IV a cada 21 dias por 4 ciclos.</t>
      </text>
    </comment>
    <comment ref="C158" authorId="12" shapeId="0" xr:uid="{00000000-0006-0000-0600-00000D000000}">
      <text>
        <t>[Comentário encadeado]
Sua versão do Excel permite que você leia este comentário encadeado, no entanto, as edições serão removidas se o arquivo for aberto em uma versão mais recente do Excel. Saiba mais: https://go.microsoft.com/fwlink/?linkid=870924
Comentário:
    1 frasco-ampola a cada 3
semanas</t>
      </text>
    </comment>
    <comment ref="C159" authorId="13" shapeId="0" xr:uid="{00000000-0006-0000-0600-00000E000000}">
      <text>
        <t>[Comentário encadeado]
Sua versão do Excel permite que você leia este comentário encadeado, no entanto, as edições serão removidas se o arquivo for aberto em uma versão mais recente do Excel. Saiba mais: https://go.microsoft.com/fwlink/?linkid=870924
Comentário:
    2mg/kg por semana</t>
      </text>
    </comment>
    <comment ref="C160" authorId="14" shapeId="0" xr:uid="{00000000-0006-0000-0600-00000F000000}">
      <text>
        <t>[Comentário encadeado]
Sua versão do Excel permite que você leia este comentário encadeado, no entanto, as edições serão removidas se o arquivo for aberto em uma versão mais recente do Excel. Saiba mais: https://go.microsoft.com/fwlink/?linkid=870924
Comentário:
    75 mg/m2
a cada 3 semanas</t>
      </text>
    </comment>
    <comment ref="C173" authorId="15" shapeId="0" xr:uid="{00000000-0006-0000-0600-000010000000}">
      <text>
        <t>[Comentário encadeado]
Sua versão do Excel permite que você leia este comentário encadeado, no entanto, as edições serão removidas se o arquivo for aberto em uma versão mais recente do Excel. Saiba mais: https://go.microsoft.com/fwlink/?linkid=870924
Comentário:
    TC: ciclofosfamida 600 mg/m2 IV associada a docetaxel 75 mg/m2 IV a cada 21 dias por 4 ciclos.</t>
      </text>
    </comment>
    <comment ref="C182" authorId="16" shapeId="0" xr:uid="{00000000-0006-0000-0600-000011000000}">
      <text>
        <t>[Comentário encadeado]
Sua versão do Excel permite que você leia este comentário encadeado, no entanto, as edições serão removidas se o arquivo for aberto em uma versão mais recente do Excel. Saiba mais: https://go.microsoft.com/fwlink/?linkid=870924
Comentário:
    1 frasco-ampola a cada 3
semanas</t>
      </text>
    </comment>
    <comment ref="C183" authorId="17" shapeId="0" xr:uid="{00000000-0006-0000-0600-000012000000}">
      <text>
        <t>[Comentário encadeado]
Sua versão do Excel permite que você leia este comentário encadeado, no entanto, as edições serão removidas se o arquivo for aberto em uma versão mais recente do Excel. Saiba mais: https://go.microsoft.com/fwlink/?linkid=870924
Comentário:
    2mg/kg por semana</t>
      </text>
    </comment>
    <comment ref="C184" authorId="18" shapeId="0" xr:uid="{00000000-0006-0000-0600-000013000000}">
      <text>
        <t>[Comentário encadeado]
Sua versão do Excel permite que você leia este comentário encadeado, no entanto, as edições serão removidas se o arquivo for aberto em uma versão mais recente do Excel. Saiba mais: https://go.microsoft.com/fwlink/?linkid=870924
Comentário:
    75 mg/m2
a cada 3 semanas</t>
      </text>
    </comment>
    <comment ref="C196" authorId="19" shapeId="0" xr:uid="{00000000-0006-0000-0600-000014000000}">
      <text>
        <t>[Comentário encadeado]
Sua versão do Excel permite que você leia este comentário encadeado, no entanto, as edições serão removidas se o arquivo for aberto em uma versão mais recente do Excel. Saiba mais: https://go.microsoft.com/fwlink/?linkid=870924
Comentário:
    TC: ciclofosfamida 600 mg/m2 IV associada a docetaxel 75 mg/m2 IV a cada 21 dias por 4 ciclos.</t>
      </text>
    </comment>
    <comment ref="C205" authorId="20" shapeId="0" xr:uid="{00000000-0006-0000-0600-000015000000}">
      <text>
        <t>[Comentário encadeado]
Sua versão do Excel permite que você leia este comentário encadeado, no entanto, as edições serão removidas se o arquivo for aberto em uma versão mais recente do Excel. Saiba mais: https://go.microsoft.com/fwlink/?linkid=870924
Comentário:
    1 frasco-ampola a cada 3
semanas</t>
      </text>
    </comment>
    <comment ref="C206" authorId="21" shapeId="0" xr:uid="{00000000-0006-0000-0600-000016000000}">
      <text>
        <t>[Comentário encadeado]
Sua versão do Excel permite que você leia este comentário encadeado, no entanto, as edições serão removidas se o arquivo for aberto em uma versão mais recente do Excel. Saiba mais: https://go.microsoft.com/fwlink/?linkid=870924
Comentário:
    2mg/kg por semana</t>
      </text>
    </comment>
    <comment ref="C207" authorId="22" shapeId="0" xr:uid="{00000000-0006-0000-0600-000017000000}">
      <text>
        <t>[Comentário encadeado]
Sua versão do Excel permite que você leia este comentário encadeado, no entanto, as edições serão removidas se o arquivo for aberto em uma versão mais recente do Excel. Saiba mais: https://go.microsoft.com/fwlink/?linkid=870924
Comentário:
    75 mg/m2
a cada 3 semanas</t>
      </text>
    </comment>
    <comment ref="C222" authorId="23" shapeId="0" xr:uid="{00000000-0006-0000-0600-000018000000}">
      <text>
        <t>[Comentário encadeado]
Sua versão do Excel permite que você leia este comentário encadeado, no entanto, as edições serão removidas se o arquivo for aberto em uma versão mais recente do Excel. Saiba mais: https://go.microsoft.com/fwlink/?linkid=870924
Comentário:
    TC: ciclofosfamida 600 mg/m2 IV associada a docetaxel 75 mg/m2 IV a cada 21 dias por 4 ciclos.</t>
      </text>
    </comment>
    <comment ref="C231" authorId="24" shapeId="0" xr:uid="{00000000-0006-0000-0600-000019000000}">
      <text>
        <t>[Comentário encadeado]
Sua versão do Excel permite que você leia este comentário encadeado, no entanto, as edições serão removidas se o arquivo for aberto em uma versão mais recente do Excel. Saiba mais: https://go.microsoft.com/fwlink/?linkid=870924
Comentário:
    1 frasco-ampola a cada 3
semanas</t>
      </text>
    </comment>
    <comment ref="C232" authorId="25" shapeId="0" xr:uid="{00000000-0006-0000-0600-00001A000000}">
      <text>
        <t>[Comentário encadeado]
Sua versão do Excel permite que você leia este comentário encadeado, no entanto, as edições serão removidas se o arquivo for aberto em uma versão mais recente do Excel. Saiba mais: https://go.microsoft.com/fwlink/?linkid=870924
Comentário:
    2mg/kg por semana</t>
      </text>
    </comment>
    <comment ref="C233" authorId="26" shapeId="0" xr:uid="{00000000-0006-0000-0600-00001B000000}">
      <text>
        <t>[Comentário encadeado]
Sua versão do Excel permite que você leia este comentário encadeado, no entanto, as edições serão removidas se o arquivo for aberto em uma versão mais recente do Excel. Saiba mais: https://go.microsoft.com/fwlink/?linkid=870924
Comentário:
    75 mg/m2
a cada 3 semanas</t>
      </text>
    </comment>
    <comment ref="C246" authorId="27" shapeId="0" xr:uid="{00000000-0006-0000-0600-00001C000000}">
      <text>
        <t>[Comentário encadeado]
Sua versão do Excel permite que você leia este comentário encadeado, no entanto, as edições serão removidas se o arquivo for aberto em uma versão mais recente do Excel. Saiba mais: https://go.microsoft.com/fwlink/?linkid=870924
Comentário:
    TC: ciclofosfamida 600 mg/m2 IV associada a docetaxel 75 mg/m2 IV a cada 21 dias por 4 ciclos.</t>
      </text>
    </comment>
    <comment ref="C255" authorId="28" shapeId="0" xr:uid="{00000000-0006-0000-0600-00001D000000}">
      <text>
        <t>[Comentário encadeado]
Sua versão do Excel permite que você leia este comentário encadeado, no entanto, as edições serão removidas se o arquivo for aberto em uma versão mais recente do Excel. Saiba mais: https://go.microsoft.com/fwlink/?linkid=870924
Comentário:
    1 frasco-ampola a cada 3
semanas</t>
      </text>
    </comment>
    <comment ref="C256" authorId="29" shapeId="0" xr:uid="{00000000-0006-0000-0600-00001E000000}">
      <text>
        <t>[Comentário encadeado]
Sua versão do Excel permite que você leia este comentário encadeado, no entanto, as edições serão removidas se o arquivo for aberto em uma versão mais recente do Excel. Saiba mais: https://go.microsoft.com/fwlink/?linkid=870924
Comentário:
    2mg/kg por semana</t>
      </text>
    </comment>
    <comment ref="C257" authorId="30" shapeId="0" xr:uid="{00000000-0006-0000-0600-00001F000000}">
      <text>
        <t>[Comentário encadeado]
Sua versão do Excel permite que você leia este comentário encadeado, no entanto, as edições serão removidas se o arquivo for aberto em uma versão mais recente do Excel. Saiba mais: https://go.microsoft.com/fwlink/?linkid=870924
Comentário:
    75 mg/m2
a cada 3 semanas</t>
      </text>
    </comment>
    <comment ref="C269" authorId="31" shapeId="0" xr:uid="{00000000-0006-0000-0600-000020000000}">
      <text>
        <t>[Comentário encadeado]
Sua versão do Excel permite que você leia este comentário encadeado, no entanto, as edições serão removidas se o arquivo for aberto em uma versão mais recente do Excel. Saiba mais: https://go.microsoft.com/fwlink/?linkid=870924
Comentário:
    TC: ciclofosfamida 600 mg/m2 IV associada a docetaxel 75 mg/m2 IV a cada 21 dias por 4 ciclos.</t>
      </text>
    </comment>
    <comment ref="C278" authorId="32" shapeId="0" xr:uid="{00000000-0006-0000-0600-000021000000}">
      <text>
        <t>[Comentário encadeado]
Sua versão do Excel permite que você leia este comentário encadeado, no entanto, as edições serão removidas se o arquivo for aberto em uma versão mais recente do Excel. Saiba mais: https://go.microsoft.com/fwlink/?linkid=870924
Comentário:
    1 frasco-ampola a cada 3
semanas</t>
      </text>
    </comment>
    <comment ref="C279" authorId="33" shapeId="0" xr:uid="{00000000-0006-0000-0600-000022000000}">
      <text>
        <t>[Comentário encadeado]
Sua versão do Excel permite que você leia este comentário encadeado, no entanto, as edições serão removidas se o arquivo for aberto em uma versão mais recente do Excel. Saiba mais: https://go.microsoft.com/fwlink/?linkid=870924
Comentário:
    2mg/kg por semana</t>
      </text>
    </comment>
    <comment ref="C280" authorId="34" shapeId="0" xr:uid="{00000000-0006-0000-0600-000023000000}">
      <text>
        <t>[Comentário encadeado]
Sua versão do Excel permite que você leia este comentário encadeado, no entanto, as edições serão removidas se o arquivo for aberto em uma versão mais recente do Excel. Saiba mais: https://go.microsoft.com/fwlink/?linkid=870924
Comentário:
    75 mg/m2
a cada 3 semanas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tc={2ED4ABF7-5447-49C0-97B2-4CB30B468371}</author>
  </authors>
  <commentList>
    <comment ref="A1" authorId="0" shapeId="0" xr:uid="{00000000-0006-0000-0700-000001000000}">
      <text>
        <t>[Comentário encadeado]
Sua versão do Excel permite que você leia este comentário encadeado, no entanto, as edições serão removidas se o arquivo for aberto em uma versão mais recente do Excel. Saiba mais: https://go.microsoft.com/fwlink/?linkid=870924
Comentário:
    AC-T semanal: doxorrubicina 60 mg/m2 IV associado a ciclofosfamida 600 mg/m2 IV a cada 21 dias por 4 ciclos, seguidos de paclitaxel 80 mg/m2 IV semanal por 12 semanas</t>
      </text>
    </comment>
  </commentList>
</comments>
</file>

<file path=xl/sharedStrings.xml><?xml version="1.0" encoding="utf-8"?>
<sst xmlns="http://schemas.openxmlformats.org/spreadsheetml/2006/main" count="1729" uniqueCount="536">
  <si>
    <t/>
  </si>
  <si>
    <t xml:space="preserve">Fernando Zanghelini </t>
  </si>
  <si>
    <t>Ludmila Gargano</t>
  </si>
  <si>
    <t>nº</t>
  </si>
  <si>
    <t>N</t>
  </si>
  <si>
    <t>EP</t>
  </si>
  <si>
    <t>min</t>
  </si>
  <si>
    <t>max</t>
  </si>
  <si>
    <t>Beta</t>
  </si>
  <si>
    <t>NA</t>
  </si>
  <si>
    <t xml:space="preserve"> </t>
  </si>
  <si>
    <t>Taxa de biópsia_Mamografia</t>
  </si>
  <si>
    <t>Taxa de reconvocação_Mamografia</t>
  </si>
  <si>
    <t>Taxa de biópsia_DBT+s2D</t>
  </si>
  <si>
    <t>Taxa de reconvocação_DBT+s2D</t>
  </si>
  <si>
    <t>https://www.ibge.gov.br/estatisticas/sociais/populacao/9126-tabuas-completas-de-mortalidade.html?=&amp;t=downloads</t>
  </si>
  <si>
    <t>Age</t>
  </si>
  <si>
    <t>mx</t>
  </si>
  <si>
    <t>qx</t>
  </si>
  <si>
    <t>lx</t>
  </si>
  <si>
    <t>dx</t>
  </si>
  <si>
    <t>ex</t>
  </si>
  <si>
    <t>Gama</t>
  </si>
  <si>
    <t>Detecção do câncer na biopsia_DBT+s2D</t>
  </si>
  <si>
    <t>Detecção do câncer na biopsia_Mamografia</t>
  </si>
  <si>
    <t>CRN Cancer Registry of Norway (2008-2013)</t>
  </si>
  <si>
    <t>Hovda et al, 2020</t>
  </si>
  <si>
    <t>Total</t>
  </si>
  <si>
    <t>4A</t>
  </si>
  <si>
    <t>3C</t>
  </si>
  <si>
    <t>40808033</t>
  </si>
  <si>
    <t>40808041</t>
  </si>
  <si>
    <t>2C</t>
  </si>
  <si>
    <t>2,760</t>
  </si>
  <si>
    <t>6,480</t>
  </si>
  <si>
    <t>40901114</t>
  </si>
  <si>
    <t>2B</t>
  </si>
  <si>
    <t>3,420</t>
  </si>
  <si>
    <t>%</t>
  </si>
  <si>
    <t>Yang, 2020 (10.1186/s12885-020-06992-1)</t>
  </si>
  <si>
    <t>CHECK</t>
  </si>
  <si>
    <t>----</t>
  </si>
  <si>
    <t>Check</t>
  </si>
  <si>
    <t>Qaly</t>
  </si>
  <si>
    <t>1-&gt;1</t>
  </si>
  <si>
    <t>1-&gt;3</t>
  </si>
  <si>
    <t>DCIS</t>
  </si>
  <si>
    <t>Makdissi et al, 2019 (10.29289/2594539420190000437)</t>
  </si>
  <si>
    <t>Gocgun et al 2015 (10.1016/j.breast.2015.03.012)</t>
  </si>
  <si>
    <t>40601196</t>
  </si>
  <si>
    <t>3A</t>
  </si>
  <si>
    <t>4,500</t>
  </si>
  <si>
    <t>Incremental</t>
  </si>
  <si>
    <t>ECR ToBe (10.1007/s41669-022-00343-5)</t>
  </si>
  <si>
    <t>30913101</t>
  </si>
  <si>
    <t>8C</t>
  </si>
  <si>
    <t>3 (4C)</t>
  </si>
  <si>
    <t>20104294</t>
  </si>
  <si>
    <t>20104308</t>
  </si>
  <si>
    <t>1C</t>
  </si>
  <si>
    <t>0,01 de 1A</t>
  </si>
  <si>
    <t>40805018</t>
  </si>
  <si>
    <t>1B</t>
  </si>
  <si>
    <t>0,830</t>
  </si>
  <si>
    <t>41001095</t>
  </si>
  <si>
    <t>37,450</t>
  </si>
  <si>
    <t>40901106</t>
  </si>
  <si>
    <t>2A</t>
  </si>
  <si>
    <t>'40401014</t>
  </si>
  <si>
    <t>1A</t>
  </si>
  <si>
    <t>CMED</t>
  </si>
  <si>
    <t>Docetaxel</t>
  </si>
  <si>
    <t>10 MG PÓ LIOF INJ CT 5 FA VD AMB</t>
  </si>
  <si>
    <t>1000 MG PO SOL INJ IV CX 1 FA VD TRANS X 75 ML (REST HOSP)</t>
  </si>
  <si>
    <t>Paclitaxel</t>
  </si>
  <si>
    <t>6 MG/ML SOL INJ IV CT FA VD AMB X 5 ML</t>
  </si>
  <si>
    <t>824,60</t>
  </si>
  <si>
    <t>Cefepime</t>
  </si>
  <si>
    <t>2 G PO P/ SOL INJ CT 50 FA VD INC (EMB HOSP)</t>
  </si>
  <si>
    <t>20 MG/ML SOL INJ CX FA VD TRANS X 1 ML</t>
  </si>
  <si>
    <t>20 MG COM REV CT BL AL PLAS AMB X 30</t>
  </si>
  <si>
    <t>IBRANCE (WYETH)</t>
  </si>
  <si>
    <t>125 MG CAP DURA CT FR PLAS PEAD OPC X 21</t>
  </si>
  <si>
    <t>ANASTROZOL</t>
  </si>
  <si>
    <t>1 MG COM VER CT BL AL PLAS TRANS X 30</t>
  </si>
  <si>
    <t>FULVESTRANTO (SANDOZ DO BRASIL)</t>
  </si>
  <si>
    <t>EXEMESTANO</t>
  </si>
  <si>
    <t>25 MG COM REV CT BL AL PLAS OPC X 30</t>
  </si>
  <si>
    <t>10 MG PO LIOF INJ CT FA VD TRANS</t>
  </si>
  <si>
    <t>8 MG COM ORODISP CT BL AL AL X 10</t>
  </si>
  <si>
    <t>NEULASTIM</t>
  </si>
  <si>
    <t>10 MG/ML SOL INJ CT SER PREENCH VD TRANS X 0,6 ML</t>
  </si>
  <si>
    <t>CLORIDRATO DE CIPROFLOXACINO</t>
  </si>
  <si>
    <t>500 MG COM REV CT BL AL PLAS PVC TRANS X 14</t>
  </si>
  <si>
    <t>AMOXICILINA + CLAVULANATO DE POTÁSSIO (EMS)</t>
  </si>
  <si>
    <t>875 MG + 125 MG COM REV CT BL AL/ AL X 14</t>
  </si>
  <si>
    <t>CBHPM</t>
  </si>
  <si>
    <t xml:space="preserve">3.09.13.10-1 </t>
  </si>
  <si>
    <t>2.01.04.29-4</t>
  </si>
  <si>
    <t>2.01.04.30-8</t>
  </si>
  <si>
    <t xml:space="preserve">Docetaxel </t>
  </si>
  <si>
    <t>30602157</t>
  </si>
  <si>
    <t>9B</t>
  </si>
  <si>
    <t>Pegfilgrastim</t>
  </si>
  <si>
    <t>Moshina, 2020 (VDG4)</t>
  </si>
  <si>
    <t>C Diff</t>
  </si>
  <si>
    <t>E Diff</t>
  </si>
  <si>
    <t>NMB</t>
  </si>
  <si>
    <t>Densidade da mam</t>
  </si>
  <si>
    <t>Porcentagem AIO</t>
  </si>
  <si>
    <t>População geral</t>
  </si>
  <si>
    <t>BIRADS D (VDG 4)</t>
  </si>
  <si>
    <t>BIRADS C-D (VDG 3-4)</t>
  </si>
  <si>
    <t>BIRADS B-C (VDG 2-3)</t>
  </si>
  <si>
    <t>VDG 1</t>
  </si>
  <si>
    <t>VDG 2</t>
  </si>
  <si>
    <t>VDG 3</t>
  </si>
  <si>
    <t>VDG 4</t>
  </si>
  <si>
    <t>n DBT</t>
  </si>
  <si>
    <t>n MD</t>
  </si>
  <si>
    <t>n biopsias</t>
  </si>
  <si>
    <t>cancer detec</t>
  </si>
  <si>
    <t>reconvocação_Mamografia</t>
  </si>
  <si>
    <t>biópsia_Mamografia</t>
  </si>
  <si>
    <t>câncer na biopsia_Mamografia</t>
  </si>
  <si>
    <t>câncer na biopsia_DBT+s2D</t>
  </si>
  <si>
    <t>biópsia_DBT+s2D</t>
  </si>
  <si>
    <t>reconvocação_DBT+s2D</t>
  </si>
  <si>
    <t>reconv</t>
  </si>
  <si>
    <t>Calculado como média das categorias</t>
  </si>
  <si>
    <t>Calculo numerico com as porcentagens</t>
  </si>
  <si>
    <t>BIRADS B (VDG 2)</t>
  </si>
  <si>
    <t>40708128</t>
  </si>
  <si>
    <t>6C</t>
  </si>
  <si>
    <t>127,400</t>
  </si>
  <si>
    <t xml:space="preserve">                                                                          </t>
  </si>
  <si>
    <t>PF 18% ALC</t>
  </si>
  <si>
    <t>GENUXAL</t>
  </si>
  <si>
    <t>Similar</t>
  </si>
  <si>
    <t>200 MG PO SOL INJ IV CX 1 FA VD TRANS X 20 ML (REST HOSP)</t>
  </si>
  <si>
    <t>PACLITAXEL</t>
  </si>
  <si>
    <t>6 MG/ML SOL INJ IV CT FA VD TRANS X 5 ML</t>
  </si>
  <si>
    <t>DOCETAXEL</t>
  </si>
  <si>
    <t>20 MG/ML SOL INJ IV CT FA VD TRANS X 1 ML</t>
  </si>
  <si>
    <t>PEGFILGRASTIM</t>
  </si>
  <si>
    <t>FULPHILA</t>
  </si>
  <si>
    <t>20 MG COM REV CT BL AL PLAS OPC X 30</t>
  </si>
  <si>
    <t>IBRANCE</t>
  </si>
  <si>
    <t>TNM 1</t>
  </si>
  <si>
    <t>TNM 2</t>
  </si>
  <si>
    <t>TNM 3</t>
  </si>
  <si>
    <t>TNM 4</t>
  </si>
  <si>
    <t>TNM 4*</t>
  </si>
  <si>
    <t>41203119</t>
  </si>
  <si>
    <t>19,130</t>
  </si>
  <si>
    <t>30602254</t>
  </si>
  <si>
    <t>30602203</t>
  </si>
  <si>
    <t>8A</t>
  </si>
  <si>
    <t>ZEDORA</t>
  </si>
  <si>
    <t>Docetaxel 1 mg</t>
  </si>
  <si>
    <t>PERJETA</t>
  </si>
  <si>
    <t>420 MG SOL DIL INFUS CT FA VD TRANS X 14 ML</t>
  </si>
  <si>
    <t>KEYTRUDA</t>
  </si>
  <si>
    <t>100 MG/ 4 ML SOL INJ CT FA VD INC X 4 ML</t>
  </si>
  <si>
    <t>https://www.gov.br/ans/pt-br/acesso-a-informacao/perfil-do-setor/dados-gerais</t>
  </si>
  <si>
    <t>QALY</t>
  </si>
  <si>
    <t>DOI:10.1016/S0277-9536(98)00065-3</t>
  </si>
  <si>
    <t>DOI:https://doi.org/10.1007/s11136-021-03017-7</t>
  </si>
  <si>
    <t>DSA</t>
  </si>
  <si>
    <t>Amplitude</t>
  </si>
  <si>
    <t>Cost-effectiveness analysis of the Breast Digital Tomosynthesis test for breast cancer screening compared to digital mammography</t>
  </si>
  <si>
    <t xml:space="preserve">Version </t>
  </si>
  <si>
    <t>Date (last update)</t>
  </si>
  <si>
    <t>Population</t>
  </si>
  <si>
    <t>Intervention</t>
  </si>
  <si>
    <t>Comparators</t>
  </si>
  <si>
    <t>Endpoint</t>
  </si>
  <si>
    <t>Model structure</t>
  </si>
  <si>
    <t>Discount rate</t>
  </si>
  <si>
    <t>Perspective</t>
  </si>
  <si>
    <t>Sensitivity analysis</t>
  </si>
  <si>
    <t>Women aged 40 to 69 eligible for breast cancer screening</t>
  </si>
  <si>
    <t>Breast digital tomosynthesis + synthesized 2D image (TDM+s2D)</t>
  </si>
  <si>
    <t>Digital mammography (MD)</t>
  </si>
  <si>
    <t>Years of life gained</t>
  </si>
  <si>
    <t>Hybrid model of decision tree and transition states of Markov type</t>
  </si>
  <si>
    <t>5% in costs and endpoints</t>
  </si>
  <si>
    <t>Supplementary Health System</t>
  </si>
  <si>
    <t xml:space="preserve">Multivariate probabilistic </t>
  </si>
  <si>
    <t>Model information</t>
  </si>
  <si>
    <t>Remarks</t>
  </si>
  <si>
    <t>Parameters must be switched exclusively in this tab, in the “Input parameters” field, in the identified cells.</t>
  </si>
  <si>
    <t>Cells</t>
  </si>
  <si>
    <t xml:space="preserve">Variables that CAN be changed by user </t>
  </si>
  <si>
    <t xml:space="preserve">Variables that CANNOT be changed </t>
  </si>
  <si>
    <t>Tabs</t>
  </si>
  <si>
    <t>Worksheets for users with common knowledge in modeling</t>
  </si>
  <si>
    <t>Worksheets for users with intermediate knowledge in modeling</t>
  </si>
  <si>
    <t>Developed by MAPESolutions</t>
  </si>
  <si>
    <t>Input parameters</t>
  </si>
  <si>
    <t>Time horizon (CEA)</t>
  </si>
  <si>
    <t>Discount rate per year</t>
  </si>
  <si>
    <t>Yes (5%)</t>
  </si>
  <si>
    <t>No</t>
  </si>
  <si>
    <t>Population (breast density)</t>
  </si>
  <si>
    <t>Age at model inclusion</t>
  </si>
  <si>
    <t>50 years</t>
  </si>
  <si>
    <t>Define by user (years)</t>
  </si>
  <si>
    <t>Tomosynthesis Cost</t>
  </si>
  <si>
    <t>149,26 (With discount)</t>
  </si>
  <si>
    <t>Digital Mammography Cost</t>
  </si>
  <si>
    <t>*Model Limit: 30 years/ Include numbers only</t>
  </si>
  <si>
    <t>Breast Cancer Treatments</t>
  </si>
  <si>
    <t xml:space="preserve">Initial therapy /first year </t>
  </si>
  <si>
    <t>Interval Cancer</t>
  </si>
  <si>
    <t>Rate of treatment per stage</t>
  </si>
  <si>
    <t>Surgery</t>
  </si>
  <si>
    <t>Radiotherapy</t>
  </si>
  <si>
    <t>Hormone therapy</t>
  </si>
  <si>
    <t>Chemotherapy³</t>
  </si>
  <si>
    <t>Targeted HER2+ therapy</t>
  </si>
  <si>
    <t>Triple negative targeted therapy</t>
  </si>
  <si>
    <t>Surgery: quadrandectomy with partial reconstruction</t>
  </si>
  <si>
    <t>Radiotherapy: 5 sections per week, for 5 weeks</t>
  </si>
  <si>
    <t>Hormone therapy: tamoxifen for TNM 1 and 2; Palbociclib+fulvestrant for TNM 3-4 and interval cancer</t>
  </si>
  <si>
    <t>Chemotherapy: CT regimen with pegfilgrastim for TNM 1-3 and interval cancer; docetaxel monotherapy for TNM 4</t>
  </si>
  <si>
    <t>Targeted HER2+ therapy: trastuzumab for TNM 1 and 2; trastuzumab+pertuzumab for TNM 3-4 and interval cancer</t>
  </si>
  <si>
    <t>Triple negative targeted therapy: pembrolizumab</t>
  </si>
  <si>
    <t>Therapy/follow-up in subsequent years</t>
  </si>
  <si>
    <t>Chemotherapy</t>
  </si>
  <si>
    <t>* same rates assumed in the first year</t>
  </si>
  <si>
    <t>Years of life</t>
  </si>
  <si>
    <t>Cost (R$)</t>
  </si>
  <si>
    <t xml:space="preserve">Digital mammography </t>
  </si>
  <si>
    <t>Tomosynthesis</t>
  </si>
  <si>
    <t>Incremental (difference) per 10,000 tests</t>
  </si>
  <si>
    <t>per 1,000 tests</t>
  </si>
  <si>
    <t>Screening effectiveness</t>
  </si>
  <si>
    <t>Total cancers detected</t>
  </si>
  <si>
    <t>Invasive cancers (TNM 1-4)</t>
  </si>
  <si>
    <t>DCIS detected</t>
  </si>
  <si>
    <t>Interval cancers</t>
  </si>
  <si>
    <t>False positives</t>
  </si>
  <si>
    <t>True negative</t>
  </si>
  <si>
    <t xml:space="preserve">Consumed resources /Screening costs </t>
  </si>
  <si>
    <t>Costs (R$)</t>
  </si>
  <si>
    <t>Cost with test</t>
  </si>
  <si>
    <t>Cost of biopsies/histopat</t>
  </si>
  <si>
    <t>Cost with recalls</t>
  </si>
  <si>
    <t>Total cost of screening</t>
  </si>
  <si>
    <t>Long-term survival outcomes</t>
  </si>
  <si>
    <t>Deterministic result</t>
  </si>
  <si>
    <t>Parameters</t>
  </si>
  <si>
    <t>Participation in screening</t>
  </si>
  <si>
    <t>Breast Digital Tomosynthesis</t>
  </si>
  <si>
    <t>General probabilities</t>
  </si>
  <si>
    <t>Mammography Probability</t>
  </si>
  <si>
    <t>Tomosynthesis Probabilities</t>
  </si>
  <si>
    <t>Ultrasound Probabilities</t>
  </si>
  <si>
    <t xml:space="preserve">Distribution by staging </t>
  </si>
  <si>
    <t>Markov Probabilities</t>
  </si>
  <si>
    <t>Average survival time</t>
  </si>
  <si>
    <t>Used value</t>
  </si>
  <si>
    <t>Deterministic</t>
  </si>
  <si>
    <t>Probabilistic</t>
  </si>
  <si>
    <t>SD</t>
  </si>
  <si>
    <t>Distribution</t>
  </si>
  <si>
    <t>Alpha</t>
  </si>
  <si>
    <t>Reference</t>
  </si>
  <si>
    <t>Yes</t>
  </si>
  <si>
    <t>One-off Estimate</t>
  </si>
  <si>
    <t>Rate of patients in Supplementary Health</t>
  </si>
  <si>
    <t>Screening frequency</t>
  </si>
  <si>
    <t>Breast density - rate</t>
  </si>
  <si>
    <t>Cancer detection in biopsy_Mammography</t>
  </si>
  <si>
    <t>Invasive cancer rate_Mammography</t>
  </si>
  <si>
    <t>Biopsy rate_Mammography</t>
  </si>
  <si>
    <t>Recall rate_Mammography</t>
  </si>
  <si>
    <t xml:space="preserve">Interval Cancer Mammography </t>
  </si>
  <si>
    <t>Cancer detection in biopsy_DBT+s2D</t>
  </si>
  <si>
    <t>Invasive cancer rate_DBT+s2D</t>
  </si>
  <si>
    <t>Biopsy rate_DBT+s2D</t>
  </si>
  <si>
    <t>Recall rate_DBT+s2D</t>
  </si>
  <si>
    <t>Interval cancer DBT+s2D</t>
  </si>
  <si>
    <t>Cancer detection in biopsy_Ultrasound</t>
  </si>
  <si>
    <t>Invasive cancer rate_Ultrasound</t>
  </si>
  <si>
    <t>Biopsy rate_Ultrasound Mammog</t>
  </si>
  <si>
    <t>Biopsy rate_Ultrasound Tomosy</t>
  </si>
  <si>
    <t>TNM I Mammog (ECR ToBe)</t>
  </si>
  <si>
    <t>TNM II Mammog (ECR ToBe)</t>
  </si>
  <si>
    <t>TNM III Mammog (ECR ToBe)</t>
  </si>
  <si>
    <t>TNM I Tomosy (ECR ToBe)</t>
  </si>
  <si>
    <t>TNM II Tomosy (ECR ToBe)</t>
  </si>
  <si>
    <t>TNM III Tomosy (ECR ToBe)</t>
  </si>
  <si>
    <t xml:space="preserve">10-year survival prob, interval cancer </t>
  </si>
  <si>
    <t>10-years Survival prob, DCIS</t>
  </si>
  <si>
    <t>5-years Survival Prob, TNM 1</t>
  </si>
  <si>
    <t>5-years Survival Prob, TNM 2</t>
  </si>
  <si>
    <t>5-years Survival Prob, TNM 3</t>
  </si>
  <si>
    <t>5-years Survival Prob, TNM 4</t>
  </si>
  <si>
    <t>Local recurrence to Distant recurrence Prob TNM1</t>
  </si>
  <si>
    <t>Local recurrence to Distant recurrence Prob TNM2</t>
  </si>
  <si>
    <t>Local recurrence to Distant recurrence Prob TNM3</t>
  </si>
  <si>
    <t>Mammography Cost</t>
  </si>
  <si>
    <t>Recall cost</t>
  </si>
  <si>
    <t>Biopsy and histopathology cost</t>
  </si>
  <si>
    <t>DCIS treatment cost year 1</t>
  </si>
  <si>
    <t>DCIS treatment cost following years</t>
  </si>
  <si>
    <t>TNM 1 treatment cost (1 year)</t>
  </si>
  <si>
    <t>TNM 2 treatment cost (1 year)</t>
  </si>
  <si>
    <t>TNM 3 treatment cost (1 year)</t>
  </si>
  <si>
    <t>TNM 1 treatment cost subsequent years</t>
  </si>
  <si>
    <t>TNM 2 treatment cost subsequent years</t>
  </si>
  <si>
    <t>TNM 3 treatment cost subsequent years</t>
  </si>
  <si>
    <t>Interv cancer treatment cost subsequent years</t>
  </si>
  <si>
    <t>Interv cancer treatment cost first year</t>
  </si>
  <si>
    <t xml:space="preserve">Metastatic disease treatment cost </t>
  </si>
  <si>
    <t>Short-term results</t>
  </si>
  <si>
    <t>No. of patients in the cohort</t>
  </si>
  <si>
    <t>Mammography</t>
  </si>
  <si>
    <t>Recalls made</t>
  </si>
  <si>
    <t xml:space="preserve">Biopsies </t>
  </si>
  <si>
    <t xml:space="preserve">Detected cancers (invasive) </t>
  </si>
  <si>
    <t>Detected Cancers (DCIS)</t>
  </si>
  <si>
    <t>Screening test cost</t>
  </si>
  <si>
    <t>Total cost of the arm</t>
  </si>
  <si>
    <t>Screening</t>
  </si>
  <si>
    <t>Positive (Bi-RADS 4 and 5)</t>
  </si>
  <si>
    <t>Cancer</t>
  </si>
  <si>
    <t>Probability</t>
  </si>
  <si>
    <t>Invasive Cancer (TNM 1-4)</t>
  </si>
  <si>
    <t>DCIS Cancer</t>
  </si>
  <si>
    <t>Negative or benign (false positive)</t>
  </si>
  <si>
    <t>Screening routine</t>
  </si>
  <si>
    <t>Suspicious or inconclusive (Bi-RADS 0)</t>
  </si>
  <si>
    <t>Recall - ultrasound</t>
  </si>
  <si>
    <t>Cost</t>
  </si>
  <si>
    <t>Positive</t>
  </si>
  <si>
    <t>Biopsy + histopathology</t>
  </si>
  <si>
    <t>Negative or benign (Bi-RADS 1, 2, and 3)</t>
  </si>
  <si>
    <t>False-negative (interval cancer)</t>
  </si>
  <si>
    <t>Tomosynthesis + s2D</t>
  </si>
  <si>
    <t>For the evaluation of cost components, data obtained from oncology specialists, literature data, and the Brazilian Hierarchical Classification of Medical Procedures (CBHPM) table were considered. Drug costs were considered from the Drug Market Regulation Chamber (CMED) table, according to Manufacturer Price (MP) list. To calculate the chemotherapy dosage and costs, a body area of 1.8m2 was assumed for the patients (160 cm and 70 kg).</t>
  </si>
  <si>
    <t>CBHPM Table - Update UCO values according to the current table (costs will be updated automatically in the analysis, according to the micro-costing detailed below)</t>
  </si>
  <si>
    <t>Procedure</t>
  </si>
  <si>
    <t>Code</t>
  </si>
  <si>
    <t>Size</t>
  </si>
  <si>
    <t>Oper Cost (UCO)</t>
  </si>
  <si>
    <t>Film</t>
  </si>
  <si>
    <t>Aux. N.</t>
  </si>
  <si>
    <t>Anest. size</t>
  </si>
  <si>
    <t>Size Value</t>
  </si>
  <si>
    <t>UCO Value</t>
  </si>
  <si>
    <t>Film value</t>
  </si>
  <si>
    <t>Aux Value</t>
  </si>
  <si>
    <t>Anest size value</t>
  </si>
  <si>
    <t>CT - Breast digital tomosynthesis</t>
  </si>
  <si>
    <t>X-Ray - Bilateral conventional mammography</t>
  </si>
  <si>
    <t>X-Ray - Bilateral digital mammography</t>
  </si>
  <si>
    <t>US - Breasts</t>
  </si>
  <si>
    <t>Percutaneous core needle breast fragment biopsy (core biopsy) guided by US (does not include imaging)</t>
  </si>
  <si>
    <t>Diagnostic procedure in multiple fragments of biopsies of the same organ or topography, packed in the same vial</t>
  </si>
  <si>
    <t>Dedicated oncology PET</t>
  </si>
  <si>
    <t>Long-term catheter surgical implantation</t>
  </si>
  <si>
    <t>Oncology therapy – planning and 1st day of treatment</t>
  </si>
  <si>
    <t>Oncology therapy – per subsequent day of treatment</t>
  </si>
  <si>
    <t>Medical appointment</t>
  </si>
  <si>
    <t>Blood count</t>
  </si>
  <si>
    <t>Coagulogram</t>
  </si>
  <si>
    <t>ESR</t>
  </si>
  <si>
    <t>C-reactive protein</t>
  </si>
  <si>
    <t>Blood culture</t>
  </si>
  <si>
    <t xml:space="preserve">Chest X-ray </t>
  </si>
  <si>
    <t>Chest CT scan</t>
  </si>
  <si>
    <t>Transthoracic doppler echocardiography</t>
  </si>
  <si>
    <t>Cardiologist appointment</t>
  </si>
  <si>
    <t>Transfusion</t>
  </si>
  <si>
    <t>Simple mastectomy</t>
  </si>
  <si>
    <t xml:space="preserve">Quadrantectomy - segmental resection - in the breast </t>
  </si>
  <si>
    <t>Partial post-quadrantectomy breast reconstruction</t>
  </si>
  <si>
    <t>Half-Body Irradiation (HBI) - per day of treatment</t>
  </si>
  <si>
    <t>Doxorubicin</t>
  </si>
  <si>
    <t>Cyclophosphamide</t>
  </si>
  <si>
    <t>Tamoxifen 20 mg per day</t>
  </si>
  <si>
    <t>Palbociclib</t>
  </si>
  <si>
    <t>Fulvestrant</t>
  </si>
  <si>
    <t>Exemestane</t>
  </si>
  <si>
    <t>DOXORUBICIN HYDROCHLORIDE</t>
  </si>
  <si>
    <t xml:space="preserve">50 MG PO LYOP SOL INJ CT FA VD TRANS X 50 ML </t>
  </si>
  <si>
    <t>CYCLOPHOSPHAMIDE MONOHYDRATE</t>
  </si>
  <si>
    <t>10 MG/ML SOL INJ CT SER PREENCH VD TRANS X 0.6 ML + NEEDLE WITH SECURITY SYSTEM</t>
  </si>
  <si>
    <t xml:space="preserve">TAMOXIFEN CITRATE </t>
  </si>
  <si>
    <t>PALBOCICLIB</t>
  </si>
  <si>
    <t>FULVESTRANT</t>
  </si>
  <si>
    <t>50 MG/ML SOL INJ CT SER PREENC VD TRANS DESCART X 5ML + NEEDLE</t>
  </si>
  <si>
    <t>EXEMESTANE</t>
  </si>
  <si>
    <t>TRASTUZUMAB</t>
  </si>
  <si>
    <t>150 MG PO LYOP SOL INJ IV CT FA VD TRANS</t>
  </si>
  <si>
    <t>PERTUZUMAB</t>
  </si>
  <si>
    <t>PEMBROLIZUMAB</t>
  </si>
  <si>
    <t>Generic</t>
  </si>
  <si>
    <t>Biological</t>
  </si>
  <si>
    <t>New</t>
  </si>
  <si>
    <t>cost per mg</t>
  </si>
  <si>
    <t>cost per tablet/syringe</t>
  </si>
  <si>
    <t xml:space="preserve">Simulation </t>
  </si>
  <si>
    <t>ICER Calculation</t>
  </si>
  <si>
    <t>C-Tomosynthesis</t>
  </si>
  <si>
    <t>C-Mammography</t>
  </si>
  <si>
    <t>E-Tomosynthesis</t>
  </si>
  <si>
    <t>E-Mammography</t>
  </si>
  <si>
    <t>ICER</t>
  </si>
  <si>
    <t>Threshold</t>
  </si>
  <si>
    <t>Cost-Effectiveness Acceptability Curve</t>
  </si>
  <si>
    <t>Cost-Effective?</t>
  </si>
  <si>
    <t>Iteration</t>
  </si>
  <si>
    <t>Average</t>
  </si>
  <si>
    <t>General Pop</t>
  </si>
  <si>
    <t>FROM</t>
  </si>
  <si>
    <t>To</t>
  </si>
  <si>
    <t xml:space="preserve"> (1) Healthy</t>
  </si>
  <si>
    <t xml:space="preserve"> (2) NA</t>
  </si>
  <si>
    <t xml:space="preserve"> (3) Death</t>
  </si>
  <si>
    <t>Time-dependent</t>
  </si>
  <si>
    <t>Cycle</t>
  </si>
  <si>
    <t>Effectiveness</t>
  </si>
  <si>
    <t xml:space="preserve">Survival </t>
  </si>
  <si>
    <t>Time-dependent probabilities</t>
  </si>
  <si>
    <t>Prob tree</t>
  </si>
  <si>
    <t>Total cost</t>
  </si>
  <si>
    <t xml:space="preserve">Discount </t>
  </si>
  <si>
    <t>TO</t>
  </si>
  <si>
    <t xml:space="preserve"> (1) DCIS</t>
  </si>
  <si>
    <t>From</t>
  </si>
  <si>
    <t>(3) Death</t>
  </si>
  <si>
    <t>Survival</t>
  </si>
  <si>
    <t>Discount</t>
  </si>
  <si>
    <t>Table of life - Women</t>
  </si>
  <si>
    <t>Death probability</t>
  </si>
  <si>
    <t>Life expectancy</t>
  </si>
  <si>
    <t>14,23 deaths/100.000</t>
  </si>
  <si>
    <t>Estimate</t>
  </si>
  <si>
    <t>See micro-costing</t>
  </si>
  <si>
    <t>Death risk</t>
  </si>
  <si>
    <t xml:space="preserve">(2) Distant metastasis </t>
  </si>
  <si>
    <t>(2) Distant metastasis</t>
  </si>
  <si>
    <t>Costs per transition</t>
  </si>
  <si>
    <t>Distant metastasis / TNM4</t>
  </si>
  <si>
    <t>(1) Local/regional</t>
  </si>
  <si>
    <t>Distant metastasis/ TNM4</t>
  </si>
  <si>
    <t>Local/regional TNM 1</t>
  </si>
  <si>
    <t>Local/regional TNM 2</t>
  </si>
  <si>
    <t>Local/regional TNM 3</t>
  </si>
  <si>
    <t>Recall Costs</t>
  </si>
  <si>
    <t>Unit Cost</t>
  </si>
  <si>
    <t>Ultrasound</t>
  </si>
  <si>
    <t>Biopsy Costs</t>
  </si>
  <si>
    <t>Biopsy</t>
  </si>
  <si>
    <t>Anatomopathological breast test - biopsy</t>
  </si>
  <si>
    <t>DCIS treatment costs first year</t>
  </si>
  <si>
    <t>Total Cost</t>
  </si>
  <si>
    <t>Follow-up appointment</t>
  </si>
  <si>
    <t>Mastectomy</t>
  </si>
  <si>
    <t>DCIS treatment costs following years</t>
  </si>
  <si>
    <t>Metastatic cancer costs</t>
  </si>
  <si>
    <t>quantity</t>
  </si>
  <si>
    <t>Follow-up</t>
  </si>
  <si>
    <t xml:space="preserve">ESR </t>
  </si>
  <si>
    <t>Mandatory coverage of Oncological PET-CT for the diagnosis of metastatic breast cancer when conventional imaging studies show mistaken findings</t>
  </si>
  <si>
    <t>TECHNICAL OPINION Nº 37/GEAS/GGRAS/DIPRO/2018</t>
  </si>
  <si>
    <t>Pertuzumab 420 mg</t>
  </si>
  <si>
    <t>Trastuzumab 150mg</t>
  </si>
  <si>
    <t xml:space="preserve">Long-term catheter surgical implantation for NPP, CTX or Hemoclearance </t>
  </si>
  <si>
    <t>Oncology therapy – per subsequent day of treatment (until the next cycle start)</t>
  </si>
  <si>
    <t>Radiotherapy 5 sessions for 5 weeks</t>
  </si>
  <si>
    <t>Pembrolizumab 200 mg every 3 weeks</t>
  </si>
  <si>
    <t>Cancer Costs Interval Cancer in the first year</t>
  </si>
  <si>
    <t>Cancer Costs Interval Cancer in subsequent years</t>
  </si>
  <si>
    <t>TNM 1 Cancer Costs year 1</t>
  </si>
  <si>
    <t>TNM 2 Cancer Costs year 1</t>
  </si>
  <si>
    <t>TNM 3 Cancer Costs year 1</t>
  </si>
  <si>
    <t>TNM 1 Cancer Costs subsequent years</t>
  </si>
  <si>
    <t>TNM 2 Cancer Costs subsequent years</t>
  </si>
  <si>
    <t>TNM 3 Cancer Costs subsequent years</t>
  </si>
  <si>
    <t>Price/mg</t>
  </si>
  <si>
    <t>6 G /day x 7 days</t>
  </si>
  <si>
    <t>Tamoxifen 20 mg/day</t>
  </si>
  <si>
    <t>Price/tablet</t>
  </si>
  <si>
    <t>Semi-annual posology  (No. of tablets)</t>
  </si>
  <si>
    <t>Epirubicin</t>
  </si>
  <si>
    <t>cost per day</t>
  </si>
  <si>
    <t>ondansetron</t>
  </si>
  <si>
    <t>Price/infusion</t>
  </si>
  <si>
    <t>Semi-annual posology</t>
  </si>
  <si>
    <t>cost/tablet</t>
  </si>
  <si>
    <t>Simulated parameters</t>
  </si>
  <si>
    <t>Lower Limit</t>
  </si>
  <si>
    <t>Upper Limit</t>
  </si>
  <si>
    <t>Utility in the 1st cycle - True negative</t>
  </si>
  <si>
    <t>Utility in the 1st cycle - False positive</t>
  </si>
  <si>
    <t>Utility in the 1st cycle - True positive</t>
  </si>
  <si>
    <t>Utility in the 1st cycle - False negative</t>
  </si>
  <si>
    <t>Utility with no breast cancer</t>
  </si>
  <si>
    <t xml:space="preserve">Utility DCIS breast cancer </t>
  </si>
  <si>
    <t xml:space="preserve">Utility TNM1 breast cancer </t>
  </si>
  <si>
    <t xml:space="preserve">Utility TNM2 breast cancer </t>
  </si>
  <si>
    <t xml:space="preserve">Utility TNM3 breast cancer </t>
  </si>
  <si>
    <t xml:space="preserve">Utility TNM4 breast cancer </t>
  </si>
  <si>
    <t>Utility interval cancer</t>
  </si>
  <si>
    <t>Utilities of health status (lifelong)</t>
  </si>
  <si>
    <t>Utilities in screening (model first cycle)</t>
  </si>
  <si>
    <t>Parameters for the Chart</t>
  </si>
  <si>
    <t>Premise</t>
  </si>
  <si>
    <t>Meta-analysis</t>
  </si>
  <si>
    <t>CBHPM/Market Practice</t>
  </si>
  <si>
    <t>Moshina, 2020 (VDG4 identified in mammography)</t>
  </si>
  <si>
    <t>Performed biopsies</t>
  </si>
  <si>
    <t>Recalls</t>
  </si>
  <si>
    <t>Probabilistic results</t>
  </si>
  <si>
    <t>https://www.bcb.gov.br/conversao</t>
  </si>
  <si>
    <t>BRL/EUR</t>
  </si>
  <si>
    <t>€ 334,857234885087 CBHPM</t>
  </si>
  <si>
    <t>Avarage Price D-TISS 2021 (€ 23,20)</t>
  </si>
  <si>
    <t>Input by the user (€)</t>
  </si>
  <si>
    <t>Mkt average (€ 59,56)</t>
  </si>
  <si>
    <t xml:space="preserve">               -   </t>
  </si>
  <si>
    <t>Cost (EUR)</t>
  </si>
  <si>
    <t>ICER (EUR per years of life earned)</t>
  </si>
  <si>
    <t>ICER (EUR per QALY)</t>
  </si>
  <si>
    <t>Estimativa pontual</t>
  </si>
  <si>
    <t>October, 2023</t>
  </si>
  <si>
    <t>2.0</t>
  </si>
  <si>
    <t xml:space="preserve">Worksheets can be modified by user with advanced knowledge in modeling </t>
  </si>
  <si>
    <t>Sim</t>
  </si>
  <si>
    <t>Contact</t>
  </si>
  <si>
    <t>€ 101,298470982777 CBHPM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</si>
</sst>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6" formatCode="&quot;R$&quot;\ #,##0;[Red]\-&quot;R$&quot;\ #,##0"/>
    <numFmt numFmtId="8" formatCode="&quot;R$&quot;\ #,##0.00;[Red]\-&quot;R$&quot;\ #,##0.00"/>
    <numFmt numFmtId="44" formatCode="_-&quot;R$&quot;\ * #,##0.00_-;\-&quot;R$&quot;\ * #,##0.00_-;_-&quot;R$&quot;\ * &quot;-&quot;??_-;_-@_-"/>
    <numFmt numFmtId="43" formatCode="_-* #,##0.00_-;\-* #,##0.00_-;_-* &quot;-&quot;??_-;_-@_-"/>
    <numFmt numFmtId="164" formatCode="_-[$R$-416]\ * #,##0.00_-;\-[$R$-416]\ * #,##0.00_-;_-[$R$-416]\ * &quot;-&quot;??_-;_-@_-"/>
    <numFmt numFmtId="165" formatCode="0.000%"/>
    <numFmt numFmtId="166" formatCode="0.0000"/>
    <numFmt numFmtId="167" formatCode="0.00000000"/>
    <numFmt numFmtId="168" formatCode="0.000"/>
    <numFmt numFmtId="169" formatCode="0.0000000"/>
    <numFmt numFmtId="170" formatCode="General_)"/>
    <numFmt numFmtId="171" formatCode="0.000_)"/>
    <numFmt numFmtId="172" formatCode="0.000000"/>
    <numFmt numFmtId="173" formatCode="0.0000%"/>
    <numFmt numFmtId="174" formatCode="0.0%"/>
    <numFmt numFmtId="175" formatCode="0.00000"/>
    <numFmt numFmtId="176" formatCode="_-&quot;R$&quot;\ * #,##0_-;\-&quot;R$&quot;\ * #,##0_-;_-&quot;R$&quot;\ * &quot;-&quot;??_-;_-@_-"/>
    <numFmt numFmtId="177" formatCode="_(* #,##0.00_);_(* \(#,##0.00\);_(* &quot;-&quot;??_);_(@_)"/>
    <numFmt numFmtId="178" formatCode="_-&quot;R$&quot;* #,##0.00_-;\-&quot;R$&quot;* #,##0.00_-;_-&quot;R$&quot;* &quot;-&quot;??_-;_-@_-"/>
    <numFmt numFmtId="179" formatCode="_-[$€-2]\ * #,##0.00_-;\-[$€-2]\ * #,##0.00_-;_-[$€-2]\ * &quot;-&quot;??_-;_-@_-"/>
  </numFmts>
  <fonts count="57" x14ac:knownFonts="1">
    <font>
      <sz val="11"/>
      <color theme="1"/>
      <name val="Calibri"/>
      <family val="2"/>
      <scheme val="minor"/>
    </font>
    <font>
      <b/>
      <i/>
      <sz val="10"/>
      <color theme="5"/>
      <name val="Calibri"/>
      <family val="2"/>
      <scheme val="minor"/>
    </font>
    <font>
      <sz val="10"/>
      <color theme="1"/>
      <name val="Calibri"/>
      <family val="2"/>
      <scheme val="minor"/>
    </font>
    <font>
      <sz val="10"/>
      <color theme="0"/>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b/>
      <i/>
      <sz val="14"/>
      <color theme="5"/>
      <name val="Calibri"/>
      <family val="2"/>
      <scheme val="minor"/>
    </font>
    <font>
      <sz val="12"/>
      <color theme="0"/>
      <name val="Calibri"/>
      <family val="2"/>
      <scheme val="minor"/>
    </font>
    <font>
      <b/>
      <i/>
      <sz val="14"/>
      <color rgb="FFF79646"/>
      <name val="Calibri"/>
      <family val="2"/>
      <scheme val="minor"/>
    </font>
    <font>
      <b/>
      <sz val="14"/>
      <color rgb="FFF79646"/>
      <name val="Calibri"/>
      <family val="2"/>
      <scheme val="minor"/>
    </font>
    <font>
      <b/>
      <i/>
      <sz val="8"/>
      <color theme="5"/>
      <name val="Calibri"/>
      <family val="2"/>
      <scheme val="minor"/>
    </font>
    <font>
      <b/>
      <sz val="11"/>
      <name val="Calibri"/>
      <family val="2"/>
      <scheme val="minor"/>
    </font>
    <font>
      <sz val="11"/>
      <name val="Calibri"/>
      <family val="2"/>
      <scheme val="minor"/>
    </font>
    <font>
      <sz val="11"/>
      <color theme="1"/>
      <name val="Calibri"/>
      <family val="2"/>
    </font>
    <font>
      <b/>
      <sz val="12"/>
      <color theme="0"/>
      <name val="Calibri"/>
      <family val="2"/>
      <scheme val="minor"/>
    </font>
    <font>
      <b/>
      <sz val="10"/>
      <color theme="1"/>
      <name val="Calibri"/>
      <family val="2"/>
      <scheme val="minor"/>
    </font>
    <font>
      <b/>
      <sz val="14"/>
      <color theme="5"/>
      <name val="Calibri"/>
      <family val="2"/>
      <scheme val="minor"/>
    </font>
    <font>
      <b/>
      <sz val="10"/>
      <color rgb="FFF79646"/>
      <name val="Calibri"/>
      <family val="2"/>
      <scheme val="minor"/>
    </font>
    <font>
      <b/>
      <sz val="10"/>
      <name val="Calibri"/>
      <family val="2"/>
      <scheme val="minor"/>
    </font>
    <font>
      <sz val="10"/>
      <name val="Calibri"/>
      <family val="2"/>
      <scheme val="minor"/>
    </font>
    <font>
      <sz val="10"/>
      <color theme="9" tint="-0.249977111117893"/>
      <name val="Calibri"/>
      <family val="2"/>
      <scheme val="minor"/>
    </font>
    <font>
      <i/>
      <sz val="10"/>
      <color theme="9" tint="-0.249977111117893"/>
      <name val="Calibri"/>
      <family val="2"/>
      <scheme val="minor"/>
    </font>
    <font>
      <b/>
      <i/>
      <sz val="16"/>
      <color theme="5"/>
      <name val="Calibri"/>
      <family val="2"/>
      <scheme val="minor"/>
    </font>
    <font>
      <i/>
      <sz val="10"/>
      <color rgb="FFFF0000"/>
      <name val="Calibri"/>
      <family val="2"/>
      <scheme val="minor"/>
    </font>
    <font>
      <i/>
      <sz val="10"/>
      <color theme="8"/>
      <name val="Calibri"/>
      <family val="2"/>
      <scheme val="minor"/>
    </font>
    <font>
      <u/>
      <sz val="11"/>
      <color theme="10"/>
      <name val="Calibri"/>
      <family val="2"/>
      <scheme val="minor"/>
    </font>
    <font>
      <i/>
      <sz val="10"/>
      <color theme="1"/>
      <name val="Arial"/>
      <family val="2"/>
    </font>
    <font>
      <sz val="11"/>
      <color rgb="FF172938"/>
      <name val="Arial"/>
      <family val="2"/>
    </font>
    <font>
      <b/>
      <sz val="10"/>
      <color theme="1"/>
      <name val="Arial"/>
      <family val="2"/>
    </font>
    <font>
      <sz val="10"/>
      <color theme="1"/>
      <name val="Arial"/>
      <family val="2"/>
    </font>
    <font>
      <sz val="10"/>
      <name val="Arial"/>
      <family val="2"/>
    </font>
    <font>
      <sz val="10"/>
      <name val="Courier"/>
      <family val="3"/>
    </font>
    <font>
      <b/>
      <sz val="12"/>
      <name val="Times New Roman"/>
      <family val="1"/>
    </font>
    <font>
      <i/>
      <sz val="10"/>
      <color theme="5"/>
      <name val="Calibri"/>
      <family val="2"/>
      <scheme val="minor"/>
    </font>
    <font>
      <i/>
      <sz val="10"/>
      <color rgb="FF7030A0"/>
      <name val="Calibri"/>
      <family val="2"/>
      <scheme val="minor"/>
    </font>
    <font>
      <sz val="8"/>
      <name val="Calibri"/>
      <family val="2"/>
      <scheme val="minor"/>
    </font>
    <font>
      <sz val="10"/>
      <color rgb="FFFF0000"/>
      <name val="Calibri"/>
      <family val="2"/>
      <scheme val="minor"/>
    </font>
    <font>
      <b/>
      <i/>
      <sz val="11"/>
      <color theme="1"/>
      <name val="Calibri"/>
      <family val="2"/>
      <scheme val="minor"/>
    </font>
    <font>
      <b/>
      <sz val="12"/>
      <color theme="1"/>
      <name val="Calibri"/>
      <family val="2"/>
      <scheme val="minor"/>
    </font>
    <font>
      <sz val="12"/>
      <color theme="1"/>
      <name val="Calibri"/>
      <family val="2"/>
      <scheme val="minor"/>
    </font>
    <font>
      <sz val="8"/>
      <color theme="1"/>
      <name val="Arial"/>
      <family val="2"/>
    </font>
    <font>
      <i/>
      <sz val="10"/>
      <color theme="1"/>
      <name val="Calibri"/>
      <family val="2"/>
      <scheme val="minor"/>
    </font>
    <font>
      <b/>
      <sz val="12"/>
      <color theme="5"/>
      <name val="Calibri"/>
      <family val="2"/>
      <scheme val="minor"/>
    </font>
    <font>
      <b/>
      <i/>
      <sz val="10.5"/>
      <color rgb="FF1F497D"/>
      <name val="Arial"/>
      <family val="2"/>
    </font>
    <font>
      <i/>
      <sz val="11"/>
      <color theme="1"/>
      <name val="Calibri"/>
      <family val="2"/>
      <scheme val="minor"/>
    </font>
    <font>
      <b/>
      <i/>
      <sz val="18"/>
      <color rgb="FFF79646"/>
      <name val="Calibri"/>
      <family val="2"/>
      <scheme val="minor"/>
    </font>
    <font>
      <b/>
      <sz val="9"/>
      <color theme="1"/>
      <name val="Arial"/>
      <family val="2"/>
    </font>
    <font>
      <b/>
      <sz val="10"/>
      <color indexed="8"/>
      <name val="Arial"/>
      <family val="2"/>
    </font>
    <font>
      <sz val="16"/>
      <color theme="0"/>
      <name val="Calibri"/>
      <family val="2"/>
      <scheme val="minor"/>
    </font>
    <font>
      <sz val="12"/>
      <color rgb="FF000000"/>
      <name val="Calibri"/>
      <family val="2"/>
      <scheme val="minor"/>
    </font>
    <font>
      <b/>
      <i/>
      <sz val="10"/>
      <color rgb="FFF79646"/>
      <name val="Calibri"/>
      <family val="2"/>
      <scheme val="minor"/>
    </font>
    <font>
      <sz val="10"/>
      <color rgb="FFF79646"/>
      <name val="Calibri"/>
      <family val="2"/>
      <scheme val="minor"/>
    </font>
    <font>
      <b/>
      <sz val="10"/>
      <color indexed="9"/>
      <name val="Arial"/>
      <family val="2"/>
    </font>
    <font>
      <b/>
      <i/>
      <sz val="10"/>
      <color rgb="FFFF0000"/>
      <name val="Calibri"/>
      <family val="2"/>
      <scheme val="minor"/>
    </font>
  </fonts>
  <fills count="26">
    <fill>
      <patternFill patternType="none"/>
    </fill>
    <fill>
      <patternFill patternType="gray125"/>
    </fill>
    <fill>
      <patternFill patternType="solid">
        <fgColor rgb="FF1F6180"/>
        <bgColor indexed="64"/>
      </patternFill>
    </fill>
    <fill>
      <patternFill patternType="solid">
        <fgColor theme="0"/>
        <bgColor indexed="64"/>
      </patternFill>
    </fill>
    <fill>
      <patternFill patternType="solid">
        <fgColor theme="7" tint="0.39997558519241921"/>
        <bgColor indexed="64"/>
      </patternFill>
    </fill>
    <fill>
      <patternFill patternType="solid">
        <fgColor theme="0" tint="-0.14999847407452621"/>
        <bgColor indexed="64"/>
      </patternFill>
    </fill>
    <fill>
      <patternFill patternType="solid">
        <fgColor rgb="FFF79646"/>
        <bgColor rgb="FF000000"/>
      </patternFill>
    </fill>
    <fill>
      <patternFill patternType="solid">
        <fgColor rgb="FF1F6180"/>
        <bgColor rgb="FF000000"/>
      </patternFill>
    </fill>
    <fill>
      <patternFill patternType="solid">
        <fgColor theme="0" tint="-0.499984740745262"/>
        <bgColor rgb="FF000000"/>
      </patternFill>
    </fill>
    <fill>
      <patternFill patternType="solid">
        <fgColor theme="0" tint="-0.34998626667073579"/>
        <bgColor indexed="64"/>
      </patternFill>
    </fill>
    <fill>
      <patternFill patternType="solid">
        <fgColor theme="6" tint="0.59999389629810485"/>
        <bgColor indexed="64"/>
      </patternFill>
    </fill>
    <fill>
      <patternFill patternType="solid">
        <fgColor theme="0" tint="-4.9989318521683403E-2"/>
        <bgColor indexed="64"/>
      </patternFill>
    </fill>
    <fill>
      <patternFill patternType="solid">
        <fgColor rgb="FFFDEFE7"/>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6" tint="0.79998168889431442"/>
        <bgColor rgb="FF000000"/>
      </patternFill>
    </fill>
    <fill>
      <patternFill patternType="solid">
        <fgColor theme="5" tint="0.59999389629810485"/>
        <bgColor indexed="64"/>
      </patternFill>
    </fill>
    <fill>
      <patternFill patternType="solid">
        <fgColor rgb="FFFFFFCC"/>
      </patternFill>
    </fill>
    <fill>
      <patternFill patternType="solid">
        <fgColor theme="9" tint="0.79998168889431442"/>
        <bgColor indexed="39"/>
      </patternFill>
    </fill>
    <fill>
      <patternFill patternType="solid">
        <fgColor theme="7" tint="0.79998168889431442"/>
        <bgColor indexed="64"/>
      </patternFill>
    </fill>
    <fill>
      <patternFill patternType="solid">
        <fgColor theme="4" tint="0.79998168889431442"/>
        <bgColor indexed="64"/>
      </patternFill>
    </fill>
    <fill>
      <patternFill patternType="solid">
        <fgColor theme="8" tint="0.79998168889431442"/>
        <bgColor indexed="64"/>
      </patternFill>
    </fill>
    <fill>
      <patternFill patternType="solid">
        <fgColor theme="3" tint="0.79998168889431442"/>
        <bgColor indexed="64"/>
      </patternFill>
    </fill>
  </fills>
  <borders count="43">
    <border>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theme="5"/>
      </left>
      <right/>
      <top style="thin">
        <color theme="5"/>
      </top>
      <bottom/>
      <diagonal/>
    </border>
    <border>
      <left/>
      <right/>
      <top style="thin">
        <color theme="5"/>
      </top>
      <bottom/>
      <diagonal/>
    </border>
    <border>
      <left style="thin">
        <color theme="5"/>
      </left>
      <right/>
      <top/>
      <bottom/>
      <diagonal/>
    </border>
    <border>
      <left style="thin">
        <color theme="5"/>
      </left>
      <right/>
      <top/>
      <bottom style="thin">
        <color theme="5"/>
      </bottom>
      <diagonal/>
    </border>
    <border>
      <left/>
      <right/>
      <top/>
      <bottom style="thin">
        <color theme="5"/>
      </bottom>
      <diagonal/>
    </border>
    <border>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style="thin">
        <color theme="0"/>
      </right>
      <top style="thin">
        <color theme="0"/>
      </top>
      <bottom/>
      <diagonal/>
    </border>
    <border>
      <left/>
      <right/>
      <top style="thin">
        <color theme="0"/>
      </top>
      <bottom/>
      <diagonal/>
    </border>
    <border>
      <left/>
      <right/>
      <top/>
      <bottom style="thin">
        <color theme="0"/>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diagonal/>
    </border>
    <border>
      <left style="thin">
        <color theme="0"/>
      </left>
      <right style="thin">
        <color theme="0"/>
      </right>
      <top style="thin">
        <color theme="0"/>
      </top>
      <bottom style="thin">
        <color theme="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thin">
        <color indexed="63"/>
      </left>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s>
  <cellStyleXfs count="22">
    <xf numFmtId="0" fontId="0" fillId="0" borderId="0"/>
    <xf numFmtId="9" fontId="4" fillId="0" borderId="0" applyFont="0" applyFill="0" applyBorder="0" applyAlignment="0" applyProtection="0"/>
    <xf numFmtId="0" fontId="28" fillId="0" borderId="0" applyNumberFormat="0" applyFill="0" applyBorder="0" applyAlignment="0" applyProtection="0"/>
    <xf numFmtId="170" fontId="34" fillId="0" borderId="0"/>
    <xf numFmtId="44" fontId="4" fillId="0" borderId="0" applyFont="0" applyFill="0" applyBorder="0" applyAlignment="0" applyProtection="0"/>
    <xf numFmtId="0" fontId="43" fillId="0" borderId="0"/>
    <xf numFmtId="0" fontId="33" fillId="0" borderId="0"/>
    <xf numFmtId="0" fontId="33" fillId="0" borderId="0"/>
    <xf numFmtId="0" fontId="4" fillId="0" borderId="0"/>
    <xf numFmtId="9" fontId="33" fillId="0" borderId="0" applyFont="0" applyFill="0" applyBorder="0" applyAlignment="0" applyProtection="0"/>
    <xf numFmtId="9" fontId="43" fillId="0" borderId="0" applyFont="0" applyFill="0" applyBorder="0" applyAlignment="0" applyProtection="0"/>
    <xf numFmtId="43" fontId="43" fillId="0" borderId="0" applyFont="0" applyFill="0" applyBorder="0" applyAlignment="0" applyProtection="0"/>
    <xf numFmtId="43" fontId="4" fillId="0" borderId="0" applyFont="0" applyFill="0" applyBorder="0" applyAlignment="0" applyProtection="0"/>
    <xf numFmtId="0" fontId="42" fillId="20" borderId="35" applyNumberFormat="0" applyFont="0" applyAlignment="0" applyProtection="0"/>
    <xf numFmtId="0" fontId="42" fillId="0" borderId="0"/>
    <xf numFmtId="177" fontId="42" fillId="0" borderId="0" applyFont="0" applyFill="0" applyBorder="0" applyAlignment="0" applyProtection="0"/>
    <xf numFmtId="0" fontId="33" fillId="0" borderId="0"/>
    <xf numFmtId="178" fontId="4" fillId="0" borderId="0" applyFont="0" applyFill="0" applyBorder="0" applyAlignment="0" applyProtection="0"/>
    <xf numFmtId="44" fontId="4" fillId="0" borderId="0" applyFont="0" applyFill="0" applyBorder="0" applyAlignment="0" applyProtection="0"/>
    <xf numFmtId="43" fontId="43" fillId="0" borderId="0" applyFont="0" applyFill="0" applyBorder="0" applyAlignment="0" applyProtection="0"/>
    <xf numFmtId="43" fontId="4" fillId="0" borderId="0" applyFont="0" applyFill="0" applyBorder="0" applyAlignment="0" applyProtection="0"/>
    <xf numFmtId="43" fontId="42" fillId="0" borderId="0" applyFont="0" applyFill="0" applyBorder="0" applyAlignment="0" applyProtection="0"/>
  </cellStyleXfs>
  <cellXfs count="471">
    <xf numFmtId="0" fontId="0" fillId="0" borderId="0" xfId="0"/>
    <xf numFmtId="0" fontId="1" fillId="2" borderId="0" xfId="0" applyFont="1" applyFill="1" applyAlignment="1">
      <alignment horizontal="left" vertical="center"/>
    </xf>
    <xf numFmtId="0" fontId="2" fillId="0" borderId="0" xfId="0" applyFont="1"/>
    <xf numFmtId="0" fontId="1" fillId="2" borderId="0" xfId="0" quotePrefix="1" applyFont="1" applyFill="1" applyAlignment="1">
      <alignment horizontal="left" vertical="center"/>
    </xf>
    <xf numFmtId="0" fontId="3" fillId="2" borderId="0" xfId="0" applyFont="1" applyFill="1"/>
    <xf numFmtId="0" fontId="2" fillId="0" borderId="0" xfId="0" applyFont="1" applyAlignment="1">
      <alignment horizontal="center" vertical="center"/>
    </xf>
    <xf numFmtId="0" fontId="0" fillId="0" borderId="4" xfId="0" applyBorder="1"/>
    <xf numFmtId="0" fontId="0" fillId="0" borderId="3" xfId="0" applyBorder="1"/>
    <xf numFmtId="0" fontId="0" fillId="0" borderId="5" xfId="0" applyBorder="1"/>
    <xf numFmtId="0" fontId="0" fillId="0" borderId="6" xfId="0" applyBorder="1"/>
    <xf numFmtId="0" fontId="0" fillId="0" borderId="2" xfId="0" applyBorder="1"/>
    <xf numFmtId="0" fontId="0" fillId="0" borderId="8" xfId="0" applyBorder="1"/>
    <xf numFmtId="0" fontId="9" fillId="2" borderId="0" xfId="0" applyFont="1" applyFill="1" applyAlignment="1">
      <alignment horizontal="left" vertical="center"/>
    </xf>
    <xf numFmtId="0" fontId="10" fillId="2" borderId="0" xfId="0" applyFont="1" applyFill="1"/>
    <xf numFmtId="0" fontId="11" fillId="3" borderId="0" xfId="0" applyFont="1" applyFill="1" applyAlignment="1">
      <alignment vertical="center" wrapText="1"/>
    </xf>
    <xf numFmtId="0" fontId="13" fillId="3" borderId="0" xfId="0" applyFont="1" applyFill="1" applyAlignment="1">
      <alignment horizontal="left" vertical="center"/>
    </xf>
    <xf numFmtId="0" fontId="5" fillId="3" borderId="0" xfId="0" applyFont="1" applyFill="1" applyAlignment="1">
      <alignment horizontal="left"/>
    </xf>
    <xf numFmtId="0" fontId="5" fillId="3" borderId="0" xfId="0" applyFont="1" applyFill="1" applyAlignment="1">
      <alignment horizontal="center"/>
    </xf>
    <xf numFmtId="0" fontId="7" fillId="3" borderId="14" xfId="0" applyFont="1" applyFill="1" applyBorder="1"/>
    <xf numFmtId="0" fontId="0" fillId="3" borderId="0" xfId="0" applyFill="1"/>
    <xf numFmtId="0" fontId="7" fillId="3" borderId="15" xfId="0" applyFont="1" applyFill="1" applyBorder="1"/>
    <xf numFmtId="0" fontId="5" fillId="0" borderId="0" xfId="0" applyFont="1" applyAlignment="1">
      <alignment horizontal="center"/>
    </xf>
    <xf numFmtId="0" fontId="7" fillId="3" borderId="0" xfId="0" applyFont="1" applyFill="1"/>
    <xf numFmtId="0" fontId="14" fillId="3" borderId="0" xfId="0" applyFont="1" applyFill="1" applyAlignment="1">
      <alignment horizontal="left"/>
    </xf>
    <xf numFmtId="0" fontId="15" fillId="4" borderId="0" xfId="0" applyFont="1" applyFill="1"/>
    <xf numFmtId="0" fontId="15" fillId="3" borderId="0" xfId="0" applyFont="1" applyFill="1"/>
    <xf numFmtId="0" fontId="0" fillId="5" borderId="0" xfId="0" applyFill="1"/>
    <xf numFmtId="0" fontId="16" fillId="6" borderId="0" xfId="0" applyFont="1" applyFill="1"/>
    <xf numFmtId="0" fontId="16" fillId="7" borderId="0" xfId="0" applyFont="1" applyFill="1"/>
    <xf numFmtId="0" fontId="16" fillId="8" borderId="0" xfId="0" applyFont="1" applyFill="1"/>
    <xf numFmtId="0" fontId="17" fillId="3" borderId="0" xfId="0" applyFont="1" applyFill="1" applyAlignment="1">
      <alignment horizontal="left"/>
    </xf>
    <xf numFmtId="0" fontId="17" fillId="3" borderId="0" xfId="0" applyFont="1" applyFill="1" applyAlignment="1">
      <alignment horizontal="center"/>
    </xf>
    <xf numFmtId="0" fontId="18" fillId="3" borderId="0" xfId="0" applyFont="1" applyFill="1" applyAlignment="1">
      <alignment horizontal="right"/>
    </xf>
    <xf numFmtId="0" fontId="13" fillId="2" borderId="0" xfId="0" applyFont="1" applyFill="1" applyAlignment="1">
      <alignment horizontal="left" vertical="center"/>
    </xf>
    <xf numFmtId="8" fontId="5" fillId="3" borderId="18" xfId="0" applyNumberFormat="1" applyFont="1" applyFill="1" applyBorder="1"/>
    <xf numFmtId="0" fontId="5" fillId="3" borderId="18" xfId="0" applyFont="1" applyFill="1" applyBorder="1"/>
    <xf numFmtId="0" fontId="5" fillId="0" borderId="18" xfId="0" applyFont="1" applyBorder="1" applyAlignment="1">
      <alignment horizontal="center"/>
    </xf>
    <xf numFmtId="0" fontId="8" fillId="0" borderId="0" xfId="0" applyFont="1"/>
    <xf numFmtId="0" fontId="20" fillId="0" borderId="0" xfId="0" applyFont="1" applyAlignment="1">
      <alignment horizontal="center" vertical="center"/>
    </xf>
    <xf numFmtId="0" fontId="7" fillId="0" borderId="0" xfId="0" applyFont="1"/>
    <xf numFmtId="2" fontId="0" fillId="0" borderId="0" xfId="0" applyNumberFormat="1" applyAlignment="1">
      <alignment horizontal="center"/>
    </xf>
    <xf numFmtId="2" fontId="2" fillId="0" borderId="0" xfId="0" applyNumberFormat="1" applyFont="1" applyAlignment="1">
      <alignment horizontal="center"/>
    </xf>
    <xf numFmtId="0" fontId="18" fillId="5" borderId="0" xfId="0" applyFont="1" applyFill="1"/>
    <xf numFmtId="2" fontId="21" fillId="5" borderId="0" xfId="0" applyNumberFormat="1" applyFont="1" applyFill="1" applyAlignment="1">
      <alignment horizontal="center" wrapText="1"/>
    </xf>
    <xf numFmtId="2" fontId="18" fillId="5" borderId="0" xfId="0" applyNumberFormat="1" applyFont="1" applyFill="1" applyAlignment="1">
      <alignment horizontal="center"/>
    </xf>
    <xf numFmtId="2" fontId="18" fillId="10" borderId="0" xfId="0" applyNumberFormat="1" applyFont="1" applyFill="1" applyAlignment="1">
      <alignment horizontal="center"/>
    </xf>
    <xf numFmtId="2" fontId="21" fillId="10" borderId="0" xfId="0" applyNumberFormat="1" applyFont="1" applyFill="1" applyAlignment="1">
      <alignment horizontal="center"/>
    </xf>
    <xf numFmtId="2" fontId="21" fillId="5" borderId="0" xfId="0" applyNumberFormat="1" applyFont="1" applyFill="1" applyAlignment="1">
      <alignment horizontal="center"/>
    </xf>
    <xf numFmtId="0" fontId="2" fillId="5" borderId="0" xfId="0" applyFont="1" applyFill="1"/>
    <xf numFmtId="165" fontId="2" fillId="11" borderId="0" xfId="1" applyNumberFormat="1" applyFont="1" applyFill="1" applyAlignment="1">
      <alignment horizontal="center"/>
    </xf>
    <xf numFmtId="166" fontId="2" fillId="11" borderId="0" xfId="0" applyNumberFormat="1" applyFont="1" applyFill="1" applyAlignment="1">
      <alignment horizontal="center"/>
    </xf>
    <xf numFmtId="167" fontId="22" fillId="11" borderId="0" xfId="0" applyNumberFormat="1" applyFont="1" applyFill="1" applyAlignment="1">
      <alignment horizontal="center"/>
    </xf>
    <xf numFmtId="1" fontId="22" fillId="11" borderId="0" xfId="0" applyNumberFormat="1" applyFont="1" applyFill="1" applyAlignment="1">
      <alignment horizontal="center"/>
    </xf>
    <xf numFmtId="2" fontId="2" fillId="11" borderId="0" xfId="0" applyNumberFormat="1" applyFont="1" applyFill="1" applyAlignment="1">
      <alignment horizontal="center"/>
    </xf>
    <xf numFmtId="0" fontId="24" fillId="0" borderId="3" xfId="0" applyFont="1" applyBorder="1"/>
    <xf numFmtId="0" fontId="24" fillId="0" borderId="0" xfId="0" applyFont="1"/>
    <xf numFmtId="166" fontId="22" fillId="11" borderId="0" xfId="0" applyNumberFormat="1" applyFont="1" applyFill="1" applyAlignment="1">
      <alignment horizontal="center"/>
    </xf>
    <xf numFmtId="168" fontId="23" fillId="0" borderId="0" xfId="0" applyNumberFormat="1" applyFont="1" applyAlignment="1">
      <alignment horizontal="left"/>
    </xf>
    <xf numFmtId="0" fontId="24" fillId="0" borderId="1" xfId="0" applyFont="1" applyBorder="1"/>
    <xf numFmtId="166" fontId="23" fillId="0" borderId="0" xfId="0" applyNumberFormat="1" applyFont="1" applyAlignment="1">
      <alignment horizontal="left"/>
    </xf>
    <xf numFmtId="166" fontId="23" fillId="0" borderId="6" xfId="0" applyNumberFormat="1" applyFont="1" applyBorder="1" applyAlignment="1">
      <alignment horizontal="left"/>
    </xf>
    <xf numFmtId="166" fontId="23" fillId="0" borderId="2" xfId="0" applyNumberFormat="1" applyFont="1" applyBorder="1" applyAlignment="1">
      <alignment horizontal="left"/>
    </xf>
    <xf numFmtId="169" fontId="0" fillId="0" borderId="0" xfId="0" applyNumberFormat="1" applyAlignment="1">
      <alignment horizontal="center" vertical="center"/>
    </xf>
    <xf numFmtId="0" fontId="0" fillId="0" borderId="0" xfId="0" applyAlignment="1">
      <alignment horizontal="center" vertical="center"/>
    </xf>
    <xf numFmtId="0" fontId="11" fillId="0" borderId="0" xfId="0" applyFont="1"/>
    <xf numFmtId="0" fontId="7" fillId="0" borderId="0" xfId="0" applyFont="1" applyAlignment="1">
      <alignment horizontal="center" vertical="center"/>
    </xf>
    <xf numFmtId="0" fontId="27" fillId="0" borderId="1" xfId="0" applyFont="1" applyBorder="1"/>
    <xf numFmtId="0" fontId="27" fillId="0" borderId="2" xfId="0" applyFont="1" applyBorder="1"/>
    <xf numFmtId="0" fontId="25" fillId="2" borderId="0" xfId="0" applyFont="1" applyFill="1" applyAlignment="1">
      <alignment horizontal="center" vertical="center"/>
    </xf>
    <xf numFmtId="0" fontId="10" fillId="2" borderId="0" xfId="0" applyFont="1" applyFill="1" applyAlignment="1">
      <alignment horizontal="center" vertical="center"/>
    </xf>
    <xf numFmtId="0" fontId="29" fillId="3" borderId="0" xfId="0" applyFont="1" applyFill="1" applyAlignment="1">
      <alignment horizontal="center" vertical="center"/>
    </xf>
    <xf numFmtId="0" fontId="30" fillId="0" borderId="0" xfId="0" applyFont="1"/>
    <xf numFmtId="0" fontId="31" fillId="0" borderId="0" xfId="0" applyFont="1" applyAlignment="1">
      <alignment horizontal="center" vertical="center"/>
    </xf>
    <xf numFmtId="0" fontId="32" fillId="0" borderId="0" xfId="0" applyFont="1" applyAlignment="1">
      <alignment horizontal="center" vertical="center"/>
    </xf>
    <xf numFmtId="166" fontId="33" fillId="0" borderId="0" xfId="0" applyNumberFormat="1" applyFont="1" applyAlignment="1">
      <alignment horizontal="center" vertical="center"/>
    </xf>
    <xf numFmtId="0" fontId="33" fillId="0" borderId="0" xfId="0" applyFont="1" applyAlignment="1">
      <alignment horizontal="center" vertical="center"/>
    </xf>
    <xf numFmtId="2" fontId="33" fillId="0" borderId="0" xfId="1" applyNumberFormat="1" applyFont="1" applyFill="1" applyBorder="1" applyAlignment="1">
      <alignment horizontal="center" vertical="center"/>
    </xf>
    <xf numFmtId="171" fontId="35" fillId="0" borderId="0" xfId="3" applyNumberFormat="1" applyFont="1" applyAlignment="1">
      <alignment horizontal="right"/>
    </xf>
    <xf numFmtId="9" fontId="33" fillId="0" borderId="0" xfId="1" applyFont="1" applyFill="1" applyBorder="1" applyAlignment="1">
      <alignment horizontal="center" vertical="center"/>
    </xf>
    <xf numFmtId="171" fontId="35" fillId="0" borderId="2" xfId="3" applyNumberFormat="1" applyFont="1" applyBorder="1" applyAlignment="1">
      <alignment horizontal="right"/>
    </xf>
    <xf numFmtId="0" fontId="15" fillId="0" borderId="0" xfId="0" applyFont="1" applyAlignment="1">
      <alignment horizontal="center" vertical="center"/>
    </xf>
    <xf numFmtId="171" fontId="35" fillId="0" borderId="4" xfId="3" applyNumberFormat="1" applyFont="1" applyBorder="1" applyAlignment="1">
      <alignment horizontal="right"/>
    </xf>
    <xf numFmtId="0" fontId="7" fillId="3" borderId="19" xfId="0" applyFont="1" applyFill="1" applyBorder="1" applyAlignment="1">
      <alignment horizontal="center"/>
    </xf>
    <xf numFmtId="0" fontId="22" fillId="5" borderId="0" xfId="0" applyFont="1" applyFill="1"/>
    <xf numFmtId="168" fontId="2" fillId="11" borderId="0" xfId="1" applyNumberFormat="1" applyFont="1" applyFill="1" applyAlignment="1">
      <alignment horizontal="center"/>
    </xf>
    <xf numFmtId="0" fontId="24" fillId="0" borderId="2" xfId="0" applyFont="1" applyBorder="1"/>
    <xf numFmtId="0" fontId="26" fillId="0" borderId="3" xfId="0" applyFont="1" applyBorder="1"/>
    <xf numFmtId="0" fontId="36" fillId="0" borderId="1" xfId="0" applyFont="1" applyBorder="1"/>
    <xf numFmtId="0" fontId="36" fillId="0" borderId="0" xfId="0" applyFont="1"/>
    <xf numFmtId="0" fontId="37" fillId="0" borderId="1" xfId="0" applyFont="1" applyBorder="1"/>
    <xf numFmtId="0" fontId="37" fillId="0" borderId="3" xfId="0" applyFont="1" applyBorder="1"/>
    <xf numFmtId="166" fontId="36" fillId="0" borderId="2" xfId="0" applyNumberFormat="1" applyFont="1" applyBorder="1" applyAlignment="1">
      <alignment horizontal="left"/>
    </xf>
    <xf numFmtId="0" fontId="36" fillId="0" borderId="3" xfId="0" applyFont="1" applyBorder="1"/>
    <xf numFmtId="0" fontId="0" fillId="0" borderId="21" xfId="0" applyBorder="1"/>
    <xf numFmtId="166" fontId="23" fillId="0" borderId="8" xfId="0" applyNumberFormat="1" applyFont="1" applyBorder="1" applyAlignment="1">
      <alignment horizontal="left"/>
    </xf>
    <xf numFmtId="172" fontId="0" fillId="0" borderId="21" xfId="1" applyNumberFormat="1" applyFont="1" applyBorder="1"/>
    <xf numFmtId="172" fontId="0" fillId="0" borderId="21" xfId="1" applyNumberFormat="1" applyFont="1" applyBorder="1" applyAlignment="1">
      <alignment horizontal="center" vertical="center"/>
    </xf>
    <xf numFmtId="2" fontId="22" fillId="11" borderId="0" xfId="0" applyNumberFormat="1" applyFont="1" applyFill="1" applyAlignment="1">
      <alignment horizontal="center"/>
    </xf>
    <xf numFmtId="2" fontId="22" fillId="5" borderId="0" xfId="0" quotePrefix="1" applyNumberFormat="1" applyFont="1" applyFill="1" applyAlignment="1">
      <alignment horizontal="center"/>
    </xf>
    <xf numFmtId="0" fontId="2" fillId="5" borderId="0" xfId="0" applyFont="1" applyFill="1" applyAlignment="1">
      <alignment horizontal="center"/>
    </xf>
    <xf numFmtId="0" fontId="0" fillId="0" borderId="0" xfId="0" applyAlignment="1">
      <alignment horizontal="left"/>
    </xf>
    <xf numFmtId="0" fontId="0" fillId="0" borderId="0" xfId="0" applyAlignment="1">
      <alignment horizontal="center"/>
    </xf>
    <xf numFmtId="0" fontId="8" fillId="3" borderId="0" xfId="0" applyFont="1" applyFill="1"/>
    <xf numFmtId="0" fontId="7" fillId="0" borderId="0" xfId="0" applyFont="1" applyAlignment="1">
      <alignment horizontal="left"/>
    </xf>
    <xf numFmtId="0" fontId="41" fillId="0" borderId="0" xfId="0" applyFont="1" applyAlignment="1">
      <alignment horizontal="right"/>
    </xf>
    <xf numFmtId="0" fontId="9" fillId="2" borderId="0" xfId="0" applyFont="1" applyFill="1" applyAlignment="1">
      <alignment horizontal="center" vertical="center"/>
    </xf>
    <xf numFmtId="0" fontId="26" fillId="0" borderId="0" xfId="0" applyFont="1"/>
    <xf numFmtId="0" fontId="45" fillId="0" borderId="0" xfId="0" applyFont="1"/>
    <xf numFmtId="0" fontId="7" fillId="0" borderId="0" xfId="0" applyFont="1" applyAlignment="1">
      <alignment horizontal="center"/>
    </xf>
    <xf numFmtId="9" fontId="7" fillId="0" borderId="0" xfId="0" applyNumberFormat="1" applyFont="1" applyAlignment="1">
      <alignment horizontal="center"/>
    </xf>
    <xf numFmtId="0" fontId="7" fillId="3" borderId="0" xfId="0" applyFont="1" applyFill="1" applyAlignment="1">
      <alignment horizontal="center"/>
    </xf>
    <xf numFmtId="0" fontId="7" fillId="0" borderId="23" xfId="0" applyFont="1" applyBorder="1" applyAlignment="1">
      <alignment horizontal="center"/>
    </xf>
    <xf numFmtId="0" fontId="7" fillId="0" borderId="24" xfId="0" applyFont="1" applyBorder="1" applyAlignment="1">
      <alignment horizontal="center"/>
    </xf>
    <xf numFmtId="0" fontId="0" fillId="5" borderId="0" xfId="0" applyFill="1" applyAlignment="1">
      <alignment horizontal="center" wrapText="1"/>
    </xf>
    <xf numFmtId="0" fontId="0" fillId="5" borderId="0" xfId="0" applyFill="1" applyAlignment="1">
      <alignment horizontal="center"/>
    </xf>
    <xf numFmtId="2" fontId="0" fillId="5" borderId="0" xfId="0" applyNumberFormat="1" applyFill="1" applyAlignment="1">
      <alignment horizontal="center"/>
    </xf>
    <xf numFmtId="2" fontId="0" fillId="5" borderId="0" xfId="4" applyNumberFormat="1" applyFont="1" applyFill="1" applyAlignment="1">
      <alignment horizontal="center"/>
    </xf>
    <xf numFmtId="44" fontId="0" fillId="0" borderId="0" xfId="4" applyFont="1"/>
    <xf numFmtId="0" fontId="15" fillId="5" borderId="0" xfId="0" applyFont="1" applyFill="1" applyAlignment="1">
      <alignment horizontal="center" wrapText="1"/>
    </xf>
    <xf numFmtId="0" fontId="0" fillId="0" borderId="0" xfId="0" applyAlignment="1">
      <alignment horizontal="center" vertical="center" wrapText="1"/>
    </xf>
    <xf numFmtId="9" fontId="0" fillId="0" borderId="0" xfId="1" applyFont="1" applyAlignment="1">
      <alignment horizontal="center" vertical="center" wrapText="1"/>
    </xf>
    <xf numFmtId="44" fontId="0" fillId="0" borderId="0" xfId="4" applyFont="1" applyAlignment="1">
      <alignment horizontal="center" vertical="center" wrapText="1"/>
    </xf>
    <xf numFmtId="44" fontId="0" fillId="0" borderId="0" xfId="0" applyNumberFormat="1" applyAlignment="1">
      <alignment horizontal="center" vertical="center" wrapText="1"/>
    </xf>
    <xf numFmtId="0" fontId="0" fillId="0" borderId="0" xfId="0" applyAlignment="1">
      <alignment horizontal="center" wrapText="1"/>
    </xf>
    <xf numFmtId="0" fontId="15" fillId="0" borderId="0" xfId="0" applyFont="1" applyAlignment="1">
      <alignment horizontal="center" wrapText="1"/>
    </xf>
    <xf numFmtId="9" fontId="15" fillId="0" borderId="0" xfId="1" applyFont="1" applyAlignment="1">
      <alignment horizontal="center" vertical="center" wrapText="1"/>
    </xf>
    <xf numFmtId="0" fontId="46" fillId="0" borderId="0" xfId="0" applyFont="1" applyAlignment="1">
      <alignment horizontal="center" vertical="center"/>
    </xf>
    <xf numFmtId="9" fontId="0" fillId="0" borderId="0" xfId="0" applyNumberFormat="1" applyAlignment="1">
      <alignment horizontal="center" vertical="center" wrapText="1"/>
    </xf>
    <xf numFmtId="44" fontId="0" fillId="0" borderId="0" xfId="4" applyFont="1" applyAlignment="1">
      <alignment horizontal="center"/>
    </xf>
    <xf numFmtId="0" fontId="7" fillId="0" borderId="0" xfId="0" applyFont="1" applyAlignment="1">
      <alignment horizontal="right"/>
    </xf>
    <xf numFmtId="9" fontId="15" fillId="0" borderId="0" xfId="0" applyNumberFormat="1" applyFont="1" applyAlignment="1">
      <alignment horizontal="center" vertical="center" wrapText="1"/>
    </xf>
    <xf numFmtId="0" fontId="0" fillId="13" borderId="21" xfId="0" applyFill="1" applyBorder="1" applyAlignment="1">
      <alignment horizontal="center"/>
    </xf>
    <xf numFmtId="173" fontId="0" fillId="0" borderId="0" xfId="1" applyNumberFormat="1" applyFont="1" applyAlignment="1">
      <alignment horizontal="center"/>
    </xf>
    <xf numFmtId="172" fontId="0" fillId="0" borderId="0" xfId="0" applyNumberFormat="1"/>
    <xf numFmtId="0" fontId="6" fillId="0" borderId="0" xfId="0" applyFont="1"/>
    <xf numFmtId="164" fontId="7" fillId="16" borderId="0" xfId="0" applyNumberFormat="1" applyFont="1" applyFill="1"/>
    <xf numFmtId="0" fontId="8" fillId="2" borderId="0" xfId="0" applyFont="1" applyFill="1"/>
    <xf numFmtId="0" fontId="15" fillId="0" borderId="0" xfId="0" applyFont="1" applyAlignment="1">
      <alignment horizontal="center"/>
    </xf>
    <xf numFmtId="0" fontId="7" fillId="0" borderId="22" xfId="0" applyFont="1" applyBorder="1" applyAlignment="1">
      <alignment horizontal="center"/>
    </xf>
    <xf numFmtId="0" fontId="7" fillId="16" borderId="0" xfId="0" applyFont="1" applyFill="1" applyAlignment="1">
      <alignment horizontal="center"/>
    </xf>
    <xf numFmtId="0" fontId="0" fillId="15" borderId="22" xfId="0" applyFill="1" applyBorder="1" applyAlignment="1">
      <alignment horizontal="center" vertical="center"/>
    </xf>
    <xf numFmtId="1" fontId="15" fillId="17" borderId="22" xfId="0" applyNumberFormat="1" applyFont="1" applyFill="1" applyBorder="1" applyAlignment="1">
      <alignment horizontal="center" vertical="center"/>
    </xf>
    <xf numFmtId="166" fontId="15" fillId="15" borderId="22" xfId="0" applyNumberFormat="1" applyFont="1" applyFill="1" applyBorder="1" applyAlignment="1">
      <alignment horizontal="center" vertical="center"/>
    </xf>
    <xf numFmtId="166" fontId="15" fillId="17" borderId="22" xfId="0" applyNumberFormat="1" applyFont="1" applyFill="1" applyBorder="1" applyAlignment="1">
      <alignment horizontal="center" vertical="center"/>
    </xf>
    <xf numFmtId="166" fontId="15" fillId="18" borderId="22" xfId="0" applyNumberFormat="1" applyFont="1" applyFill="1" applyBorder="1" applyAlignment="1">
      <alignment horizontal="center" vertical="center"/>
    </xf>
    <xf numFmtId="166" fontId="0" fillId="0" borderId="0" xfId="0" applyNumberFormat="1" applyAlignment="1">
      <alignment horizontal="center" vertical="center"/>
    </xf>
    <xf numFmtId="1" fontId="15" fillId="18" borderId="22" xfId="0" applyNumberFormat="1" applyFont="1" applyFill="1" applyBorder="1" applyAlignment="1">
      <alignment horizontal="center" vertical="center"/>
    </xf>
    <xf numFmtId="166" fontId="0" fillId="16" borderId="0" xfId="0" applyNumberFormat="1" applyFill="1" applyAlignment="1">
      <alignment horizontal="center" vertical="center"/>
    </xf>
    <xf numFmtId="0" fontId="40" fillId="0" borderId="0" xfId="0" applyFont="1" applyAlignment="1">
      <alignment horizontal="center" vertical="center"/>
    </xf>
    <xf numFmtId="0" fontId="7" fillId="0" borderId="22" xfId="0" applyFont="1" applyBorder="1" applyAlignment="1">
      <alignment horizontal="center" vertical="center"/>
    </xf>
    <xf numFmtId="164" fontId="15" fillId="18" borderId="22" xfId="0" applyNumberFormat="1" applyFont="1" applyFill="1" applyBorder="1"/>
    <xf numFmtId="164" fontId="15" fillId="18" borderId="22" xfId="0" applyNumberFormat="1" applyFont="1" applyFill="1" applyBorder="1" applyAlignment="1">
      <alignment horizontal="center"/>
    </xf>
    <xf numFmtId="166" fontId="15" fillId="18" borderId="22" xfId="0" applyNumberFormat="1" applyFont="1" applyFill="1" applyBorder="1" applyAlignment="1">
      <alignment horizontal="center"/>
    </xf>
    <xf numFmtId="9" fontId="0" fillId="0" borderId="0" xfId="1" applyFont="1" applyFill="1" applyBorder="1" applyAlignment="1">
      <alignment horizontal="center" vertical="center"/>
    </xf>
    <xf numFmtId="0" fontId="0" fillId="3" borderId="22" xfId="0" applyFill="1" applyBorder="1"/>
    <xf numFmtId="0" fontId="0" fillId="0" borderId="22" xfId="0" applyBorder="1" applyAlignment="1">
      <alignment horizontal="center"/>
    </xf>
    <xf numFmtId="0" fontId="0" fillId="0" borderId="22" xfId="0" applyBorder="1" applyAlignment="1">
      <alignment horizontal="center" wrapText="1"/>
    </xf>
    <xf numFmtId="168" fontId="0" fillId="15" borderId="22" xfId="0" applyNumberFormat="1" applyFill="1" applyBorder="1" applyAlignment="1">
      <alignment horizontal="center"/>
    </xf>
    <xf numFmtId="166" fontId="15" fillId="14" borderId="22" xfId="0" applyNumberFormat="1" applyFont="1" applyFill="1" applyBorder="1" applyAlignment="1">
      <alignment horizontal="center"/>
    </xf>
    <xf numFmtId="166" fontId="0" fillId="15" borderId="22" xfId="0" applyNumberFormat="1" applyFill="1" applyBorder="1" applyAlignment="1">
      <alignment horizontal="center"/>
    </xf>
    <xf numFmtId="168" fontId="0" fillId="0" borderId="22" xfId="0" applyNumberFormat="1" applyBorder="1" applyAlignment="1">
      <alignment horizontal="center"/>
    </xf>
    <xf numFmtId="0" fontId="0" fillId="5" borderId="22" xfId="0" quotePrefix="1" applyFill="1" applyBorder="1" applyAlignment="1">
      <alignment horizontal="center"/>
    </xf>
    <xf numFmtId="166" fontId="0" fillId="14" borderId="22" xfId="0" applyNumberFormat="1" applyFill="1" applyBorder="1" applyAlignment="1">
      <alignment horizontal="center"/>
    </xf>
    <xf numFmtId="166" fontId="0" fillId="5" borderId="22" xfId="0" quotePrefix="1" applyNumberFormat="1" applyFill="1" applyBorder="1" applyAlignment="1">
      <alignment horizontal="center"/>
    </xf>
    <xf numFmtId="0" fontId="7" fillId="15" borderId="22" xfId="0" applyFont="1" applyFill="1" applyBorder="1" applyAlignment="1">
      <alignment horizontal="center" vertical="center"/>
    </xf>
    <xf numFmtId="0" fontId="5" fillId="3" borderId="18" xfId="0" applyFont="1" applyFill="1" applyBorder="1" applyAlignment="1">
      <alignment horizontal="center"/>
    </xf>
    <xf numFmtId="0" fontId="0" fillId="0" borderId="24" xfId="0" applyBorder="1"/>
    <xf numFmtId="0" fontId="47" fillId="0" borderId="24" xfId="0" applyFont="1" applyBorder="1" applyAlignment="1">
      <alignment horizontal="left"/>
    </xf>
    <xf numFmtId="0" fontId="0" fillId="0" borderId="24" xfId="0" applyBorder="1" applyAlignment="1">
      <alignment horizontal="center"/>
    </xf>
    <xf numFmtId="0" fontId="5" fillId="0" borderId="15" xfId="0" applyFont="1" applyBorder="1"/>
    <xf numFmtId="0" fontId="8" fillId="0" borderId="24" xfId="0" applyFont="1" applyBorder="1"/>
    <xf numFmtId="0" fontId="5" fillId="0" borderId="18" xfId="0" applyFont="1" applyBorder="1" applyAlignment="1">
      <alignment horizontal="left"/>
    </xf>
    <xf numFmtId="2" fontId="5" fillId="3" borderId="18" xfId="0" applyNumberFormat="1" applyFont="1" applyFill="1" applyBorder="1" applyAlignment="1">
      <alignment horizontal="center"/>
    </xf>
    <xf numFmtId="0" fontId="48" fillId="0" borderId="0" xfId="0" applyFont="1"/>
    <xf numFmtId="168" fontId="22" fillId="11" borderId="0" xfId="0" applyNumberFormat="1" applyFont="1" applyFill="1" applyAlignment="1">
      <alignment horizontal="center"/>
    </xf>
    <xf numFmtId="174" fontId="2" fillId="11" borderId="0" xfId="1" applyNumberFormat="1" applyFont="1" applyFill="1" applyAlignment="1">
      <alignment horizontal="center"/>
    </xf>
    <xf numFmtId="9" fontId="2" fillId="11" borderId="0" xfId="1" applyFont="1" applyFill="1" applyAlignment="1">
      <alignment horizontal="center"/>
    </xf>
    <xf numFmtId="1" fontId="2" fillId="11" borderId="0" xfId="1" applyNumberFormat="1" applyFont="1" applyFill="1" applyAlignment="1">
      <alignment horizontal="center"/>
    </xf>
    <xf numFmtId="168" fontId="0" fillId="11" borderId="22" xfId="0" applyNumberFormat="1" applyFill="1" applyBorder="1" applyAlignment="1">
      <alignment horizontal="center"/>
    </xf>
    <xf numFmtId="10" fontId="0" fillId="0" borderId="21" xfId="0" applyNumberFormat="1" applyBorder="1"/>
    <xf numFmtId="10" fontId="0" fillId="0" borderId="0" xfId="1" applyNumberFormat="1" applyFont="1" applyAlignment="1">
      <alignment horizontal="center"/>
    </xf>
    <xf numFmtId="44" fontId="0" fillId="0" borderId="0" xfId="0" applyNumberFormat="1"/>
    <xf numFmtId="0" fontId="49" fillId="3" borderId="0" xfId="0" applyFont="1" applyFill="1" applyAlignment="1">
      <alignment horizontal="center" vertical="center" wrapText="1"/>
    </xf>
    <xf numFmtId="0" fontId="42" fillId="3" borderId="0" xfId="0" applyFont="1" applyFill="1"/>
    <xf numFmtId="10" fontId="31" fillId="3" borderId="0" xfId="0" applyNumberFormat="1" applyFont="1" applyFill="1" applyAlignment="1">
      <alignment horizontal="center" vertical="center" wrapText="1"/>
    </xf>
    <xf numFmtId="0" fontId="31" fillId="3" borderId="0" xfId="0" applyFont="1" applyFill="1" applyAlignment="1">
      <alignment horizontal="center" vertical="center" wrapText="1"/>
    </xf>
    <xf numFmtId="166" fontId="32" fillId="11" borderId="2" xfId="0" applyNumberFormat="1" applyFont="1" applyFill="1" applyBorder="1" applyAlignment="1">
      <alignment horizontal="center" vertical="center"/>
    </xf>
    <xf numFmtId="166" fontId="32" fillId="11" borderId="4" xfId="0" applyNumberFormat="1" applyFont="1" applyFill="1" applyBorder="1" applyAlignment="1">
      <alignment horizontal="center" vertical="center"/>
    </xf>
    <xf numFmtId="166" fontId="31" fillId="11" borderId="4" xfId="0" applyNumberFormat="1" applyFont="1" applyFill="1" applyBorder="1" applyAlignment="1">
      <alignment horizontal="center" vertical="center"/>
    </xf>
    <xf numFmtId="166" fontId="15" fillId="18" borderId="28" xfId="0" applyNumberFormat="1" applyFont="1" applyFill="1" applyBorder="1" applyAlignment="1">
      <alignment horizontal="center"/>
    </xf>
    <xf numFmtId="164" fontId="0" fillId="0" borderId="21" xfId="0" applyNumberFormat="1" applyBorder="1" applyAlignment="1">
      <alignment horizontal="center"/>
    </xf>
    <xf numFmtId="9" fontId="0" fillId="13" borderId="0" xfId="0" applyNumberFormat="1" applyFill="1" applyAlignment="1">
      <alignment horizontal="center"/>
    </xf>
    <xf numFmtId="168" fontId="0" fillId="5" borderId="0" xfId="0" applyNumberFormat="1" applyFill="1" applyAlignment="1">
      <alignment horizontal="center"/>
    </xf>
    <xf numFmtId="9" fontId="0" fillId="0" borderId="0" xfId="1" applyFont="1"/>
    <xf numFmtId="0" fontId="0" fillId="0" borderId="22" xfId="0" applyBorder="1"/>
    <xf numFmtId="2" fontId="0" fillId="0" borderId="0" xfId="0" applyNumberFormat="1"/>
    <xf numFmtId="164" fontId="0" fillId="0" borderId="22" xfId="0" applyNumberFormat="1" applyBorder="1"/>
    <xf numFmtId="164" fontId="0" fillId="0" borderId="0" xfId="0" applyNumberFormat="1"/>
    <xf numFmtId="0" fontId="0" fillId="3" borderId="22" xfId="0" applyFill="1" applyBorder="1" applyAlignment="1">
      <alignment vertical="center"/>
    </xf>
    <xf numFmtId="2" fontId="0" fillId="0" borderId="22" xfId="0" applyNumberFormat="1" applyBorder="1"/>
    <xf numFmtId="0" fontId="0" fillId="0" borderId="31" xfId="0" applyBorder="1"/>
    <xf numFmtId="2" fontId="0" fillId="0" borderId="32" xfId="0" applyNumberFormat="1" applyBorder="1"/>
    <xf numFmtId="0" fontId="0" fillId="0" borderId="33" xfId="0" applyBorder="1"/>
    <xf numFmtId="2" fontId="0" fillId="0" borderId="34" xfId="0" applyNumberFormat="1" applyBorder="1"/>
    <xf numFmtId="0" fontId="0" fillId="0" borderId="34" xfId="0" applyBorder="1"/>
    <xf numFmtId="0" fontId="15" fillId="0" borderId="0" xfId="0" applyFont="1"/>
    <xf numFmtId="0" fontId="7" fillId="0" borderId="2" xfId="0" applyFont="1" applyBorder="1" applyAlignment="1">
      <alignment horizontal="center"/>
    </xf>
    <xf numFmtId="0" fontId="7" fillId="0" borderId="1" xfId="0" applyFont="1" applyBorder="1" applyAlignment="1">
      <alignment horizontal="center"/>
    </xf>
    <xf numFmtId="0" fontId="0" fillId="0" borderId="2" xfId="0" applyBorder="1" applyAlignment="1">
      <alignment horizontal="center"/>
    </xf>
    <xf numFmtId="0" fontId="0" fillId="0" borderId="6" xfId="0" applyBorder="1" applyAlignment="1">
      <alignment horizontal="center"/>
    </xf>
    <xf numFmtId="0" fontId="51" fillId="2" borderId="0" xfId="0" applyFont="1" applyFill="1"/>
    <xf numFmtId="0" fontId="7" fillId="0" borderId="3" xfId="0" applyFont="1" applyBorder="1" applyAlignment="1">
      <alignment horizontal="center"/>
    </xf>
    <xf numFmtId="0" fontId="0" fillId="0" borderId="8" xfId="0" applyBorder="1" applyAlignment="1">
      <alignment horizontal="center"/>
    </xf>
    <xf numFmtId="0" fontId="7" fillId="19" borderId="0" xfId="0" applyFont="1" applyFill="1" applyAlignment="1">
      <alignment horizontal="right"/>
    </xf>
    <xf numFmtId="168" fontId="0" fillId="5" borderId="22" xfId="0" quotePrefix="1" applyNumberFormat="1" applyFill="1" applyBorder="1" applyAlignment="1">
      <alignment horizontal="center"/>
    </xf>
    <xf numFmtId="2" fontId="0" fillId="5" borderId="22" xfId="0" applyNumberFormat="1" applyFill="1" applyBorder="1" applyAlignment="1">
      <alignment horizontal="center"/>
    </xf>
    <xf numFmtId="176" fontId="0" fillId="0" borderId="0" xfId="4" applyNumberFormat="1" applyFont="1" applyFill="1" applyBorder="1"/>
    <xf numFmtId="4" fontId="0" fillId="5" borderId="22" xfId="13" applyNumberFormat="1" applyFont="1" applyFill="1" applyBorder="1" applyAlignment="1">
      <alignment horizontal="center"/>
    </xf>
    <xf numFmtId="2" fontId="0" fillId="5" borderId="22" xfId="13" applyNumberFormat="1" applyFont="1" applyFill="1" applyBorder="1" applyAlignment="1">
      <alignment horizontal="center"/>
    </xf>
    <xf numFmtId="168" fontId="0" fillId="0" borderId="0" xfId="0" applyNumberFormat="1" applyAlignment="1">
      <alignment horizontal="center"/>
    </xf>
    <xf numFmtId="168" fontId="0" fillId="0" borderId="8" xfId="0" applyNumberFormat="1" applyBorder="1" applyAlignment="1">
      <alignment horizontal="center"/>
    </xf>
    <xf numFmtId="0" fontId="0" fillId="0" borderId="4" xfId="0" applyBorder="1" applyAlignment="1">
      <alignment horizontal="center"/>
    </xf>
    <xf numFmtId="0" fontId="0" fillId="0" borderId="7" xfId="0" applyBorder="1" applyAlignment="1">
      <alignment horizontal="center"/>
    </xf>
    <xf numFmtId="3" fontId="0" fillId="5" borderId="0" xfId="13" applyNumberFormat="1" applyFont="1" applyFill="1" applyBorder="1" applyAlignment="1">
      <alignment horizontal="center"/>
    </xf>
    <xf numFmtId="0" fontId="51" fillId="2" borderId="0" xfId="0" applyFont="1" applyFill="1" applyAlignment="1">
      <alignment wrapText="1"/>
    </xf>
    <xf numFmtId="1" fontId="0" fillId="5" borderId="0" xfId="13" applyNumberFormat="1" applyFont="1" applyFill="1" applyBorder="1" applyAlignment="1">
      <alignment horizontal="center"/>
    </xf>
    <xf numFmtId="1" fontId="0" fillId="0" borderId="0" xfId="13" applyNumberFormat="1" applyFont="1" applyFill="1" applyBorder="1" applyAlignment="1">
      <alignment horizontal="center"/>
    </xf>
    <xf numFmtId="0" fontId="53" fillId="2" borderId="0" xfId="0" applyFont="1" applyFill="1" applyAlignment="1">
      <alignment vertical="center"/>
    </xf>
    <xf numFmtId="2" fontId="53" fillId="2" borderId="0" xfId="0" applyNumberFormat="1" applyFont="1" applyFill="1" applyAlignment="1">
      <alignment horizontal="center" vertical="center"/>
    </xf>
    <xf numFmtId="0" fontId="53" fillId="2" borderId="0" xfId="0" applyFont="1" applyFill="1" applyAlignment="1">
      <alignment horizontal="left" vertical="center"/>
    </xf>
    <xf numFmtId="0" fontId="18" fillId="0" borderId="0" xfId="0" applyFont="1"/>
    <xf numFmtId="2" fontId="39" fillId="0" borderId="0" xfId="0" applyNumberFormat="1" applyFont="1" applyAlignment="1">
      <alignment horizontal="center"/>
    </xf>
    <xf numFmtId="0" fontId="54" fillId="0" borderId="0" xfId="0" applyFont="1" applyAlignment="1">
      <alignment horizontal="center"/>
    </xf>
    <xf numFmtId="0" fontId="2" fillId="0" borderId="22" xfId="0" applyFont="1" applyBorder="1"/>
    <xf numFmtId="165" fontId="2" fillId="0" borderId="0" xfId="1" applyNumberFormat="1" applyFont="1"/>
    <xf numFmtId="0" fontId="2" fillId="0" borderId="0" xfId="0" applyFont="1" applyAlignment="1">
      <alignment horizontal="center"/>
    </xf>
    <xf numFmtId="10" fontId="2" fillId="0" borderId="0" xfId="0" applyNumberFormat="1" applyFont="1" applyAlignment="1">
      <alignment horizontal="center"/>
    </xf>
    <xf numFmtId="0" fontId="18" fillId="0" borderId="22" xfId="0" applyFont="1" applyBorder="1" applyAlignment="1">
      <alignment horizontal="center"/>
    </xf>
    <xf numFmtId="10" fontId="2" fillId="0" borderId="22" xfId="1" applyNumberFormat="1" applyFont="1" applyBorder="1" applyAlignment="1">
      <alignment horizontal="center"/>
    </xf>
    <xf numFmtId="10" fontId="2" fillId="0" borderId="22" xfId="0" applyNumberFormat="1" applyFont="1" applyBorder="1" applyAlignment="1">
      <alignment horizontal="center"/>
    </xf>
    <xf numFmtId="165" fontId="22" fillId="11" borderId="0" xfId="1" applyNumberFormat="1" applyFont="1" applyFill="1" applyAlignment="1">
      <alignment horizontal="center"/>
    </xf>
    <xf numFmtId="10" fontId="0" fillId="0" borderId="0" xfId="0" applyNumberFormat="1"/>
    <xf numFmtId="9" fontId="15" fillId="0" borderId="0" xfId="1" applyFont="1"/>
    <xf numFmtId="0" fontId="55" fillId="21" borderId="40" xfId="7" applyFont="1" applyFill="1" applyBorder="1" applyAlignment="1">
      <alignment vertical="center"/>
    </xf>
    <xf numFmtId="44" fontId="7" fillId="0" borderId="0" xfId="0" applyNumberFormat="1" applyFont="1"/>
    <xf numFmtId="0" fontId="44" fillId="0" borderId="0" xfId="0" applyFont="1" applyAlignment="1">
      <alignment horizontal="left"/>
    </xf>
    <xf numFmtId="9" fontId="0" fillId="5" borderId="22" xfId="1" applyFont="1" applyFill="1" applyBorder="1" applyAlignment="1">
      <alignment horizontal="center"/>
    </xf>
    <xf numFmtId="0" fontId="56" fillId="2" borderId="0" xfId="0" applyFont="1" applyFill="1" applyAlignment="1">
      <alignment horizontal="left" vertical="center"/>
    </xf>
    <xf numFmtId="0" fontId="39" fillId="0" borderId="0" xfId="0" applyFont="1"/>
    <xf numFmtId="9" fontId="0" fillId="0" borderId="0" xfId="1" applyFont="1" applyFill="1"/>
    <xf numFmtId="0" fontId="0" fillId="23" borderId="22" xfId="0" applyFill="1" applyBorder="1"/>
    <xf numFmtId="9" fontId="0" fillId="23" borderId="22" xfId="1" applyFont="1" applyFill="1" applyBorder="1"/>
    <xf numFmtId="0" fontId="0" fillId="14" borderId="22" xfId="0" applyFill="1" applyBorder="1"/>
    <xf numFmtId="9" fontId="0" fillId="14" borderId="22" xfId="1" applyFont="1" applyFill="1" applyBorder="1"/>
    <xf numFmtId="0" fontId="0" fillId="16" borderId="22" xfId="0" applyFill="1" applyBorder="1" applyAlignment="1">
      <alignment horizontal="center" vertical="center"/>
    </xf>
    <xf numFmtId="0" fontId="0" fillId="16" borderId="22" xfId="0" applyFill="1" applyBorder="1" applyAlignment="1">
      <alignment horizontal="center"/>
    </xf>
    <xf numFmtId="0" fontId="0" fillId="16" borderId="22" xfId="0" applyFill="1" applyBorder="1"/>
    <xf numFmtId="9" fontId="0" fillId="16" borderId="22" xfId="1" applyFont="1" applyFill="1" applyBorder="1"/>
    <xf numFmtId="0" fontId="0" fillId="22" borderId="22" xfId="0" applyFill="1" applyBorder="1" applyAlignment="1">
      <alignment horizontal="center"/>
    </xf>
    <xf numFmtId="0" fontId="0" fillId="22" borderId="22" xfId="0" applyFill="1" applyBorder="1"/>
    <xf numFmtId="9" fontId="0" fillId="22" borderId="22" xfId="1" applyFont="1" applyFill="1" applyBorder="1"/>
    <xf numFmtId="0" fontId="0" fillId="22" borderId="22" xfId="1" applyNumberFormat="1" applyFont="1" applyFill="1" applyBorder="1"/>
    <xf numFmtId="0" fontId="0" fillId="24" borderId="22" xfId="0" applyFill="1" applyBorder="1" applyAlignment="1">
      <alignment horizontal="center" vertical="center"/>
    </xf>
    <xf numFmtId="0" fontId="0" fillId="24" borderId="22" xfId="0" applyFill="1" applyBorder="1" applyAlignment="1">
      <alignment vertical="center"/>
    </xf>
    <xf numFmtId="9" fontId="0" fillId="24" borderId="22" xfId="1" applyFont="1" applyFill="1" applyBorder="1" applyAlignment="1">
      <alignment vertical="center"/>
    </xf>
    <xf numFmtId="0" fontId="0" fillId="23" borderId="22" xfId="0" applyFill="1" applyBorder="1" applyAlignment="1">
      <alignment horizontal="center" vertical="center"/>
    </xf>
    <xf numFmtId="0" fontId="0" fillId="23" borderId="22" xfId="0" applyFill="1" applyBorder="1" applyAlignment="1">
      <alignment vertical="center"/>
    </xf>
    <xf numFmtId="9" fontId="0" fillId="23" borderId="22" xfId="1" applyFont="1" applyFill="1" applyBorder="1" applyAlignment="1">
      <alignment vertical="center"/>
    </xf>
    <xf numFmtId="0" fontId="0" fillId="16" borderId="22" xfId="0" applyFill="1" applyBorder="1" applyAlignment="1">
      <alignment vertical="center"/>
    </xf>
    <xf numFmtId="9" fontId="0" fillId="16" borderId="22" xfId="1" applyFont="1" applyFill="1" applyBorder="1" applyAlignment="1">
      <alignment vertical="center"/>
    </xf>
    <xf numFmtId="0" fontId="0" fillId="22" borderId="22" xfId="0" applyFill="1" applyBorder="1" applyAlignment="1">
      <alignment horizontal="center" vertical="center"/>
    </xf>
    <xf numFmtId="0" fontId="0" fillId="22" borderId="22" xfId="0" applyFill="1" applyBorder="1" applyAlignment="1">
      <alignment vertical="center"/>
    </xf>
    <xf numFmtId="9" fontId="0" fillId="22" borderId="22" xfId="1" applyFont="1" applyFill="1" applyBorder="1" applyAlignment="1">
      <alignment vertical="center"/>
    </xf>
    <xf numFmtId="0" fontId="6" fillId="14" borderId="22" xfId="0" applyFont="1" applyFill="1" applyBorder="1" applyAlignment="1">
      <alignment horizontal="center"/>
    </xf>
    <xf numFmtId="0" fontId="15" fillId="14" borderId="22" xfId="0" applyFont="1" applyFill="1" applyBorder="1" applyAlignment="1">
      <alignment horizontal="center"/>
    </xf>
    <xf numFmtId="9" fontId="0" fillId="13" borderId="22" xfId="1" applyFont="1" applyFill="1" applyBorder="1" applyAlignment="1">
      <alignment horizontal="center"/>
    </xf>
    <xf numFmtId="0" fontId="6" fillId="14" borderId="22" xfId="1" applyNumberFormat="1" applyFont="1" applyFill="1" applyBorder="1"/>
    <xf numFmtId="9" fontId="6" fillId="14" borderId="22" xfId="1" applyFont="1" applyFill="1" applyBorder="1"/>
    <xf numFmtId="0" fontId="15" fillId="23" borderId="22" xfId="0" applyFont="1" applyFill="1" applyBorder="1"/>
    <xf numFmtId="9" fontId="15" fillId="23" borderId="22" xfId="1" applyFont="1" applyFill="1" applyBorder="1"/>
    <xf numFmtId="0" fontId="6" fillId="14" borderId="22" xfId="0" applyFont="1" applyFill="1" applyBorder="1"/>
    <xf numFmtId="0" fontId="0" fillId="25" borderId="22" xfId="0" applyFill="1" applyBorder="1" applyAlignment="1">
      <alignment horizontal="center"/>
    </xf>
    <xf numFmtId="0" fontId="0" fillId="25" borderId="22" xfId="0" applyFill="1" applyBorder="1"/>
    <xf numFmtId="9" fontId="0" fillId="25" borderId="22" xfId="1" applyFont="1" applyFill="1" applyBorder="1"/>
    <xf numFmtId="0" fontId="0" fillId="0" borderId="24" xfId="0" applyBorder="1" applyAlignment="1">
      <alignment horizontal="left"/>
    </xf>
    <xf numFmtId="6" fontId="8" fillId="0" borderId="0" xfId="0" applyNumberFormat="1" applyFont="1"/>
    <xf numFmtId="164" fontId="8" fillId="0" borderId="0" xfId="0" applyNumberFormat="1" applyFont="1" applyAlignment="1">
      <alignment horizontal="center"/>
    </xf>
    <xf numFmtId="0" fontId="8" fillId="0" borderId="0" xfId="0" applyFont="1" applyAlignment="1">
      <alignment horizontal="right"/>
    </xf>
    <xf numFmtId="169" fontId="0" fillId="0" borderId="21" xfId="0" applyNumberFormat="1" applyBorder="1"/>
    <xf numFmtId="175" fontId="0" fillId="0" borderId="21" xfId="0" applyNumberFormat="1" applyBorder="1"/>
    <xf numFmtId="0" fontId="2" fillId="11" borderId="0" xfId="0" applyFont="1" applyFill="1"/>
    <xf numFmtId="0" fontId="2" fillId="11" borderId="0" xfId="0" applyFont="1" applyFill="1" applyAlignment="1">
      <alignment horizontal="center"/>
    </xf>
    <xf numFmtId="172" fontId="2" fillId="11" borderId="0" xfId="0" applyNumberFormat="1" applyFont="1" applyFill="1" applyAlignment="1">
      <alignment horizontal="center"/>
    </xf>
    <xf numFmtId="0" fontId="0" fillId="0" borderId="31" xfId="0" applyBorder="1" applyAlignment="1">
      <alignment horizontal="center" vertical="center"/>
    </xf>
    <xf numFmtId="0" fontId="0" fillId="0" borderId="36" xfId="0" applyBorder="1" applyAlignment="1">
      <alignment horizontal="center" vertical="center"/>
    </xf>
    <xf numFmtId="0" fontId="0" fillId="0" borderId="32" xfId="0" applyBorder="1" applyAlignment="1">
      <alignment horizontal="center" vertical="center"/>
    </xf>
    <xf numFmtId="0" fontId="0" fillId="0" borderId="37" xfId="0" applyBorder="1" applyAlignment="1">
      <alignment horizontal="left"/>
    </xf>
    <xf numFmtId="1" fontId="0" fillId="0" borderId="0" xfId="0" applyNumberFormat="1"/>
    <xf numFmtId="0" fontId="0" fillId="0" borderId="33" xfId="0" applyBorder="1" applyAlignment="1">
      <alignment horizontal="left"/>
    </xf>
    <xf numFmtId="0" fontId="0" fillId="0" borderId="31" xfId="0" applyBorder="1" applyAlignment="1">
      <alignment horizontal="center"/>
    </xf>
    <xf numFmtId="0" fontId="0" fillId="0" borderId="32" xfId="0" applyBorder="1" applyAlignment="1">
      <alignment horizontal="center"/>
    </xf>
    <xf numFmtId="0" fontId="0" fillId="0" borderId="37" xfId="0" applyBorder="1"/>
    <xf numFmtId="0" fontId="14" fillId="0" borderId="15" xfId="0" applyFont="1" applyBorder="1"/>
    <xf numFmtId="0" fontId="15" fillId="0" borderId="24" xfId="0" applyFont="1" applyBorder="1"/>
    <xf numFmtId="0" fontId="15" fillId="0" borderId="24" xfId="0" applyFont="1" applyBorder="1" applyAlignment="1">
      <alignment horizontal="center"/>
    </xf>
    <xf numFmtId="0" fontId="40" fillId="0" borderId="4" xfId="0" applyFont="1" applyBorder="1" applyAlignment="1">
      <alignment horizontal="center"/>
    </xf>
    <xf numFmtId="0" fontId="40" fillId="0" borderId="0" xfId="0" applyFont="1"/>
    <xf numFmtId="0" fontId="0" fillId="0" borderId="22" xfId="0" applyBorder="1" applyAlignment="1">
      <alignment horizontal="center" vertical="center"/>
    </xf>
    <xf numFmtId="0" fontId="3" fillId="0" borderId="0" xfId="0" applyFont="1"/>
    <xf numFmtId="179" fontId="0" fillId="0" borderId="0" xfId="0" applyNumberFormat="1"/>
    <xf numFmtId="179" fontId="0" fillId="0" borderId="0" xfId="4" applyNumberFormat="1" applyFont="1" applyAlignment="1">
      <alignment horizontal="center"/>
    </xf>
    <xf numFmtId="179" fontId="40" fillId="0" borderId="0" xfId="0" applyNumberFormat="1" applyFont="1"/>
    <xf numFmtId="179" fontId="0" fillId="13" borderId="0" xfId="4" applyNumberFormat="1" applyFont="1" applyFill="1" applyAlignment="1">
      <alignment horizontal="center"/>
    </xf>
    <xf numFmtId="179" fontId="0" fillId="0" borderId="0" xfId="0" applyNumberFormat="1" applyAlignment="1">
      <alignment horizontal="center"/>
    </xf>
    <xf numFmtId="179" fontId="0" fillId="0" borderId="0" xfId="4" applyNumberFormat="1" applyFont="1"/>
    <xf numFmtId="179" fontId="0" fillId="13" borderId="0" xfId="4" applyNumberFormat="1" applyFont="1" applyFill="1"/>
    <xf numFmtId="179" fontId="0" fillId="5" borderId="0" xfId="0" applyNumberFormat="1" applyFill="1"/>
    <xf numFmtId="0" fontId="0" fillId="5" borderId="39" xfId="0" applyFill="1" applyBorder="1"/>
    <xf numFmtId="2" fontId="0" fillId="5" borderId="42" xfId="0" applyNumberFormat="1" applyFill="1" applyBorder="1"/>
    <xf numFmtId="43" fontId="0" fillId="0" borderId="0" xfId="12" applyFont="1"/>
    <xf numFmtId="179" fontId="52" fillId="19" borderId="0" xfId="13" applyNumberFormat="1" applyFont="1" applyFill="1" applyBorder="1" applyAlignment="1">
      <alignment horizontal="center"/>
    </xf>
    <xf numFmtId="179" fontId="0" fillId="5" borderId="0" xfId="0" applyNumberFormat="1" applyFill="1" applyAlignment="1">
      <alignment horizontal="center" vertical="center"/>
    </xf>
    <xf numFmtId="1" fontId="0" fillId="5" borderId="0" xfId="0" applyNumberFormat="1" applyFill="1" applyAlignment="1">
      <alignment horizontal="center"/>
    </xf>
    <xf numFmtId="179" fontId="0" fillId="0" borderId="2" xfId="4" applyNumberFormat="1" applyFont="1" applyBorder="1" applyAlignment="1">
      <alignment horizontal="center" vertical="center"/>
    </xf>
    <xf numFmtId="179" fontId="39" fillId="0" borderId="0" xfId="4" applyNumberFormat="1" applyFont="1" applyAlignment="1">
      <alignment horizontal="left"/>
    </xf>
    <xf numFmtId="179" fontId="0" fillId="0" borderId="0" xfId="12" applyNumberFormat="1" applyFont="1" applyBorder="1" applyAlignment="1">
      <alignment horizontal="right"/>
    </xf>
    <xf numFmtId="179" fontId="0" fillId="0" borderId="38" xfId="12" applyNumberFormat="1" applyFont="1" applyBorder="1" applyAlignment="1">
      <alignment horizontal="right"/>
    </xf>
    <xf numFmtId="179" fontId="0" fillId="0" borderId="0" xfId="0" applyNumberFormat="1" applyAlignment="1">
      <alignment horizontal="right"/>
    </xf>
    <xf numFmtId="179" fontId="0" fillId="0" borderId="38" xfId="0" applyNumberFormat="1" applyBorder="1" applyAlignment="1">
      <alignment horizontal="right"/>
    </xf>
    <xf numFmtId="179" fontId="0" fillId="0" borderId="39" xfId="0" applyNumberFormat="1" applyBorder="1" applyAlignment="1">
      <alignment horizontal="right"/>
    </xf>
    <xf numFmtId="179" fontId="0" fillId="0" borderId="34" xfId="0" applyNumberFormat="1" applyBorder="1" applyAlignment="1">
      <alignment horizontal="right"/>
    </xf>
    <xf numFmtId="179" fontId="0" fillId="0" borderId="0" xfId="4" applyNumberFormat="1" applyFont="1" applyBorder="1" applyAlignment="1">
      <alignment horizontal="center"/>
    </xf>
    <xf numFmtId="179" fontId="0" fillId="0" borderId="0" xfId="4" applyNumberFormat="1" applyFont="1" applyBorder="1"/>
    <xf numFmtId="179" fontId="0" fillId="0" borderId="39" xfId="4" applyNumberFormat="1" applyFont="1" applyBorder="1"/>
    <xf numFmtId="179" fontId="0" fillId="0" borderId="38" xfId="4" applyNumberFormat="1" applyFont="1" applyBorder="1" applyAlignment="1">
      <alignment horizontal="center"/>
    </xf>
    <xf numFmtId="179" fontId="0" fillId="0" borderId="34" xfId="4" applyNumberFormat="1" applyFont="1" applyBorder="1" applyAlignment="1">
      <alignment horizontal="center"/>
    </xf>
    <xf numFmtId="179" fontId="15" fillId="13" borderId="0" xfId="0" applyNumberFormat="1" applyFont="1" applyFill="1" applyAlignment="1">
      <alignment horizontal="center"/>
    </xf>
    <xf numFmtId="179" fontId="7" fillId="0" borderId="0" xfId="0" applyNumberFormat="1" applyFont="1"/>
    <xf numFmtId="179" fontId="32" fillId="11" borderId="2" xfId="12" applyNumberFormat="1" applyFont="1" applyFill="1" applyBorder="1" applyAlignment="1">
      <alignment horizontal="center"/>
    </xf>
    <xf numFmtId="179" fontId="32" fillId="11" borderId="4" xfId="12" applyNumberFormat="1" applyFont="1" applyFill="1" applyBorder="1" applyAlignment="1">
      <alignment horizontal="center"/>
    </xf>
    <xf numFmtId="179" fontId="31" fillId="11" borderId="4" xfId="12" applyNumberFormat="1" applyFont="1" applyFill="1" applyBorder="1" applyAlignment="1">
      <alignment horizontal="center"/>
    </xf>
    <xf numFmtId="179" fontId="0" fillId="5" borderId="22" xfId="0" quotePrefix="1" applyNumberFormat="1" applyFill="1" applyBorder="1" applyAlignment="1">
      <alignment horizontal="center"/>
    </xf>
    <xf numFmtId="179" fontId="0" fillId="5" borderId="22" xfId="4" quotePrefix="1" applyNumberFormat="1" applyFont="1" applyFill="1" applyBorder="1" applyAlignment="1">
      <alignment horizontal="center"/>
    </xf>
    <xf numFmtId="179" fontId="0" fillId="5" borderId="22" xfId="0" applyNumberFormat="1" applyFill="1" applyBorder="1" applyAlignment="1">
      <alignment horizontal="center"/>
    </xf>
    <xf numFmtId="179" fontId="0" fillId="5" borderId="22" xfId="4" applyNumberFormat="1" applyFont="1" applyFill="1" applyBorder="1" applyAlignment="1">
      <alignment horizontal="center"/>
    </xf>
    <xf numFmtId="179" fontId="0" fillId="23" borderId="22" xfId="0" applyNumberFormat="1" applyFill="1" applyBorder="1"/>
    <xf numFmtId="179" fontId="0" fillId="23" borderId="22" xfId="4" applyNumberFormat="1" applyFont="1" applyFill="1" applyBorder="1"/>
    <xf numFmtId="179" fontId="15" fillId="23" borderId="22" xfId="4" applyNumberFormat="1" applyFont="1" applyFill="1" applyBorder="1"/>
    <xf numFmtId="179" fontId="0" fillId="16" borderId="22" xfId="4" applyNumberFormat="1" applyFont="1" applyFill="1" applyBorder="1"/>
    <xf numFmtId="179" fontId="0" fillId="24" borderId="22" xfId="0" applyNumberFormat="1" applyFill="1" applyBorder="1" applyAlignment="1">
      <alignment vertical="center"/>
    </xf>
    <xf numFmtId="179" fontId="15" fillId="0" borderId="0" xfId="0" applyNumberFormat="1" applyFont="1"/>
    <xf numFmtId="179" fontId="0" fillId="0" borderId="0" xfId="4" applyNumberFormat="1" applyFont="1" applyAlignment="1">
      <alignment horizontal="center" vertical="center" wrapText="1"/>
    </xf>
    <xf numFmtId="179" fontId="0" fillId="0" borderId="21" xfId="0" applyNumberFormat="1" applyBorder="1" applyAlignment="1">
      <alignment horizontal="center" vertical="center" wrapText="1"/>
    </xf>
    <xf numFmtId="179" fontId="0" fillId="0" borderId="0" xfId="0" applyNumberFormat="1" applyAlignment="1">
      <alignment horizontal="center" vertical="center" wrapText="1"/>
    </xf>
    <xf numFmtId="179" fontId="46" fillId="0" borderId="0" xfId="0" applyNumberFormat="1" applyFont="1" applyAlignment="1">
      <alignment horizontal="center" vertical="center"/>
    </xf>
    <xf numFmtId="179" fontId="0" fillId="0" borderId="21" xfId="0" applyNumberFormat="1" applyBorder="1"/>
    <xf numFmtId="179" fontId="15" fillId="23" borderId="22" xfId="0" applyNumberFormat="1" applyFont="1" applyFill="1" applyBorder="1"/>
    <xf numFmtId="179" fontId="0" fillId="14" borderId="22" xfId="4" applyNumberFormat="1" applyFont="1" applyFill="1" applyBorder="1"/>
    <xf numFmtId="179" fontId="0" fillId="14" borderId="22" xfId="0" applyNumberFormat="1" applyFill="1" applyBorder="1"/>
    <xf numFmtId="179" fontId="6" fillId="14" borderId="22" xfId="0" applyNumberFormat="1" applyFont="1" applyFill="1" applyBorder="1"/>
    <xf numFmtId="179" fontId="0" fillId="16" borderId="22" xfId="0" applyNumberFormat="1" applyFill="1" applyBorder="1"/>
    <xf numFmtId="179" fontId="0" fillId="22" borderId="22" xfId="4" applyNumberFormat="1" applyFont="1" applyFill="1" applyBorder="1"/>
    <xf numFmtId="179" fontId="0" fillId="22" borderId="22" xfId="0" applyNumberFormat="1" applyFill="1" applyBorder="1"/>
    <xf numFmtId="179" fontId="0" fillId="24" borderId="22" xfId="4" applyNumberFormat="1" applyFont="1" applyFill="1" applyBorder="1" applyAlignment="1">
      <alignment vertical="center"/>
    </xf>
    <xf numFmtId="179" fontId="0" fillId="25" borderId="22" xfId="4" applyNumberFormat="1" applyFont="1" applyFill="1" applyBorder="1"/>
    <xf numFmtId="179" fontId="0" fillId="25" borderId="22" xfId="0" applyNumberFormat="1" applyFill="1" applyBorder="1"/>
    <xf numFmtId="179" fontId="0" fillId="0" borderId="41" xfId="0" applyNumberFormat="1" applyBorder="1"/>
    <xf numFmtId="179" fontId="0" fillId="23" borderId="22" xfId="0" applyNumberFormat="1" applyFill="1" applyBorder="1" applyAlignment="1">
      <alignment vertical="center"/>
    </xf>
    <xf numFmtId="179" fontId="6" fillId="14" borderId="22" xfId="4" applyNumberFormat="1" applyFont="1" applyFill="1" applyBorder="1"/>
    <xf numFmtId="179" fontId="0" fillId="23" borderId="22" xfId="4" applyNumberFormat="1" applyFont="1" applyFill="1" applyBorder="1" applyAlignment="1">
      <alignment vertical="center"/>
    </xf>
    <xf numFmtId="179" fontId="0" fillId="16" borderId="22" xfId="0" applyNumberFormat="1" applyFill="1" applyBorder="1" applyAlignment="1">
      <alignment vertical="center"/>
    </xf>
    <xf numFmtId="179" fontId="0" fillId="16" borderId="22" xfId="4" applyNumberFormat="1" applyFont="1" applyFill="1" applyBorder="1" applyAlignment="1">
      <alignment vertical="center"/>
    </xf>
    <xf numFmtId="179" fontId="0" fillId="22" borderId="22" xfId="0" applyNumberFormat="1" applyFill="1" applyBorder="1" applyAlignment="1">
      <alignment vertical="center"/>
    </xf>
    <xf numFmtId="179" fontId="0" fillId="22" borderId="22" xfId="4" applyNumberFormat="1" applyFont="1" applyFill="1" applyBorder="1" applyAlignment="1">
      <alignment vertical="center"/>
    </xf>
    <xf numFmtId="179" fontId="2" fillId="11" borderId="0" xfId="0" applyNumberFormat="1" applyFont="1" applyFill="1" applyAlignment="1">
      <alignment horizontal="center"/>
    </xf>
    <xf numFmtId="179" fontId="22" fillId="11" borderId="0" xfId="0" applyNumberFormat="1" applyFont="1" applyFill="1" applyAlignment="1">
      <alignment horizontal="center"/>
    </xf>
    <xf numFmtId="179" fontId="2" fillId="11" borderId="0" xfId="1" applyNumberFormat="1" applyFont="1" applyFill="1" applyAlignment="1">
      <alignment horizontal="center"/>
    </xf>
    <xf numFmtId="179" fontId="22" fillId="11" borderId="0" xfId="4" applyNumberFormat="1" applyFont="1" applyFill="1" applyAlignment="1">
      <alignment horizontal="center"/>
    </xf>
    <xf numFmtId="179" fontId="22" fillId="11" borderId="0" xfId="1" applyNumberFormat="1" applyFont="1" applyFill="1" applyAlignment="1">
      <alignment horizontal="center"/>
    </xf>
    <xf numFmtId="0" fontId="0" fillId="0" borderId="36" xfId="0" applyBorder="1"/>
    <xf numFmtId="179" fontId="0" fillId="14" borderId="36" xfId="12" applyNumberFormat="1" applyFont="1" applyFill="1" applyBorder="1"/>
    <xf numFmtId="179" fontId="0" fillId="0" borderId="36" xfId="12" applyNumberFormat="1" applyFont="1" applyBorder="1"/>
    <xf numFmtId="179" fontId="0" fillId="0" borderId="32" xfId="12" applyNumberFormat="1" applyFont="1" applyBorder="1"/>
    <xf numFmtId="179" fontId="0" fillId="14" borderId="0" xfId="12" applyNumberFormat="1" applyFont="1" applyFill="1" applyBorder="1"/>
    <xf numFmtId="179" fontId="0" fillId="0" borderId="0" xfId="12" applyNumberFormat="1" applyFont="1" applyBorder="1"/>
    <xf numFmtId="179" fontId="0" fillId="0" borderId="38" xfId="12" applyNumberFormat="1" applyFont="1" applyBorder="1"/>
    <xf numFmtId="0" fontId="0" fillId="0" borderId="39" xfId="0" applyBorder="1"/>
    <xf numFmtId="179" fontId="0" fillId="14" borderId="39" xfId="12" applyNumberFormat="1" applyFont="1" applyFill="1" applyBorder="1"/>
    <xf numFmtId="179" fontId="0" fillId="0" borderId="39" xfId="12" applyNumberFormat="1" applyFont="1" applyBorder="1"/>
    <xf numFmtId="179" fontId="0" fillId="0" borderId="34" xfId="12" applyNumberFormat="1" applyFont="1" applyBorder="1"/>
    <xf numFmtId="0" fontId="0" fillId="22" borderId="22" xfId="0" applyFill="1" applyBorder="1" applyAlignment="1">
      <alignment horizontal="left"/>
    </xf>
    <xf numFmtId="0" fontId="0" fillId="23" borderId="22" xfId="0" applyFill="1" applyBorder="1" applyAlignment="1">
      <alignment horizontal="left" vertical="center"/>
    </xf>
    <xf numFmtId="0" fontId="0" fillId="24" borderId="22" xfId="0" applyFill="1" applyBorder="1" applyAlignment="1">
      <alignment horizontal="left" vertical="center"/>
    </xf>
    <xf numFmtId="0" fontId="0" fillId="16" borderId="22" xfId="0" applyFill="1" applyBorder="1" applyAlignment="1">
      <alignment horizontal="left"/>
    </xf>
    <xf numFmtId="0" fontId="15" fillId="14" borderId="22" xfId="0" applyFont="1" applyFill="1" applyBorder="1" applyAlignment="1">
      <alignment horizontal="left"/>
    </xf>
    <xf numFmtId="0" fontId="6" fillId="14" borderId="22" xfId="0" applyFont="1" applyFill="1" applyBorder="1" applyAlignment="1">
      <alignment horizontal="left"/>
    </xf>
    <xf numFmtId="0" fontId="0" fillId="25" borderId="22" xfId="0" applyFill="1" applyBorder="1" applyAlignment="1">
      <alignment horizontal="left"/>
    </xf>
    <xf numFmtId="0" fontId="0" fillId="23" borderId="22" xfId="0" applyFill="1" applyBorder="1" applyAlignment="1">
      <alignment horizontal="left"/>
    </xf>
    <xf numFmtId="0" fontId="15" fillId="23" borderId="22" xfId="0" applyFont="1" applyFill="1" applyBorder="1" applyAlignment="1">
      <alignment horizontal="left"/>
    </xf>
    <xf numFmtId="1" fontId="0" fillId="22" borderId="22" xfId="0" applyNumberFormat="1" applyFill="1" applyBorder="1"/>
    <xf numFmtId="1" fontId="0" fillId="22" borderId="22" xfId="1" applyNumberFormat="1" applyFont="1" applyFill="1" applyBorder="1"/>
    <xf numFmtId="0" fontId="19" fillId="2" borderId="0" xfId="0" applyFont="1" applyFill="1" applyAlignment="1">
      <alignment horizontal="center" vertical="center"/>
    </xf>
    <xf numFmtId="164" fontId="0" fillId="3" borderId="20" xfId="1" applyNumberFormat="1" applyFont="1" applyFill="1" applyBorder="1" applyAlignment="1">
      <alignment horizontal="center"/>
    </xf>
    <xf numFmtId="0" fontId="14" fillId="9" borderId="16" xfId="0" applyFont="1" applyFill="1" applyBorder="1" applyAlignment="1">
      <alignment horizontal="center"/>
    </xf>
    <xf numFmtId="0" fontId="14" fillId="9" borderId="17" xfId="0" applyFont="1" applyFill="1" applyBorder="1" applyAlignment="1">
      <alignment horizontal="center"/>
    </xf>
    <xf numFmtId="0" fontId="14" fillId="9" borderId="15" xfId="0" applyFont="1" applyFill="1" applyBorder="1" applyAlignment="1">
      <alignment horizontal="center"/>
    </xf>
    <xf numFmtId="164" fontId="15" fillId="4" borderId="16" xfId="0" applyNumberFormat="1" applyFont="1" applyFill="1" applyBorder="1" applyAlignment="1">
      <alignment horizontal="center"/>
    </xf>
    <xf numFmtId="164" fontId="15" fillId="4" borderId="17" xfId="0" applyNumberFormat="1" applyFont="1" applyFill="1" applyBorder="1" applyAlignment="1">
      <alignment horizontal="center"/>
    </xf>
    <xf numFmtId="0" fontId="15" fillId="4" borderId="16" xfId="0" applyFont="1" applyFill="1" applyBorder="1" applyAlignment="1">
      <alignment horizontal="center"/>
    </xf>
    <xf numFmtId="0" fontId="15" fillId="4" borderId="17" xfId="0" applyFont="1" applyFill="1" applyBorder="1" applyAlignment="1">
      <alignment horizontal="center"/>
    </xf>
    <xf numFmtId="2" fontId="0" fillId="0" borderId="17" xfId="1" applyNumberFormat="1" applyFont="1" applyBorder="1" applyAlignment="1">
      <alignment horizontal="center"/>
    </xf>
    <xf numFmtId="0" fontId="11" fillId="3" borderId="0" xfId="0" applyFont="1" applyFill="1" applyAlignment="1">
      <alignment horizontal="center" vertical="center" wrapText="1"/>
    </xf>
    <xf numFmtId="0" fontId="12" fillId="2" borderId="0" xfId="0" applyFont="1" applyFill="1" applyAlignment="1">
      <alignment horizontal="center" vertical="center"/>
    </xf>
    <xf numFmtId="0" fontId="7" fillId="9" borderId="16" xfId="0" applyFont="1" applyFill="1" applyBorder="1" applyAlignment="1">
      <alignment horizontal="center"/>
    </xf>
    <xf numFmtId="0" fontId="7" fillId="9" borderId="17" xfId="0" applyFont="1" applyFill="1" applyBorder="1" applyAlignment="1">
      <alignment horizontal="center"/>
    </xf>
    <xf numFmtId="0" fontId="7" fillId="9" borderId="15" xfId="0" applyFont="1" applyFill="1" applyBorder="1" applyAlignment="1">
      <alignment horizontal="center"/>
    </xf>
    <xf numFmtId="0" fontId="0" fillId="4" borderId="16" xfId="0" applyFill="1" applyBorder="1" applyAlignment="1">
      <alignment horizontal="center"/>
    </xf>
    <xf numFmtId="0" fontId="0" fillId="4" borderId="17" xfId="0" applyFill="1" applyBorder="1" applyAlignment="1">
      <alignment horizontal="center"/>
    </xf>
    <xf numFmtId="0" fontId="0" fillId="4" borderId="15" xfId="0" applyFill="1" applyBorder="1" applyAlignment="1">
      <alignment horizontal="center"/>
    </xf>
    <xf numFmtId="10" fontId="0" fillId="4" borderId="16" xfId="0" applyNumberFormat="1" applyFill="1" applyBorder="1" applyAlignment="1">
      <alignment horizontal="center"/>
    </xf>
    <xf numFmtId="10" fontId="0" fillId="4" borderId="17" xfId="0" applyNumberFormat="1" applyFill="1" applyBorder="1" applyAlignment="1">
      <alignment horizontal="center"/>
    </xf>
    <xf numFmtId="10" fontId="0" fillId="4" borderId="15" xfId="0" applyNumberFormat="1" applyFill="1" applyBorder="1" applyAlignment="1">
      <alignment horizontal="center"/>
    </xf>
    <xf numFmtId="10" fontId="31" fillId="3" borderId="4" xfId="0" applyNumberFormat="1" applyFont="1" applyFill="1" applyBorder="1" applyAlignment="1">
      <alignment horizontal="center" vertical="center" wrapText="1"/>
    </xf>
    <xf numFmtId="0" fontId="32" fillId="11" borderId="2" xfId="0" applyFont="1" applyFill="1" applyBorder="1" applyAlignment="1">
      <alignment horizontal="center" vertical="center"/>
    </xf>
    <xf numFmtId="164" fontId="50" fillId="11" borderId="2" xfId="12" applyNumberFormat="1" applyFont="1" applyFill="1" applyBorder="1" applyAlignment="1">
      <alignment horizontal="center" vertical="center"/>
    </xf>
    <xf numFmtId="164" fontId="50" fillId="11" borderId="0" xfId="12" applyNumberFormat="1" applyFont="1" applyFill="1" applyBorder="1" applyAlignment="1">
      <alignment horizontal="center" vertical="center"/>
    </xf>
    <xf numFmtId="164" fontId="50" fillId="11" borderId="4" xfId="12" applyNumberFormat="1" applyFont="1" applyFill="1" applyBorder="1" applyAlignment="1">
      <alignment horizontal="center" vertical="center"/>
    </xf>
    <xf numFmtId="0" fontId="32" fillId="11" borderId="4" xfId="0" applyFont="1" applyFill="1" applyBorder="1" applyAlignment="1">
      <alignment horizontal="center" vertical="center"/>
    </xf>
    <xf numFmtId="0" fontId="31" fillId="11" borderId="4" xfId="0" applyFont="1" applyFill="1" applyBorder="1" applyAlignment="1">
      <alignment horizontal="center" vertical="center"/>
    </xf>
    <xf numFmtId="0" fontId="7" fillId="0" borderId="2" xfId="0" applyFont="1" applyBorder="1" applyAlignment="1">
      <alignment horizontal="center"/>
    </xf>
    <xf numFmtId="0" fontId="31" fillId="11" borderId="26" xfId="0" applyFont="1" applyFill="1" applyBorder="1" applyAlignment="1">
      <alignment horizontal="center" vertical="center"/>
    </xf>
    <xf numFmtId="0" fontId="0" fillId="0" borderId="0" xfId="0" applyAlignment="1">
      <alignment horizontal="center"/>
    </xf>
    <xf numFmtId="0" fontId="40" fillId="0" borderId="0" xfId="0" applyFont="1" applyAlignment="1">
      <alignment horizontal="center"/>
    </xf>
    <xf numFmtId="0" fontId="47" fillId="0" borderId="26" xfId="0" applyFont="1" applyBorder="1" applyAlignment="1">
      <alignment horizontal="center"/>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18" fillId="0" borderId="22" xfId="0" applyFont="1" applyBorder="1" applyAlignment="1">
      <alignment horizontal="center"/>
    </xf>
    <xf numFmtId="0" fontId="15" fillId="12" borderId="9" xfId="0" applyFont="1" applyFill="1" applyBorder="1" applyAlignment="1">
      <alignment horizontal="center" vertical="center" wrapText="1"/>
    </xf>
    <xf numFmtId="0" fontId="5" fillId="12" borderId="10" xfId="0" applyFont="1" applyFill="1" applyBorder="1" applyAlignment="1">
      <alignment horizontal="center" vertical="center"/>
    </xf>
    <xf numFmtId="0" fontId="5" fillId="12" borderId="11" xfId="0" applyFont="1" applyFill="1" applyBorder="1" applyAlignment="1">
      <alignment horizontal="center" vertical="center"/>
    </xf>
    <xf numFmtId="0" fontId="5" fillId="12" borderId="0" xfId="0" applyFont="1" applyFill="1" applyAlignment="1">
      <alignment horizontal="center" vertical="center"/>
    </xf>
    <xf numFmtId="0" fontId="5" fillId="12" borderId="12" xfId="0" applyFont="1" applyFill="1" applyBorder="1" applyAlignment="1">
      <alignment horizontal="center" vertical="center"/>
    </xf>
    <xf numFmtId="0" fontId="5" fillId="12" borderId="13" xfId="0" applyFont="1" applyFill="1" applyBorder="1" applyAlignment="1">
      <alignment horizontal="center" vertical="center"/>
    </xf>
    <xf numFmtId="0" fontId="0" fillId="23" borderId="22" xfId="0" applyFill="1" applyBorder="1" applyAlignment="1">
      <alignment horizontal="center" vertical="center"/>
    </xf>
    <xf numFmtId="0" fontId="0" fillId="22" borderId="28" xfId="0" applyFill="1" applyBorder="1" applyAlignment="1">
      <alignment horizontal="center" vertical="center"/>
    </xf>
    <xf numFmtId="0" fontId="0" fillId="22" borderId="29" xfId="0" applyFill="1" applyBorder="1" applyAlignment="1">
      <alignment horizontal="center" vertical="center"/>
    </xf>
    <xf numFmtId="0" fontId="0" fillId="22" borderId="30" xfId="0" applyFill="1" applyBorder="1" applyAlignment="1">
      <alignment horizontal="center" vertical="center"/>
    </xf>
    <xf numFmtId="0" fontId="0" fillId="24" borderId="28" xfId="0" applyFill="1" applyBorder="1" applyAlignment="1">
      <alignment horizontal="center" vertical="center"/>
    </xf>
    <xf numFmtId="0" fontId="0" fillId="24" borderId="30" xfId="0" applyFill="1" applyBorder="1" applyAlignment="1">
      <alignment horizontal="center" vertical="center"/>
    </xf>
    <xf numFmtId="0" fontId="0" fillId="14" borderId="22" xfId="0" applyFill="1" applyBorder="1" applyAlignment="1">
      <alignment horizontal="center" vertical="center"/>
    </xf>
    <xf numFmtId="0" fontId="0" fillId="22" borderId="22" xfId="0" applyFill="1" applyBorder="1" applyAlignment="1">
      <alignment horizontal="center"/>
    </xf>
    <xf numFmtId="0" fontId="0" fillId="16" borderId="22" xfId="0" applyFill="1" applyBorder="1" applyAlignment="1">
      <alignment horizontal="center"/>
    </xf>
    <xf numFmtId="0" fontId="0" fillId="16" borderId="28" xfId="0" applyFill="1" applyBorder="1" applyAlignment="1">
      <alignment horizontal="center" vertical="center"/>
    </xf>
    <xf numFmtId="0" fontId="0" fillId="16" borderId="30" xfId="0" applyFill="1" applyBorder="1" applyAlignment="1">
      <alignment horizontal="center" vertical="center"/>
    </xf>
    <xf numFmtId="0" fontId="9" fillId="2" borderId="22" xfId="0" applyFont="1" applyFill="1" applyBorder="1" applyAlignment="1">
      <alignment horizontal="center" vertical="center"/>
    </xf>
    <xf numFmtId="0" fontId="41" fillId="0" borderId="22" xfId="0" applyFont="1" applyBorder="1" applyAlignment="1">
      <alignment horizontal="center"/>
    </xf>
    <xf numFmtId="0" fontId="7" fillId="16" borderId="0" xfId="0" applyFont="1" applyFill="1" applyAlignment="1">
      <alignment horizont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3" borderId="30" xfId="0" applyNumberFormat="1" applyFont="1" applyFill="1" applyBorder="1" applyAlignment="1">
      <alignment horizontal="center" vertical="center"/>
    </xf>
    <xf numFmtId="0" fontId="0" fillId="15" borderId="1" xfId="0" applyFill="1" applyBorder="1" applyAlignment="1">
      <alignment horizontal="center" vertical="center" wrapText="1"/>
    </xf>
    <xf numFmtId="0" fontId="0" fillId="15" borderId="2" xfId="0" applyFill="1" applyBorder="1" applyAlignment="1">
      <alignment horizontal="center" vertical="center" wrapText="1"/>
    </xf>
    <xf numFmtId="0" fontId="7" fillId="3" borderId="25" xfId="0" applyFont="1" applyFill="1" applyBorder="1" applyAlignment="1">
      <alignment horizontal="center"/>
    </xf>
    <xf numFmtId="0" fontId="7" fillId="3" borderId="26" xfId="0" applyFont="1" applyFill="1" applyBorder="1" applyAlignment="1">
      <alignment horizontal="center"/>
    </xf>
    <xf numFmtId="0" fontId="7" fillId="3" borderId="27" xfId="0" applyFont="1" applyFill="1" applyBorder="1" applyAlignment="1">
      <alignment horizontal="center"/>
    </xf>
    <xf numFmtId="0" fontId="7" fillId="14" borderId="1" xfId="0" applyFont="1" applyFill="1" applyBorder="1" applyAlignment="1">
      <alignment horizontal="center" vertical="center" wrapText="1"/>
    </xf>
    <xf numFmtId="0" fontId="7" fillId="14" borderId="6" xfId="0" applyFont="1" applyFill="1" applyBorder="1" applyAlignment="1">
      <alignment horizontal="center" vertical="center" wrapText="1"/>
    </xf>
    <xf numFmtId="0" fontId="7" fillId="14" borderId="5" xfId="0" applyFont="1" applyFill="1" applyBorder="1" applyAlignment="1">
      <alignment horizontal="center" vertical="center" wrapText="1"/>
    </xf>
    <xf numFmtId="0" fontId="7" fillId="14" borderId="7" xfId="0" applyFont="1" applyFill="1" applyBorder="1" applyAlignment="1">
      <alignment horizontal="center" vertical="center" wrapText="1"/>
    </xf>
    <xf numFmtId="0" fontId="28" fillId="3" borderId="0" xfId="2" applyFill="1" applyAlignment="1">
      <alignment horizontal="center" vertical="center"/>
    </xf>
    <xf numFmtId="0" fontId="29" fillId="3" borderId="0" xfId="0" applyFont="1" applyFill="1" applyAlignment="1">
      <alignment horizontal="center" vertical="center"/>
    </xf>
  </cellXfs>
  <cellStyles count="22">
    <cellStyle name="Hiperlink" xfId="2" builtinId="8"/>
    <cellStyle name="Moeda" xfId="4" builtinId="4"/>
    <cellStyle name="Moeda 2" xfId="18" xr:uid="{00000000-0005-0000-0000-000002000000}"/>
    <cellStyle name="Moeda 3" xfId="17" xr:uid="{00000000-0005-0000-0000-000003000000}"/>
    <cellStyle name="Normal" xfId="0" builtinId="0"/>
    <cellStyle name="Normal 16 2" xfId="6" xr:uid="{00000000-0005-0000-0000-000005000000}"/>
    <cellStyle name="Normal 2" xfId="7" xr:uid="{00000000-0005-0000-0000-000006000000}"/>
    <cellStyle name="Normal 2 2" xfId="16" xr:uid="{00000000-0005-0000-0000-000007000000}"/>
    <cellStyle name="Normal 3" xfId="5" xr:uid="{00000000-0005-0000-0000-000008000000}"/>
    <cellStyle name="Normal 5" xfId="14" xr:uid="{00000000-0005-0000-0000-000009000000}"/>
    <cellStyle name="Normal 6" xfId="8" xr:uid="{00000000-0005-0000-0000-00000A000000}"/>
    <cellStyle name="Normal_ATEND_TABUAS_COMPLETAS_DE_MORTALIDADE_AMBOS_OS_SEXOS_2007" xfId="3" xr:uid="{00000000-0005-0000-0000-00000B000000}"/>
    <cellStyle name="Nota 2" xfId="13" xr:uid="{00000000-0005-0000-0000-00000C000000}"/>
    <cellStyle name="Percent 2" xfId="9" xr:uid="{00000000-0005-0000-0000-00000D000000}"/>
    <cellStyle name="Porcentagem" xfId="1" builtinId="5"/>
    <cellStyle name="Porcentagem 2" xfId="10" xr:uid="{00000000-0005-0000-0000-00000F000000}"/>
    <cellStyle name="Vírgula" xfId="12" builtinId="3"/>
    <cellStyle name="Vírgula 2" xfId="11" xr:uid="{00000000-0005-0000-0000-000011000000}"/>
    <cellStyle name="Vírgula 2 2" xfId="19" xr:uid="{00000000-0005-0000-0000-000012000000}"/>
    <cellStyle name="Vírgula 3" xfId="20" xr:uid="{00000000-0005-0000-0000-000013000000}"/>
    <cellStyle name="Vírgula 4" xfId="15" xr:uid="{00000000-0005-0000-0000-000014000000}"/>
    <cellStyle name="Vírgula 4 2" xfId="21" xr:uid="{00000000-0005-0000-0000-000015000000}"/>
  </cellStyles>
  <dxfs count="5">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
      <fill>
        <patternFill>
          <bgColor theme="7" tint="0.39994506668294322"/>
        </patternFill>
      </fill>
    </dxf>
  </dxfs>
  <tableStyles count="0" defaultTableStyle="TableStyleMedium2" defaultPivotStyle="PivotStyleLight16"/>
  <colors>
    <mruColors>
      <color rgb="FFF796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3.xml"/></Relationships>
</file>

<file path=xl/charts/_rels/chart3.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4.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1200" b="1" i="0" u="none" strike="noStrike" kern="1200" baseline="0">
                <a:solidFill>
                  <a:sysClr val="windowText" lastClr="000000"/>
                </a:solidFill>
                <a:latin typeface="Arial" panose="020B0604020202020204" pitchFamily="34" charset="0"/>
                <a:cs typeface="Arial" panose="020B0604020202020204" pitchFamily="34" charset="0"/>
              </a:rPr>
              <a:t>Multivariate probabilistic analysis (ACE)</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2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pt-BR"/>
        </a:p>
      </c:txPr>
    </c:title>
    <c:autoTitleDeleted val="0"/>
    <c:plotArea>
      <c:layout/>
      <c:scatterChart>
        <c:scatterStyle val="lineMarker"/>
        <c:varyColors val="0"/>
        <c:ser>
          <c:idx val="0"/>
          <c:order val="0"/>
          <c:tx>
            <c:v>Tomossíntese versus Mamografia</c:v>
          </c:tx>
          <c:spPr>
            <a:ln w="25400" cap="rnd">
              <a:noFill/>
              <a:round/>
            </a:ln>
            <a:effectLst/>
          </c:spPr>
          <c:marker>
            <c:symbol val="circle"/>
            <c:size val="8"/>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rgbClr val="0070C0"/>
                </a:solidFill>
                <a:round/>
              </a:ln>
              <a:effectLst/>
            </c:spPr>
          </c:marker>
          <c:xVal>
            <c:numRef>
              <c:f>CEASimulation!$H$11:$H$1010</c:f>
              <c:numCache>
                <c:formatCode>0</c:formatCode>
                <c:ptCount val="1000"/>
                <c:pt idx="0">
                  <c:v>5.9980369602212651</c:v>
                </c:pt>
                <c:pt idx="1">
                  <c:v>4.6709402228269745</c:v>
                </c:pt>
                <c:pt idx="2">
                  <c:v>5.7279997855254319</c:v>
                </c:pt>
                <c:pt idx="3">
                  <c:v>5.6119407773836105</c:v>
                </c:pt>
                <c:pt idx="4">
                  <c:v>5.3457611594472016</c:v>
                </c:pt>
                <c:pt idx="5">
                  <c:v>5.4980969482635036</c:v>
                </c:pt>
                <c:pt idx="6">
                  <c:v>5.336086459895931</c:v>
                </c:pt>
                <c:pt idx="7">
                  <c:v>4.392859554661884</c:v>
                </c:pt>
                <c:pt idx="8">
                  <c:v>5.9242415422951051</c:v>
                </c:pt>
                <c:pt idx="9">
                  <c:v>4.8796924398829606</c:v>
                </c:pt>
                <c:pt idx="10">
                  <c:v>5.8632337453424626</c:v>
                </c:pt>
                <c:pt idx="11">
                  <c:v>4.8160443561379758</c:v>
                </c:pt>
                <c:pt idx="12">
                  <c:v>4.9769816425701112</c:v>
                </c:pt>
                <c:pt idx="13">
                  <c:v>4.8821626162341705</c:v>
                </c:pt>
                <c:pt idx="14">
                  <c:v>5.281760868677674</c:v>
                </c:pt>
                <c:pt idx="15">
                  <c:v>3.8917189059482968</c:v>
                </c:pt>
                <c:pt idx="16">
                  <c:v>4.8733033526776559</c:v>
                </c:pt>
                <c:pt idx="17">
                  <c:v>4.4619966080699083</c:v>
                </c:pt>
                <c:pt idx="18">
                  <c:v>5.151091909208688</c:v>
                </c:pt>
                <c:pt idx="19">
                  <c:v>6.461120978482926</c:v>
                </c:pt>
                <c:pt idx="20">
                  <c:v>6.4336636995010483</c:v>
                </c:pt>
                <c:pt idx="21">
                  <c:v>4.56516569807442</c:v>
                </c:pt>
                <c:pt idx="22">
                  <c:v>5.6735917388606101</c:v>
                </c:pt>
                <c:pt idx="23">
                  <c:v>5.5478304976289756</c:v>
                </c:pt>
                <c:pt idx="24">
                  <c:v>4.0134438258140825</c:v>
                </c:pt>
                <c:pt idx="25">
                  <c:v>5.5786819865165107</c:v>
                </c:pt>
                <c:pt idx="26">
                  <c:v>4.8272642661917793</c:v>
                </c:pt>
                <c:pt idx="27">
                  <c:v>4.5267988258257379</c:v>
                </c:pt>
                <c:pt idx="28">
                  <c:v>4.0591296057891721</c:v>
                </c:pt>
                <c:pt idx="29">
                  <c:v>5.0930586331954721</c:v>
                </c:pt>
                <c:pt idx="30">
                  <c:v>5.0542204080948387</c:v>
                </c:pt>
                <c:pt idx="31">
                  <c:v>4.0490884940453409</c:v>
                </c:pt>
                <c:pt idx="32">
                  <c:v>5.8539721269277738</c:v>
                </c:pt>
                <c:pt idx="33">
                  <c:v>5.5277956224805109</c:v>
                </c:pt>
                <c:pt idx="34">
                  <c:v>6.7227172277519358</c:v>
                </c:pt>
                <c:pt idx="35">
                  <c:v>4.8475971361353665</c:v>
                </c:pt>
                <c:pt idx="36">
                  <c:v>4.5755457993680615</c:v>
                </c:pt>
                <c:pt idx="37">
                  <c:v>5.4117741657758067</c:v>
                </c:pt>
                <c:pt idx="38">
                  <c:v>5.3523371411084923</c:v>
                </c:pt>
                <c:pt idx="39">
                  <c:v>4.6715761111380303</c:v>
                </c:pt>
                <c:pt idx="40">
                  <c:v>4.8191814422515673</c:v>
                </c:pt>
                <c:pt idx="41">
                  <c:v>5.2917590575507774</c:v>
                </c:pt>
                <c:pt idx="42">
                  <c:v>5.1128737111786986</c:v>
                </c:pt>
                <c:pt idx="43">
                  <c:v>5.0112259044438741</c:v>
                </c:pt>
                <c:pt idx="44">
                  <c:v>4.3543272605561629</c:v>
                </c:pt>
                <c:pt idx="45">
                  <c:v>5.943782631833038</c:v>
                </c:pt>
                <c:pt idx="46">
                  <c:v>4.2337515313128478</c:v>
                </c:pt>
                <c:pt idx="47">
                  <c:v>5.6610872091517397</c:v>
                </c:pt>
                <c:pt idx="48">
                  <c:v>5.4753886283815838</c:v>
                </c:pt>
                <c:pt idx="49">
                  <c:v>5.9595450378684198</c:v>
                </c:pt>
                <c:pt idx="50">
                  <c:v>4.5302946593277866</c:v>
                </c:pt>
                <c:pt idx="51">
                  <c:v>5.4793741875943418</c:v>
                </c:pt>
                <c:pt idx="52">
                  <c:v>5.4232025865892535</c:v>
                </c:pt>
                <c:pt idx="53">
                  <c:v>5.4552460913493341</c:v>
                </c:pt>
                <c:pt idx="54">
                  <c:v>5.1471090653473404</c:v>
                </c:pt>
                <c:pt idx="55">
                  <c:v>4.7678112836979913</c:v>
                </c:pt>
                <c:pt idx="56">
                  <c:v>5.2897593126338815</c:v>
                </c:pt>
                <c:pt idx="57">
                  <c:v>5.7021547088936124</c:v>
                </c:pt>
                <c:pt idx="58">
                  <c:v>5.0956049333900868</c:v>
                </c:pt>
                <c:pt idx="59">
                  <c:v>4.2327989792392131</c:v>
                </c:pt>
                <c:pt idx="60">
                  <c:v>5.5440863410398649</c:v>
                </c:pt>
                <c:pt idx="61">
                  <c:v>3.5015301806871726</c:v>
                </c:pt>
                <c:pt idx="62">
                  <c:v>4.8334419065982619</c:v>
                </c:pt>
                <c:pt idx="63">
                  <c:v>5.5026956931389783</c:v>
                </c:pt>
                <c:pt idx="64">
                  <c:v>4.8378369392893372</c:v>
                </c:pt>
                <c:pt idx="65">
                  <c:v>5.8803557534930562</c:v>
                </c:pt>
                <c:pt idx="66">
                  <c:v>4.5516652748002269</c:v>
                </c:pt>
                <c:pt idx="67">
                  <c:v>5.193209171731489</c:v>
                </c:pt>
                <c:pt idx="68">
                  <c:v>4.4801647632193742</c:v>
                </c:pt>
                <c:pt idx="69">
                  <c:v>4.3830488496795361</c:v>
                </c:pt>
                <c:pt idx="70">
                  <c:v>5.3991481577340075</c:v>
                </c:pt>
                <c:pt idx="71">
                  <c:v>5.2332344113884943</c:v>
                </c:pt>
                <c:pt idx="72">
                  <c:v>4.9605506973899054</c:v>
                </c:pt>
                <c:pt idx="73">
                  <c:v>5.9003039107592254</c:v>
                </c:pt>
                <c:pt idx="74">
                  <c:v>5.7983500158008301</c:v>
                </c:pt>
                <c:pt idx="75">
                  <c:v>4.4717239008765741</c:v>
                </c:pt>
                <c:pt idx="76">
                  <c:v>4.7069661017119504</c:v>
                </c:pt>
                <c:pt idx="77">
                  <c:v>5.8388328949199266</c:v>
                </c:pt>
                <c:pt idx="78">
                  <c:v>5.3586546480152908</c:v>
                </c:pt>
                <c:pt idx="79">
                  <c:v>4.1825381668824981</c:v>
                </c:pt>
                <c:pt idx="80">
                  <c:v>4.6904884879750615</c:v>
                </c:pt>
                <c:pt idx="81">
                  <c:v>5.7575049973677981</c:v>
                </c:pt>
                <c:pt idx="82">
                  <c:v>5.6183039662872964</c:v>
                </c:pt>
                <c:pt idx="83">
                  <c:v>5.2728617462622083</c:v>
                </c:pt>
                <c:pt idx="84">
                  <c:v>4.4375618857486199</c:v>
                </c:pt>
                <c:pt idx="85">
                  <c:v>5.2303640074724935</c:v>
                </c:pt>
                <c:pt idx="86">
                  <c:v>5.217434465486777</c:v>
                </c:pt>
                <c:pt idx="87">
                  <c:v>6.4103877604444204</c:v>
                </c:pt>
                <c:pt idx="88">
                  <c:v>5.5056335570918584</c:v>
                </c:pt>
                <c:pt idx="89">
                  <c:v>4.1423108040280034</c:v>
                </c:pt>
                <c:pt idx="90">
                  <c:v>5.0543220391956236</c:v>
                </c:pt>
                <c:pt idx="91">
                  <c:v>4.7394407292886633</c:v>
                </c:pt>
                <c:pt idx="92">
                  <c:v>5.1236154352774204</c:v>
                </c:pt>
                <c:pt idx="93">
                  <c:v>6.1297911179582787</c:v>
                </c:pt>
                <c:pt idx="94">
                  <c:v>4.9807524955363949</c:v>
                </c:pt>
                <c:pt idx="95">
                  <c:v>5.4841706345029326</c:v>
                </c:pt>
                <c:pt idx="96">
                  <c:v>4.7515009459333086</c:v>
                </c:pt>
                <c:pt idx="97">
                  <c:v>4.9171243816761727</c:v>
                </c:pt>
                <c:pt idx="98">
                  <c:v>5.9327464828299803</c:v>
                </c:pt>
                <c:pt idx="99">
                  <c:v>4.9254648422231728</c:v>
                </c:pt>
                <c:pt idx="100">
                  <c:v>5.5211143698135139</c:v>
                </c:pt>
                <c:pt idx="101">
                  <c:v>4.7271649054259015</c:v>
                </c:pt>
                <c:pt idx="102">
                  <c:v>4.5018614736918003</c:v>
                </c:pt>
                <c:pt idx="103">
                  <c:v>5.0227595678766317</c:v>
                </c:pt>
                <c:pt idx="104">
                  <c:v>5.6494467268947179</c:v>
                </c:pt>
                <c:pt idx="105">
                  <c:v>5.4137705884003058</c:v>
                </c:pt>
                <c:pt idx="106">
                  <c:v>4.9687740827449431</c:v>
                </c:pt>
                <c:pt idx="107">
                  <c:v>5.5662401150853462</c:v>
                </c:pt>
                <c:pt idx="108">
                  <c:v>4.0248143800654148</c:v>
                </c:pt>
                <c:pt idx="109">
                  <c:v>4.0829504927700651</c:v>
                </c:pt>
                <c:pt idx="110">
                  <c:v>5.4517583401301799</c:v>
                </c:pt>
                <c:pt idx="111">
                  <c:v>4.9697880170983861</c:v>
                </c:pt>
                <c:pt idx="112">
                  <c:v>5.2790113454579775</c:v>
                </c:pt>
                <c:pt idx="113">
                  <c:v>4.7040345886424468</c:v>
                </c:pt>
                <c:pt idx="114">
                  <c:v>5.0991321347864211</c:v>
                </c:pt>
                <c:pt idx="115">
                  <c:v>4.5177889089781846</c:v>
                </c:pt>
                <c:pt idx="116">
                  <c:v>4.8516754399234383</c:v>
                </c:pt>
                <c:pt idx="117">
                  <c:v>5.8773185280515587</c:v>
                </c:pt>
                <c:pt idx="118">
                  <c:v>5.4704450103778353</c:v>
                </c:pt>
                <c:pt idx="119">
                  <c:v>5.1342893205029103</c:v>
                </c:pt>
                <c:pt idx="120">
                  <c:v>5.3445785648583435</c:v>
                </c:pt>
                <c:pt idx="121">
                  <c:v>6.5782773144096485</c:v>
                </c:pt>
                <c:pt idx="122">
                  <c:v>5.4934422277740236</c:v>
                </c:pt>
                <c:pt idx="123">
                  <c:v>4.5761403523060018</c:v>
                </c:pt>
                <c:pt idx="124">
                  <c:v>4.1551851131007229</c:v>
                </c:pt>
                <c:pt idx="125">
                  <c:v>6.322659352460331</c:v>
                </c:pt>
                <c:pt idx="126">
                  <c:v>5.3233834677565923</c:v>
                </c:pt>
                <c:pt idx="127">
                  <c:v>4.5824450394209908</c:v>
                </c:pt>
                <c:pt idx="128">
                  <c:v>5.742442030318422</c:v>
                </c:pt>
                <c:pt idx="129">
                  <c:v>5.8716280048805114</c:v>
                </c:pt>
                <c:pt idx="130">
                  <c:v>6.5171929590181925</c:v>
                </c:pt>
                <c:pt idx="131">
                  <c:v>5.7340718218911118</c:v>
                </c:pt>
                <c:pt idx="132">
                  <c:v>5.3668316707234425</c:v>
                </c:pt>
                <c:pt idx="133">
                  <c:v>5.4130508244711741</c:v>
                </c:pt>
                <c:pt idx="134">
                  <c:v>5.2759521111818906</c:v>
                </c:pt>
                <c:pt idx="135">
                  <c:v>4.8308281248787175</c:v>
                </c:pt>
                <c:pt idx="136">
                  <c:v>3.9732149247277757</c:v>
                </c:pt>
                <c:pt idx="137">
                  <c:v>3.6343783011458708</c:v>
                </c:pt>
                <c:pt idx="138">
                  <c:v>5.6955743334294056</c:v>
                </c:pt>
                <c:pt idx="139">
                  <c:v>5.1242642152008013</c:v>
                </c:pt>
                <c:pt idx="140">
                  <c:v>4.2787865488714356</c:v>
                </c:pt>
                <c:pt idx="141">
                  <c:v>4.4326837686301577</c:v>
                </c:pt>
                <c:pt idx="142">
                  <c:v>5.4962264114744084</c:v>
                </c:pt>
                <c:pt idx="143">
                  <c:v>6.3808089992002675</c:v>
                </c:pt>
                <c:pt idx="144">
                  <c:v>5.9795125316036977</c:v>
                </c:pt>
                <c:pt idx="145">
                  <c:v>5.4584616704398883</c:v>
                </c:pt>
                <c:pt idx="146">
                  <c:v>4.6737185119071025</c:v>
                </c:pt>
                <c:pt idx="147">
                  <c:v>5.1297025316330185</c:v>
                </c:pt>
                <c:pt idx="148">
                  <c:v>5.088150178162655</c:v>
                </c:pt>
                <c:pt idx="149">
                  <c:v>4.8346100639267267</c:v>
                </c:pt>
                <c:pt idx="150">
                  <c:v>5.6943731594922014</c:v>
                </c:pt>
                <c:pt idx="151">
                  <c:v>6.2440518314972842</c:v>
                </c:pt>
                <c:pt idx="152">
                  <c:v>5.327069526993542</c:v>
                </c:pt>
                <c:pt idx="153">
                  <c:v>4.0674873765026565</c:v>
                </c:pt>
                <c:pt idx="154">
                  <c:v>5.3049269133589583</c:v>
                </c:pt>
                <c:pt idx="155">
                  <c:v>5.6005952092497857</c:v>
                </c:pt>
                <c:pt idx="156">
                  <c:v>4.8039558244036655</c:v>
                </c:pt>
                <c:pt idx="157">
                  <c:v>5.8235154060933585</c:v>
                </c:pt>
                <c:pt idx="158">
                  <c:v>5.841928300662417</c:v>
                </c:pt>
                <c:pt idx="159">
                  <c:v>4.8919963093562071</c:v>
                </c:pt>
                <c:pt idx="160">
                  <c:v>3.9908515691602293</c:v>
                </c:pt>
                <c:pt idx="161">
                  <c:v>4.444260282481828</c:v>
                </c:pt>
                <c:pt idx="162">
                  <c:v>4.4851135998500968</c:v>
                </c:pt>
                <c:pt idx="163">
                  <c:v>5.0831920424611603</c:v>
                </c:pt>
                <c:pt idx="164">
                  <c:v>5.495184081214898</c:v>
                </c:pt>
                <c:pt idx="165">
                  <c:v>4.8756951306875838</c:v>
                </c:pt>
                <c:pt idx="166">
                  <c:v>5.4093709367320013</c:v>
                </c:pt>
                <c:pt idx="167">
                  <c:v>4.6202029656852019</c:v>
                </c:pt>
                <c:pt idx="168">
                  <c:v>5.2148522484587527</c:v>
                </c:pt>
                <c:pt idx="169">
                  <c:v>4.828900215565092</c:v>
                </c:pt>
                <c:pt idx="170">
                  <c:v>4.7498257790104486</c:v>
                </c:pt>
                <c:pt idx="171">
                  <c:v>5.4815705995106949</c:v>
                </c:pt>
                <c:pt idx="172">
                  <c:v>4.2865794278371308</c:v>
                </c:pt>
                <c:pt idx="173">
                  <c:v>5.6170405239447554</c:v>
                </c:pt>
                <c:pt idx="174">
                  <c:v>5.5739065269576766</c:v>
                </c:pt>
                <c:pt idx="175">
                  <c:v>4.6843375412911232</c:v>
                </c:pt>
                <c:pt idx="176">
                  <c:v>5.6643991145572663</c:v>
                </c:pt>
                <c:pt idx="177">
                  <c:v>4.3967604497523229</c:v>
                </c:pt>
                <c:pt idx="178">
                  <c:v>4.9834121048095348</c:v>
                </c:pt>
                <c:pt idx="179">
                  <c:v>4.0655145984994476</c:v>
                </c:pt>
                <c:pt idx="180">
                  <c:v>5.2052549286422547</c:v>
                </c:pt>
                <c:pt idx="181">
                  <c:v>5.5574834727132281</c:v>
                </c:pt>
                <c:pt idx="182">
                  <c:v>5.0810606507792659</c:v>
                </c:pt>
                <c:pt idx="183">
                  <c:v>5.0820554682943406</c:v>
                </c:pt>
                <c:pt idx="184">
                  <c:v>5.2608385123403369</c:v>
                </c:pt>
                <c:pt idx="185">
                  <c:v>4.4941799953529333</c:v>
                </c:pt>
                <c:pt idx="186">
                  <c:v>5.6230506891535743</c:v>
                </c:pt>
                <c:pt idx="187">
                  <c:v>5.7764317811165977</c:v>
                </c:pt>
                <c:pt idx="188">
                  <c:v>4.2476055530819306</c:v>
                </c:pt>
                <c:pt idx="189">
                  <c:v>4.6594302596555508</c:v>
                </c:pt>
                <c:pt idx="190">
                  <c:v>5.9168215508424531</c:v>
                </c:pt>
                <c:pt idx="191">
                  <c:v>4.1818775629312235</c:v>
                </c:pt>
                <c:pt idx="192">
                  <c:v>5.9479927260739718</c:v>
                </c:pt>
                <c:pt idx="193">
                  <c:v>5.2285537530376711</c:v>
                </c:pt>
                <c:pt idx="194">
                  <c:v>5.2100155656236744</c:v>
                </c:pt>
                <c:pt idx="195">
                  <c:v>4.757718936409038</c:v>
                </c:pt>
                <c:pt idx="196">
                  <c:v>5.5369916926389493</c:v>
                </c:pt>
                <c:pt idx="197">
                  <c:v>5.8056278930711844</c:v>
                </c:pt>
                <c:pt idx="198">
                  <c:v>5.3936231013203244</c:v>
                </c:pt>
                <c:pt idx="199">
                  <c:v>4.4997707012867227</c:v>
                </c:pt>
                <c:pt idx="200">
                  <c:v>5.9341667808741931</c:v>
                </c:pt>
                <c:pt idx="201">
                  <c:v>5.6719709775779368</c:v>
                </c:pt>
                <c:pt idx="202">
                  <c:v>5.5002816266954326</c:v>
                </c:pt>
                <c:pt idx="203">
                  <c:v>5.2252154959670563</c:v>
                </c:pt>
                <c:pt idx="204">
                  <c:v>5.3314358334925736</c:v>
                </c:pt>
                <c:pt idx="205">
                  <c:v>4.6822240744078858</c:v>
                </c:pt>
                <c:pt idx="206">
                  <c:v>5.4420481311831299</c:v>
                </c:pt>
                <c:pt idx="207">
                  <c:v>4.244265357464343</c:v>
                </c:pt>
                <c:pt idx="208">
                  <c:v>5.8513310508113214</c:v>
                </c:pt>
                <c:pt idx="209">
                  <c:v>5.7022767955707501</c:v>
                </c:pt>
                <c:pt idx="210">
                  <c:v>4.7870229871301824</c:v>
                </c:pt>
                <c:pt idx="211">
                  <c:v>4.837164185426726</c:v>
                </c:pt>
                <c:pt idx="212">
                  <c:v>6.0368447674019521</c:v>
                </c:pt>
                <c:pt idx="213">
                  <c:v>5.2633535213866072</c:v>
                </c:pt>
                <c:pt idx="214">
                  <c:v>5.0507614374837164</c:v>
                </c:pt>
                <c:pt idx="215">
                  <c:v>5.887732387002762</c:v>
                </c:pt>
                <c:pt idx="216">
                  <c:v>5.1948160848716221</c:v>
                </c:pt>
                <c:pt idx="217">
                  <c:v>5.9644529257000229</c:v>
                </c:pt>
                <c:pt idx="218">
                  <c:v>5.2101866324625181</c:v>
                </c:pt>
                <c:pt idx="219">
                  <c:v>5.0965930022098966</c:v>
                </c:pt>
                <c:pt idx="220">
                  <c:v>5.5651423322586311</c:v>
                </c:pt>
                <c:pt idx="221">
                  <c:v>5.4890592911347973</c:v>
                </c:pt>
                <c:pt idx="222">
                  <c:v>5.4456473318153016</c:v>
                </c:pt>
                <c:pt idx="223">
                  <c:v>5.3790048283062291</c:v>
                </c:pt>
                <c:pt idx="224">
                  <c:v>4.6318838368857485</c:v>
                </c:pt>
                <c:pt idx="225">
                  <c:v>5.17787425518285</c:v>
                </c:pt>
                <c:pt idx="226">
                  <c:v>4.1689149104988967</c:v>
                </c:pt>
                <c:pt idx="227">
                  <c:v>5.723988972114693</c:v>
                </c:pt>
                <c:pt idx="228">
                  <c:v>3.5590281719114447</c:v>
                </c:pt>
                <c:pt idx="229">
                  <c:v>5.0764432065685998</c:v>
                </c:pt>
                <c:pt idx="230">
                  <c:v>4.6276294522842605</c:v>
                </c:pt>
                <c:pt idx="231">
                  <c:v>5.6988122873578568</c:v>
                </c:pt>
                <c:pt idx="232">
                  <c:v>5.3151735235495661</c:v>
                </c:pt>
                <c:pt idx="233">
                  <c:v>5.5608486480154635</c:v>
                </c:pt>
                <c:pt idx="234">
                  <c:v>5.4707442630105998</c:v>
                </c:pt>
                <c:pt idx="235">
                  <c:v>5.9539700852628847</c:v>
                </c:pt>
                <c:pt idx="236">
                  <c:v>4.8728544976665784</c:v>
                </c:pt>
                <c:pt idx="237">
                  <c:v>4.9293966421361244</c:v>
                </c:pt>
                <c:pt idx="238">
                  <c:v>4.5440515797338037</c:v>
                </c:pt>
                <c:pt idx="239">
                  <c:v>5.7529198394892074</c:v>
                </c:pt>
                <c:pt idx="240">
                  <c:v>3.9384707058452317</c:v>
                </c:pt>
                <c:pt idx="241">
                  <c:v>4.8817198898875152</c:v>
                </c:pt>
                <c:pt idx="242">
                  <c:v>6.4431514676219042</c:v>
                </c:pt>
                <c:pt idx="243">
                  <c:v>5.3620584596585879</c:v>
                </c:pt>
                <c:pt idx="244">
                  <c:v>4.9597312971448613</c:v>
                </c:pt>
                <c:pt idx="245">
                  <c:v>5.4041574170595528</c:v>
                </c:pt>
                <c:pt idx="246">
                  <c:v>5.487081432583345</c:v>
                </c:pt>
                <c:pt idx="247">
                  <c:v>5.2897236070538156</c:v>
                </c:pt>
                <c:pt idx="248">
                  <c:v>5.5739806279502755</c:v>
                </c:pt>
                <c:pt idx="249">
                  <c:v>5.0005515619028547</c:v>
                </c:pt>
                <c:pt idx="250">
                  <c:v>4.9705936698113398</c:v>
                </c:pt>
                <c:pt idx="251">
                  <c:v>4.4764508044833864</c:v>
                </c:pt>
                <c:pt idx="252">
                  <c:v>5.2507499106170847</c:v>
                </c:pt>
                <c:pt idx="253">
                  <c:v>5.6812698807975934</c:v>
                </c:pt>
                <c:pt idx="254">
                  <c:v>5.4813241199628511</c:v>
                </c:pt>
                <c:pt idx="255">
                  <c:v>3.8926702247047213</c:v>
                </c:pt>
                <c:pt idx="256">
                  <c:v>5.6743663172257683</c:v>
                </c:pt>
                <c:pt idx="257">
                  <c:v>4.4052500794998863</c:v>
                </c:pt>
                <c:pt idx="258">
                  <c:v>5.315816636166371</c:v>
                </c:pt>
                <c:pt idx="259">
                  <c:v>4.3062893677596872</c:v>
                </c:pt>
                <c:pt idx="260">
                  <c:v>4.6541627971059896</c:v>
                </c:pt>
                <c:pt idx="261">
                  <c:v>5.0924204676137119</c:v>
                </c:pt>
                <c:pt idx="262">
                  <c:v>5.512844259346009</c:v>
                </c:pt>
                <c:pt idx="263">
                  <c:v>6.1243332284987044</c:v>
                </c:pt>
                <c:pt idx="264">
                  <c:v>5.5784019899591151</c:v>
                </c:pt>
                <c:pt idx="265">
                  <c:v>5.3674769044951578</c:v>
                </c:pt>
                <c:pt idx="266">
                  <c:v>5.276192293239653</c:v>
                </c:pt>
                <c:pt idx="267">
                  <c:v>5.4726088176094922</c:v>
                </c:pt>
                <c:pt idx="268">
                  <c:v>4.5261324906390357</c:v>
                </c:pt>
                <c:pt idx="269">
                  <c:v>4.5977417440500226</c:v>
                </c:pt>
                <c:pt idx="270">
                  <c:v>4.5818127147218561</c:v>
                </c:pt>
                <c:pt idx="271">
                  <c:v>6.0914791912016781</c:v>
                </c:pt>
                <c:pt idx="272">
                  <c:v>5.5869127751095089</c:v>
                </c:pt>
                <c:pt idx="273">
                  <c:v>5.6791385776599252</c:v>
                </c:pt>
                <c:pt idx="274">
                  <c:v>5.3748912975359087</c:v>
                </c:pt>
                <c:pt idx="275">
                  <c:v>5.8479585423592724</c:v>
                </c:pt>
                <c:pt idx="276">
                  <c:v>4.9787169733277121</c:v>
                </c:pt>
                <c:pt idx="277">
                  <c:v>5.7170935170182684</c:v>
                </c:pt>
                <c:pt idx="278">
                  <c:v>4.425381497050239</c:v>
                </c:pt>
                <c:pt idx="279">
                  <c:v>5.1931296456680442</c:v>
                </c:pt>
                <c:pt idx="280">
                  <c:v>5.765311913143595</c:v>
                </c:pt>
                <c:pt idx="281">
                  <c:v>5.3528527557216936</c:v>
                </c:pt>
                <c:pt idx="282">
                  <c:v>4.7900655191103851</c:v>
                </c:pt>
                <c:pt idx="283">
                  <c:v>4.0541542415010809</c:v>
                </c:pt>
                <c:pt idx="284">
                  <c:v>4.0130355235337571</c:v>
                </c:pt>
                <c:pt idx="285">
                  <c:v>4.9337487505071707</c:v>
                </c:pt>
                <c:pt idx="286">
                  <c:v>5.1737081156917668</c:v>
                </c:pt>
                <c:pt idx="287">
                  <c:v>6.0360023362993527</c:v>
                </c:pt>
                <c:pt idx="288">
                  <c:v>4.795310606816102</c:v>
                </c:pt>
                <c:pt idx="289">
                  <c:v>5.1145582086539019</c:v>
                </c:pt>
                <c:pt idx="290">
                  <c:v>4.1483864027481658</c:v>
                </c:pt>
                <c:pt idx="291">
                  <c:v>5.1763555902852723</c:v>
                </c:pt>
                <c:pt idx="292">
                  <c:v>4.7324775441188827</c:v>
                </c:pt>
                <c:pt idx="293">
                  <c:v>3.7800132570751312</c:v>
                </c:pt>
                <c:pt idx="294">
                  <c:v>4.2487644857764444</c:v>
                </c:pt>
                <c:pt idx="295">
                  <c:v>5.4245723855015591</c:v>
                </c:pt>
                <c:pt idx="296">
                  <c:v>6.0101850156179086</c:v>
                </c:pt>
                <c:pt idx="297">
                  <c:v>5.6405380255903896</c:v>
                </c:pt>
                <c:pt idx="298">
                  <c:v>6.1876471687732408</c:v>
                </c:pt>
                <c:pt idx="299">
                  <c:v>4.4527119673261151</c:v>
                </c:pt>
                <c:pt idx="300">
                  <c:v>6.2039514754281679</c:v>
                </c:pt>
                <c:pt idx="301">
                  <c:v>4.8189114042386567</c:v>
                </c:pt>
                <c:pt idx="302">
                  <c:v>5.1282110377888017</c:v>
                </c:pt>
                <c:pt idx="303">
                  <c:v>6.0757873569885827</c:v>
                </c:pt>
                <c:pt idx="304">
                  <c:v>5.0030705729686815</c:v>
                </c:pt>
                <c:pt idx="305">
                  <c:v>3.9588656655855949</c:v>
                </c:pt>
                <c:pt idx="306">
                  <c:v>5.2856430132138499</c:v>
                </c:pt>
                <c:pt idx="307">
                  <c:v>4.5033871911068033</c:v>
                </c:pt>
                <c:pt idx="308">
                  <c:v>5.067337200966664</c:v>
                </c:pt>
                <c:pt idx="309">
                  <c:v>4.2557822565458263</c:v>
                </c:pt>
                <c:pt idx="310">
                  <c:v>4.7635771487903078</c:v>
                </c:pt>
                <c:pt idx="311">
                  <c:v>4.9014947767622381</c:v>
                </c:pt>
                <c:pt idx="312">
                  <c:v>4.465460068929282</c:v>
                </c:pt>
                <c:pt idx="313">
                  <c:v>5.1766817799233529</c:v>
                </c:pt>
                <c:pt idx="314">
                  <c:v>5.2100924824041837</c:v>
                </c:pt>
                <c:pt idx="315">
                  <c:v>5.1095837756110036</c:v>
                </c:pt>
                <c:pt idx="316">
                  <c:v>5.290769176341886</c:v>
                </c:pt>
                <c:pt idx="317">
                  <c:v>4.5551599492206591</c:v>
                </c:pt>
                <c:pt idx="318">
                  <c:v>5.7528444676363879</c:v>
                </c:pt>
                <c:pt idx="319">
                  <c:v>6.1937906159164164</c:v>
                </c:pt>
                <c:pt idx="320">
                  <c:v>3.8647927596715377</c:v>
                </c:pt>
                <c:pt idx="321">
                  <c:v>4.8449541911570986</c:v>
                </c:pt>
                <c:pt idx="322">
                  <c:v>5.178248265558242</c:v>
                </c:pt>
                <c:pt idx="323">
                  <c:v>3.7123869288729168</c:v>
                </c:pt>
                <c:pt idx="324">
                  <c:v>4.5354340103989852</c:v>
                </c:pt>
                <c:pt idx="325">
                  <c:v>5.1343761937570669</c:v>
                </c:pt>
                <c:pt idx="326">
                  <c:v>4.434094327250186</c:v>
                </c:pt>
                <c:pt idx="327">
                  <c:v>5.1577744967170194</c:v>
                </c:pt>
                <c:pt idx="328">
                  <c:v>4.2694883025259358</c:v>
                </c:pt>
                <c:pt idx="329">
                  <c:v>5.0182123838548431</c:v>
                </c:pt>
                <c:pt idx="330">
                  <c:v>5.4404930131283198</c:v>
                </c:pt>
                <c:pt idx="331">
                  <c:v>5.6077481819259773</c:v>
                </c:pt>
                <c:pt idx="332">
                  <c:v>3.8965015817463549</c:v>
                </c:pt>
                <c:pt idx="333">
                  <c:v>4.6559442535102118</c:v>
                </c:pt>
                <c:pt idx="334">
                  <c:v>4.706629357509744</c:v>
                </c:pt>
                <c:pt idx="335">
                  <c:v>5.3661370588349318</c:v>
                </c:pt>
                <c:pt idx="336">
                  <c:v>5.8028624717413138</c:v>
                </c:pt>
                <c:pt idx="337">
                  <c:v>5.4529084882428975</c:v>
                </c:pt>
                <c:pt idx="338">
                  <c:v>5.5106186886932598</c:v>
                </c:pt>
                <c:pt idx="339">
                  <c:v>5.3484247580358346</c:v>
                </c:pt>
                <c:pt idx="340">
                  <c:v>5.2216117455546947</c:v>
                </c:pt>
                <c:pt idx="341">
                  <c:v>5.99951342323779</c:v>
                </c:pt>
                <c:pt idx="342">
                  <c:v>5.1749572383783384</c:v>
                </c:pt>
                <c:pt idx="343">
                  <c:v>5.3951454550362037</c:v>
                </c:pt>
                <c:pt idx="344">
                  <c:v>4.4095391155650958</c:v>
                </c:pt>
                <c:pt idx="345">
                  <c:v>5.9543982792118335</c:v>
                </c:pt>
                <c:pt idx="346">
                  <c:v>5.0911531462889084</c:v>
                </c:pt>
                <c:pt idx="347">
                  <c:v>5.0229251101931514</c:v>
                </c:pt>
                <c:pt idx="348">
                  <c:v>5.4071445273036645</c:v>
                </c:pt>
                <c:pt idx="349">
                  <c:v>5.0528867147413958</c:v>
                </c:pt>
                <c:pt idx="350">
                  <c:v>4.6967818132096877</c:v>
                </c:pt>
                <c:pt idx="351">
                  <c:v>4.4605456175106806</c:v>
                </c:pt>
                <c:pt idx="352">
                  <c:v>6.2011465203076526</c:v>
                </c:pt>
                <c:pt idx="353">
                  <c:v>5.0914075911550007</c:v>
                </c:pt>
                <c:pt idx="354">
                  <c:v>5.0007066327462155</c:v>
                </c:pt>
                <c:pt idx="355">
                  <c:v>6.1751998231657552</c:v>
                </c:pt>
                <c:pt idx="356">
                  <c:v>4.7217344572329996</c:v>
                </c:pt>
                <c:pt idx="357">
                  <c:v>6.1200217061307871</c:v>
                </c:pt>
                <c:pt idx="358">
                  <c:v>6.3502333410345297</c:v>
                </c:pt>
                <c:pt idx="359">
                  <c:v>3.7763285218892424</c:v>
                </c:pt>
                <c:pt idx="360">
                  <c:v>5.0725577122358718</c:v>
                </c:pt>
                <c:pt idx="361">
                  <c:v>4.7936135742415118</c:v>
                </c:pt>
                <c:pt idx="362">
                  <c:v>5.3390772525817241</c:v>
                </c:pt>
                <c:pt idx="363">
                  <c:v>5.9078828197630635</c:v>
                </c:pt>
                <c:pt idx="364">
                  <c:v>6.3477150135579041</c:v>
                </c:pt>
                <c:pt idx="365">
                  <c:v>5.3364793390220395</c:v>
                </c:pt>
                <c:pt idx="366">
                  <c:v>6.5656063293533151</c:v>
                </c:pt>
                <c:pt idx="367">
                  <c:v>6.4669728345231388</c:v>
                </c:pt>
                <c:pt idx="368">
                  <c:v>5.6070643823299271</c:v>
                </c:pt>
                <c:pt idx="369">
                  <c:v>4.4776882008300039</c:v>
                </c:pt>
                <c:pt idx="370">
                  <c:v>4.3181428166143476</c:v>
                </c:pt>
                <c:pt idx="371">
                  <c:v>5.9874916523508528</c:v>
                </c:pt>
                <c:pt idx="372">
                  <c:v>4.7557197153798629</c:v>
                </c:pt>
                <c:pt idx="373">
                  <c:v>4.1635111121769732</c:v>
                </c:pt>
                <c:pt idx="374">
                  <c:v>5.8974119397413762</c:v>
                </c:pt>
                <c:pt idx="375">
                  <c:v>5.0926959149526638</c:v>
                </c:pt>
                <c:pt idx="376">
                  <c:v>5.2504059880032621</c:v>
                </c:pt>
                <c:pt idx="377">
                  <c:v>4.7442967597214025</c:v>
                </c:pt>
                <c:pt idx="378">
                  <c:v>4.8719694332404568</c:v>
                </c:pt>
                <c:pt idx="379">
                  <c:v>4.129240666924769</c:v>
                </c:pt>
                <c:pt idx="380">
                  <c:v>6.1164678514406727</c:v>
                </c:pt>
                <c:pt idx="381">
                  <c:v>4.7074382553003637</c:v>
                </c:pt>
                <c:pt idx="382">
                  <c:v>6.239324080455928</c:v>
                </c:pt>
                <c:pt idx="383">
                  <c:v>5.3205397261811331</c:v>
                </c:pt>
                <c:pt idx="384">
                  <c:v>4.9193963328898143</c:v>
                </c:pt>
                <c:pt idx="385">
                  <c:v>7.1520394874129973</c:v>
                </c:pt>
                <c:pt idx="386">
                  <c:v>5.8195178784597328</c:v>
                </c:pt>
                <c:pt idx="387">
                  <c:v>5.2430294334942271</c:v>
                </c:pt>
                <c:pt idx="388">
                  <c:v>5.2596018760587331</c:v>
                </c:pt>
                <c:pt idx="389">
                  <c:v>4.6766100722780859</c:v>
                </c:pt>
                <c:pt idx="390">
                  <c:v>5.2857119966855866</c:v>
                </c:pt>
                <c:pt idx="391">
                  <c:v>5.7293744066573851</c:v>
                </c:pt>
                <c:pt idx="392">
                  <c:v>5.4820180120368587</c:v>
                </c:pt>
                <c:pt idx="393">
                  <c:v>5.0983803177641747</c:v>
                </c:pt>
                <c:pt idx="394">
                  <c:v>4.6805160971878106</c:v>
                </c:pt>
                <c:pt idx="395">
                  <c:v>4.102204868268986</c:v>
                </c:pt>
                <c:pt idx="396">
                  <c:v>5.1990542257653161</c:v>
                </c:pt>
                <c:pt idx="397">
                  <c:v>4.8951347028695977</c:v>
                </c:pt>
                <c:pt idx="398">
                  <c:v>5.38697910820534</c:v>
                </c:pt>
                <c:pt idx="399">
                  <c:v>4.6240185553896307</c:v>
                </c:pt>
                <c:pt idx="400">
                  <c:v>4.7255481038660765</c:v>
                </c:pt>
                <c:pt idx="401">
                  <c:v>6.1470757478434592</c:v>
                </c:pt>
                <c:pt idx="402">
                  <c:v>5.6744719693811767</c:v>
                </c:pt>
                <c:pt idx="403">
                  <c:v>5.291703262107287</c:v>
                </c:pt>
                <c:pt idx="404">
                  <c:v>6.0386981800133448</c:v>
                </c:pt>
                <c:pt idx="405">
                  <c:v>5.0072920554210558</c:v>
                </c:pt>
                <c:pt idx="406">
                  <c:v>5.004809173766736</c:v>
                </c:pt>
                <c:pt idx="407">
                  <c:v>5.749731322088607</c:v>
                </c:pt>
                <c:pt idx="408">
                  <c:v>5.2813361199658839</c:v>
                </c:pt>
                <c:pt idx="409">
                  <c:v>5.9095005438761916</c:v>
                </c:pt>
                <c:pt idx="410">
                  <c:v>5.7832057641367793</c:v>
                </c:pt>
                <c:pt idx="411">
                  <c:v>5.3998282537300231</c:v>
                </c:pt>
                <c:pt idx="412">
                  <c:v>5.9989720701375049</c:v>
                </c:pt>
                <c:pt idx="413">
                  <c:v>5.2180877235262191</c:v>
                </c:pt>
                <c:pt idx="414">
                  <c:v>4.4640989545258289</c:v>
                </c:pt>
                <c:pt idx="415">
                  <c:v>6.139349071580126</c:v>
                </c:pt>
                <c:pt idx="416">
                  <c:v>5.5973589520567639</c:v>
                </c:pt>
                <c:pt idx="417">
                  <c:v>5.5043612700800661</c:v>
                </c:pt>
                <c:pt idx="418">
                  <c:v>5.4989493743018922</c:v>
                </c:pt>
                <c:pt idx="419">
                  <c:v>5.5693374552351287</c:v>
                </c:pt>
                <c:pt idx="420">
                  <c:v>3.7328408016218102</c:v>
                </c:pt>
                <c:pt idx="421">
                  <c:v>4.8982416321210618</c:v>
                </c:pt>
                <c:pt idx="422">
                  <c:v>4.407729940338216</c:v>
                </c:pt>
                <c:pt idx="423">
                  <c:v>4.8092241422492688</c:v>
                </c:pt>
                <c:pt idx="424">
                  <c:v>5.4985212450618928</c:v>
                </c:pt>
                <c:pt idx="425">
                  <c:v>3.7139646135262439</c:v>
                </c:pt>
                <c:pt idx="426">
                  <c:v>4.4486963884488109</c:v>
                </c:pt>
                <c:pt idx="427">
                  <c:v>5.3452851089105646</c:v>
                </c:pt>
                <c:pt idx="428">
                  <c:v>5.0333748112177918</c:v>
                </c:pt>
                <c:pt idx="429">
                  <c:v>5.6883637458017144</c:v>
                </c:pt>
                <c:pt idx="430">
                  <c:v>5.1940784004414109</c:v>
                </c:pt>
                <c:pt idx="431">
                  <c:v>5.6557385777244438</c:v>
                </c:pt>
                <c:pt idx="432">
                  <c:v>5.7501839900857643</c:v>
                </c:pt>
                <c:pt idx="433">
                  <c:v>5.2596477791038918</c:v>
                </c:pt>
                <c:pt idx="434">
                  <c:v>4.6574434561357432</c:v>
                </c:pt>
                <c:pt idx="435">
                  <c:v>4.5602453073169347</c:v>
                </c:pt>
                <c:pt idx="436">
                  <c:v>4.1404520963977802</c:v>
                </c:pt>
                <c:pt idx="437">
                  <c:v>5.4449783201438109</c:v>
                </c:pt>
                <c:pt idx="438">
                  <c:v>4.9656997278398176</c:v>
                </c:pt>
                <c:pt idx="439">
                  <c:v>4.8105443421124257</c:v>
                </c:pt>
                <c:pt idx="440">
                  <c:v>5.7645622852727243</c:v>
                </c:pt>
                <c:pt idx="441">
                  <c:v>4.8223540464101742</c:v>
                </c:pt>
                <c:pt idx="442">
                  <c:v>5.2436672870407506</c:v>
                </c:pt>
                <c:pt idx="443">
                  <c:v>5.3504130001864869</c:v>
                </c:pt>
                <c:pt idx="444">
                  <c:v>4.2893070161687987</c:v>
                </c:pt>
                <c:pt idx="445">
                  <c:v>5.8182259786050103</c:v>
                </c:pt>
                <c:pt idx="446">
                  <c:v>5.7263884617087708</c:v>
                </c:pt>
                <c:pt idx="447">
                  <c:v>5.7771518929068524</c:v>
                </c:pt>
                <c:pt idx="448">
                  <c:v>5.6488368539678344</c:v>
                </c:pt>
                <c:pt idx="449">
                  <c:v>6.8998584084999397</c:v>
                </c:pt>
                <c:pt idx="450">
                  <c:v>5.6613925439231352</c:v>
                </c:pt>
                <c:pt idx="451">
                  <c:v>5.2119405212072856</c:v>
                </c:pt>
                <c:pt idx="452">
                  <c:v>4.2937475899512272</c:v>
                </c:pt>
                <c:pt idx="453">
                  <c:v>4.5836043216931994</c:v>
                </c:pt>
                <c:pt idx="454">
                  <c:v>4.9923660894322666</c:v>
                </c:pt>
                <c:pt idx="455">
                  <c:v>4.2551633995814218</c:v>
                </c:pt>
                <c:pt idx="456">
                  <c:v>4.7253378442895073</c:v>
                </c:pt>
                <c:pt idx="457">
                  <c:v>4.6631706803660418</c:v>
                </c:pt>
                <c:pt idx="458">
                  <c:v>6.0839725791392407</c:v>
                </c:pt>
                <c:pt idx="459">
                  <c:v>5.9632680737434836</c:v>
                </c:pt>
                <c:pt idx="460">
                  <c:v>5.9088067715587069</c:v>
                </c:pt>
                <c:pt idx="461">
                  <c:v>4.4885706362430753</c:v>
                </c:pt>
                <c:pt idx="462">
                  <c:v>4.5413345661995415</c:v>
                </c:pt>
                <c:pt idx="463">
                  <c:v>5.4988934193153813</c:v>
                </c:pt>
                <c:pt idx="464">
                  <c:v>5.1111911826354834</c:v>
                </c:pt>
                <c:pt idx="465">
                  <c:v>3.8004854870564149</c:v>
                </c:pt>
                <c:pt idx="466">
                  <c:v>5.5655839245855443</c:v>
                </c:pt>
                <c:pt idx="467">
                  <c:v>5.9969277557172465</c:v>
                </c:pt>
                <c:pt idx="468">
                  <c:v>4.9559656418371887</c:v>
                </c:pt>
                <c:pt idx="469">
                  <c:v>5.1140139302247913</c:v>
                </c:pt>
                <c:pt idx="470">
                  <c:v>4.3855314428759034</c:v>
                </c:pt>
                <c:pt idx="471">
                  <c:v>4.7806500851419944</c:v>
                </c:pt>
                <c:pt idx="472">
                  <c:v>6.2092040291428159</c:v>
                </c:pt>
                <c:pt idx="473">
                  <c:v>6.0168182564605459</c:v>
                </c:pt>
                <c:pt idx="474">
                  <c:v>5.3889529909172094</c:v>
                </c:pt>
                <c:pt idx="475">
                  <c:v>5.8484675311511758</c:v>
                </c:pt>
                <c:pt idx="476">
                  <c:v>4.9087769524382541</c:v>
                </c:pt>
                <c:pt idx="477">
                  <c:v>4.7879136860723541</c:v>
                </c:pt>
                <c:pt idx="478">
                  <c:v>4.6827830830842707</c:v>
                </c:pt>
                <c:pt idx="479">
                  <c:v>5.7529589096539517</c:v>
                </c:pt>
                <c:pt idx="480">
                  <c:v>5.4444592827760356</c:v>
                </c:pt>
                <c:pt idx="481">
                  <c:v>5.7267039300452396</c:v>
                </c:pt>
                <c:pt idx="482">
                  <c:v>3.9022531865546526</c:v>
                </c:pt>
                <c:pt idx="483">
                  <c:v>6.1214625242911094</c:v>
                </c:pt>
                <c:pt idx="484">
                  <c:v>5.3949295952111367</c:v>
                </c:pt>
                <c:pt idx="485">
                  <c:v>4.7657787356952426</c:v>
                </c:pt>
                <c:pt idx="486">
                  <c:v>5.6069202810282999</c:v>
                </c:pt>
                <c:pt idx="487">
                  <c:v>5.0490305168423699</c:v>
                </c:pt>
                <c:pt idx="488">
                  <c:v>5.3164638248871192</c:v>
                </c:pt>
                <c:pt idx="489">
                  <c:v>4.4045583375037918</c:v>
                </c:pt>
                <c:pt idx="490">
                  <c:v>5.1829575851907155</c:v>
                </c:pt>
                <c:pt idx="491">
                  <c:v>4.9253429496567822</c:v>
                </c:pt>
                <c:pt idx="492">
                  <c:v>5.621199966025161</c:v>
                </c:pt>
                <c:pt idx="493">
                  <c:v>5.1418870524904836</c:v>
                </c:pt>
                <c:pt idx="494">
                  <c:v>5.1182457487071407</c:v>
                </c:pt>
                <c:pt idx="495">
                  <c:v>5.5935237554682953</c:v>
                </c:pt>
                <c:pt idx="496">
                  <c:v>4.7201660902042413</c:v>
                </c:pt>
                <c:pt idx="497">
                  <c:v>4.4688247029150361</c:v>
                </c:pt>
                <c:pt idx="498">
                  <c:v>4.7642735804984326</c:v>
                </c:pt>
                <c:pt idx="499">
                  <c:v>5.9353641862602515</c:v>
                </c:pt>
                <c:pt idx="500">
                  <c:v>3.5013210119052545</c:v>
                </c:pt>
                <c:pt idx="501">
                  <c:v>4.7564588836806774</c:v>
                </c:pt>
                <c:pt idx="502">
                  <c:v>5.6984442115245031</c:v>
                </c:pt>
                <c:pt idx="503">
                  <c:v>5.1466309088440987</c:v>
                </c:pt>
                <c:pt idx="504">
                  <c:v>5.0704610833670323</c:v>
                </c:pt>
                <c:pt idx="505">
                  <c:v>4.18261352838074</c:v>
                </c:pt>
                <c:pt idx="506">
                  <c:v>5.2600550049886863</c:v>
                </c:pt>
                <c:pt idx="507">
                  <c:v>5.6758172048276201</c:v>
                </c:pt>
                <c:pt idx="508">
                  <c:v>5.0422684230576529</c:v>
                </c:pt>
                <c:pt idx="509">
                  <c:v>5.3713030126369805</c:v>
                </c:pt>
                <c:pt idx="510">
                  <c:v>5.0095431551115102</c:v>
                </c:pt>
                <c:pt idx="511">
                  <c:v>5.5202625465597475</c:v>
                </c:pt>
                <c:pt idx="512">
                  <c:v>5.3112589370691126</c:v>
                </c:pt>
                <c:pt idx="513">
                  <c:v>6.3181177876496637</c:v>
                </c:pt>
                <c:pt idx="514">
                  <c:v>4.5944513455013904</c:v>
                </c:pt>
                <c:pt idx="515">
                  <c:v>5.5125436836655499</c:v>
                </c:pt>
                <c:pt idx="516">
                  <c:v>4.5125280414948481</c:v>
                </c:pt>
                <c:pt idx="517">
                  <c:v>6.1199408163740561</c:v>
                </c:pt>
                <c:pt idx="518">
                  <c:v>5.5557396396434093</c:v>
                </c:pt>
                <c:pt idx="519">
                  <c:v>5.2516010529605222</c:v>
                </c:pt>
                <c:pt idx="520">
                  <c:v>4.9473915668889212</c:v>
                </c:pt>
                <c:pt idx="521">
                  <c:v>5.5356430301779405</c:v>
                </c:pt>
                <c:pt idx="522">
                  <c:v>6.361252876878428</c:v>
                </c:pt>
                <c:pt idx="523">
                  <c:v>4.9588788404219635</c:v>
                </c:pt>
                <c:pt idx="524">
                  <c:v>5.6934016169071544</c:v>
                </c:pt>
                <c:pt idx="525">
                  <c:v>4.3783641419349291</c:v>
                </c:pt>
                <c:pt idx="526">
                  <c:v>4.9797721634711092</c:v>
                </c:pt>
                <c:pt idx="527">
                  <c:v>5.5529508200648845</c:v>
                </c:pt>
                <c:pt idx="528">
                  <c:v>5.3119340790385721</c:v>
                </c:pt>
                <c:pt idx="529">
                  <c:v>5.813520899701814</c:v>
                </c:pt>
                <c:pt idx="530">
                  <c:v>4.6239372774688441</c:v>
                </c:pt>
                <c:pt idx="531">
                  <c:v>3.6629315143105003</c:v>
                </c:pt>
                <c:pt idx="532">
                  <c:v>5.4813479241091585</c:v>
                </c:pt>
                <c:pt idx="533">
                  <c:v>5.1814404866249575</c:v>
                </c:pt>
                <c:pt idx="534">
                  <c:v>6.0968334992636439</c:v>
                </c:pt>
                <c:pt idx="535">
                  <c:v>5.2121927878521728</c:v>
                </c:pt>
                <c:pt idx="536">
                  <c:v>4.9815387370327961</c:v>
                </c:pt>
                <c:pt idx="537">
                  <c:v>4.7836287044315835</c:v>
                </c:pt>
                <c:pt idx="538">
                  <c:v>4.6531404421948626</c:v>
                </c:pt>
                <c:pt idx="539">
                  <c:v>4.7413714859666651</c:v>
                </c:pt>
                <c:pt idx="540">
                  <c:v>5.8185720639186762</c:v>
                </c:pt>
                <c:pt idx="541">
                  <c:v>4.898246600910845</c:v>
                </c:pt>
                <c:pt idx="542">
                  <c:v>5.8722833553905627</c:v>
                </c:pt>
                <c:pt idx="543">
                  <c:v>5.1115477043607456</c:v>
                </c:pt>
                <c:pt idx="544">
                  <c:v>5.4762230444550841</c:v>
                </c:pt>
                <c:pt idx="545">
                  <c:v>4.4734964008966234</c:v>
                </c:pt>
                <c:pt idx="546">
                  <c:v>5.9869675733876857</c:v>
                </c:pt>
                <c:pt idx="547">
                  <c:v>5.1763698924813344</c:v>
                </c:pt>
                <c:pt idx="548">
                  <c:v>5.1661297102162234</c:v>
                </c:pt>
                <c:pt idx="549">
                  <c:v>5.3785710135305944</c:v>
                </c:pt>
                <c:pt idx="550">
                  <c:v>4.7088657278824329</c:v>
                </c:pt>
                <c:pt idx="551">
                  <c:v>4.4273126605211388</c:v>
                </c:pt>
                <c:pt idx="552">
                  <c:v>4.4245739831123991</c:v>
                </c:pt>
                <c:pt idx="553">
                  <c:v>5.4369523282093688</c:v>
                </c:pt>
                <c:pt idx="554">
                  <c:v>3.4946492804688027</c:v>
                </c:pt>
                <c:pt idx="555">
                  <c:v>4.8767745036587513</c:v>
                </c:pt>
                <c:pt idx="556">
                  <c:v>5.9836331175264537</c:v>
                </c:pt>
                <c:pt idx="557">
                  <c:v>5.070381749580406</c:v>
                </c:pt>
                <c:pt idx="558">
                  <c:v>5.4414804912947972</c:v>
                </c:pt>
                <c:pt idx="559">
                  <c:v>6.1352087739100494</c:v>
                </c:pt>
                <c:pt idx="560">
                  <c:v>5.6627349505419691</c:v>
                </c:pt>
                <c:pt idx="561">
                  <c:v>4.3503919612620017</c:v>
                </c:pt>
                <c:pt idx="562">
                  <c:v>5.6617895368191782</c:v>
                </c:pt>
                <c:pt idx="563">
                  <c:v>5.5108296950212132</c:v>
                </c:pt>
                <c:pt idx="564">
                  <c:v>5.2957869766920194</c:v>
                </c:pt>
                <c:pt idx="565">
                  <c:v>5.7542839129877645</c:v>
                </c:pt>
                <c:pt idx="566">
                  <c:v>3.8486368109332787</c:v>
                </c:pt>
                <c:pt idx="567">
                  <c:v>5.3698239978086928</c:v>
                </c:pt>
                <c:pt idx="568">
                  <c:v>5.0977501247308297</c:v>
                </c:pt>
                <c:pt idx="569">
                  <c:v>5.004793090229084</c:v>
                </c:pt>
                <c:pt idx="570">
                  <c:v>4.574964192329313</c:v>
                </c:pt>
                <c:pt idx="571">
                  <c:v>5.8054445194529976</c:v>
                </c:pt>
                <c:pt idx="572">
                  <c:v>4.9938036450881249</c:v>
                </c:pt>
                <c:pt idx="573">
                  <c:v>4.8823975451218278</c:v>
                </c:pt>
                <c:pt idx="574">
                  <c:v>5.1957202890406027</c:v>
                </c:pt>
                <c:pt idx="575">
                  <c:v>5.6960692764288989</c:v>
                </c:pt>
                <c:pt idx="576">
                  <c:v>5.5816478351114185</c:v>
                </c:pt>
                <c:pt idx="577">
                  <c:v>6.0642882724101241</c:v>
                </c:pt>
                <c:pt idx="578">
                  <c:v>5.0716356595202701</c:v>
                </c:pt>
                <c:pt idx="579">
                  <c:v>5.4122895019783019</c:v>
                </c:pt>
                <c:pt idx="580">
                  <c:v>3.9154814271065774</c:v>
                </c:pt>
                <c:pt idx="581">
                  <c:v>5.2694756367809212</c:v>
                </c:pt>
                <c:pt idx="582">
                  <c:v>4.2931043851437423</c:v>
                </c:pt>
                <c:pt idx="583">
                  <c:v>5.052298158229334</c:v>
                </c:pt>
                <c:pt idx="584">
                  <c:v>4.6889694564883975</c:v>
                </c:pt>
                <c:pt idx="585">
                  <c:v>5.6402801486381406</c:v>
                </c:pt>
                <c:pt idx="586">
                  <c:v>4.8880899464159597</c:v>
                </c:pt>
                <c:pt idx="587">
                  <c:v>4.7876611039871566</c:v>
                </c:pt>
                <c:pt idx="588">
                  <c:v>4.3383705014407941</c:v>
                </c:pt>
                <c:pt idx="589">
                  <c:v>4.2769156680336753</c:v>
                </c:pt>
                <c:pt idx="590">
                  <c:v>5.6609951741733369</c:v>
                </c:pt>
                <c:pt idx="591">
                  <c:v>5.7277740631032863</c:v>
                </c:pt>
                <c:pt idx="592">
                  <c:v>5.4798775862722575</c:v>
                </c:pt>
                <c:pt idx="593">
                  <c:v>5.4123720800671435</c:v>
                </c:pt>
                <c:pt idx="594">
                  <c:v>6.3871068738344956</c:v>
                </c:pt>
                <c:pt idx="595">
                  <c:v>5.4350333354034852</c:v>
                </c:pt>
                <c:pt idx="596">
                  <c:v>5.6133456767727541</c:v>
                </c:pt>
                <c:pt idx="597">
                  <c:v>4.6080803936696153</c:v>
                </c:pt>
                <c:pt idx="598">
                  <c:v>5.8273808286181215</c:v>
                </c:pt>
                <c:pt idx="599">
                  <c:v>5.8197273354341839</c:v>
                </c:pt>
                <c:pt idx="600">
                  <c:v>5.2792329154060518</c:v>
                </c:pt>
                <c:pt idx="601">
                  <c:v>4.7917673478428107</c:v>
                </c:pt>
                <c:pt idx="602">
                  <c:v>5.3789927107752433</c:v>
                </c:pt>
                <c:pt idx="603">
                  <c:v>5.7403441501866759</c:v>
                </c:pt>
                <c:pt idx="604">
                  <c:v>5.2819385302481638</c:v>
                </c:pt>
                <c:pt idx="605">
                  <c:v>6.1527193134279532</c:v>
                </c:pt>
                <c:pt idx="606">
                  <c:v>5.3644857095787994</c:v>
                </c:pt>
                <c:pt idx="607">
                  <c:v>5.0167125821402276</c:v>
                </c:pt>
                <c:pt idx="608">
                  <c:v>5.2991243292411809</c:v>
                </c:pt>
                <c:pt idx="609">
                  <c:v>4.6269087022437265</c:v>
                </c:pt>
                <c:pt idx="610">
                  <c:v>5.1404488414561396</c:v>
                </c:pt>
                <c:pt idx="611">
                  <c:v>5.0941413565666789</c:v>
                </c:pt>
                <c:pt idx="612">
                  <c:v>5.5810617208302578</c:v>
                </c:pt>
                <c:pt idx="613">
                  <c:v>4.5599751101365555</c:v>
                </c:pt>
                <c:pt idx="614">
                  <c:v>5.0300626626614147</c:v>
                </c:pt>
                <c:pt idx="615">
                  <c:v>4.61783519684586</c:v>
                </c:pt>
                <c:pt idx="616">
                  <c:v>6.0046491657195755</c:v>
                </c:pt>
                <c:pt idx="617">
                  <c:v>5.207573663010713</c:v>
                </c:pt>
                <c:pt idx="618">
                  <c:v>4.4141995015479267</c:v>
                </c:pt>
                <c:pt idx="619">
                  <c:v>5.4137029110857355</c:v>
                </c:pt>
                <c:pt idx="620">
                  <c:v>5.1072772891860758</c:v>
                </c:pt>
                <c:pt idx="621">
                  <c:v>5.30398637640163</c:v>
                </c:pt>
                <c:pt idx="622">
                  <c:v>4.2709977869253635</c:v>
                </c:pt>
                <c:pt idx="623">
                  <c:v>5.1450038705639187</c:v>
                </c:pt>
                <c:pt idx="624">
                  <c:v>5.2133135735548422</c:v>
                </c:pt>
                <c:pt idx="625">
                  <c:v>5.5004167338978966</c:v>
                </c:pt>
                <c:pt idx="626">
                  <c:v>6.2623744206826313</c:v>
                </c:pt>
                <c:pt idx="627">
                  <c:v>5.5143162557555847</c:v>
                </c:pt>
                <c:pt idx="628">
                  <c:v>5.2152840502813778</c:v>
                </c:pt>
                <c:pt idx="629">
                  <c:v>4.4655797212303998</c:v>
                </c:pt>
                <c:pt idx="630">
                  <c:v>5.189650307522971</c:v>
                </c:pt>
                <c:pt idx="631">
                  <c:v>5.8370279131314238</c:v>
                </c:pt>
                <c:pt idx="632">
                  <c:v>5.2446488835901093</c:v>
                </c:pt>
                <c:pt idx="633">
                  <c:v>5.1993688344488014</c:v>
                </c:pt>
                <c:pt idx="634">
                  <c:v>4.6550038663555267</c:v>
                </c:pt>
                <c:pt idx="635">
                  <c:v>5.92270107524193</c:v>
                </c:pt>
                <c:pt idx="636">
                  <c:v>5.8150385548319399</c:v>
                </c:pt>
                <c:pt idx="637">
                  <c:v>4.3095871718139307</c:v>
                </c:pt>
                <c:pt idx="638">
                  <c:v>5.545521462594305</c:v>
                </c:pt>
                <c:pt idx="639">
                  <c:v>5.1772429828829427</c:v>
                </c:pt>
                <c:pt idx="640">
                  <c:v>5.038209597205773</c:v>
                </c:pt>
                <c:pt idx="641">
                  <c:v>5.2683755963634908</c:v>
                </c:pt>
                <c:pt idx="642">
                  <c:v>5.4339426532827417</c:v>
                </c:pt>
                <c:pt idx="643">
                  <c:v>5.2510084337898064</c:v>
                </c:pt>
                <c:pt idx="644">
                  <c:v>4.8265381317615752</c:v>
                </c:pt>
                <c:pt idx="645">
                  <c:v>3.7671471755571773</c:v>
                </c:pt>
                <c:pt idx="646">
                  <c:v>5.5173674770843508</c:v>
                </c:pt>
                <c:pt idx="647">
                  <c:v>5.3329774376880952</c:v>
                </c:pt>
                <c:pt idx="648">
                  <c:v>4.2584719065452692</c:v>
                </c:pt>
                <c:pt idx="649">
                  <c:v>5.2769521800493298</c:v>
                </c:pt>
                <c:pt idx="650">
                  <c:v>4.7539943572461283</c:v>
                </c:pt>
                <c:pt idx="651">
                  <c:v>5.2765092655767418</c:v>
                </c:pt>
                <c:pt idx="652">
                  <c:v>5.0708856272442802</c:v>
                </c:pt>
                <c:pt idx="653">
                  <c:v>4.753745620708445</c:v>
                </c:pt>
                <c:pt idx="654">
                  <c:v>5.1765482079049612</c:v>
                </c:pt>
                <c:pt idx="655">
                  <c:v>5.9240654997489433</c:v>
                </c:pt>
                <c:pt idx="656">
                  <c:v>4.4676781891581445</c:v>
                </c:pt>
                <c:pt idx="657">
                  <c:v>6.046155866514237</c:v>
                </c:pt>
                <c:pt idx="658">
                  <c:v>6.1609197248776173</c:v>
                </c:pt>
                <c:pt idx="659">
                  <c:v>4.7838067740071182</c:v>
                </c:pt>
                <c:pt idx="660">
                  <c:v>5.3280967466483045</c:v>
                </c:pt>
                <c:pt idx="661">
                  <c:v>4.4034578298290974</c:v>
                </c:pt>
                <c:pt idx="662">
                  <c:v>4.5973079021515755</c:v>
                </c:pt>
                <c:pt idx="663">
                  <c:v>4.8692487642612949</c:v>
                </c:pt>
                <c:pt idx="664">
                  <c:v>4.5963130897320337</c:v>
                </c:pt>
                <c:pt idx="665">
                  <c:v>5.1428984447318946</c:v>
                </c:pt>
                <c:pt idx="666">
                  <c:v>5.0581899426750656</c:v>
                </c:pt>
                <c:pt idx="667">
                  <c:v>5.4357398619624355</c:v>
                </c:pt>
                <c:pt idx="668">
                  <c:v>5.1598729969850421</c:v>
                </c:pt>
                <c:pt idx="669">
                  <c:v>5.1150977464022738</c:v>
                </c:pt>
                <c:pt idx="670">
                  <c:v>4.6970935706536245</c:v>
                </c:pt>
                <c:pt idx="671">
                  <c:v>5.5047765716203791</c:v>
                </c:pt>
                <c:pt idx="672">
                  <c:v>5.2663197077406796</c:v>
                </c:pt>
                <c:pt idx="673">
                  <c:v>5.557716388386666</c:v>
                </c:pt>
                <c:pt idx="674">
                  <c:v>4.0161079985521955</c:v>
                </c:pt>
                <c:pt idx="675">
                  <c:v>5.1996933060330672</c:v>
                </c:pt>
                <c:pt idx="676">
                  <c:v>5.6027896467724361</c:v>
                </c:pt>
                <c:pt idx="677">
                  <c:v>5.0215088756371316</c:v>
                </c:pt>
                <c:pt idx="678">
                  <c:v>5.6337685482139488</c:v>
                </c:pt>
                <c:pt idx="679">
                  <c:v>5.19126096366643</c:v>
                </c:pt>
                <c:pt idx="680">
                  <c:v>5.5494482368893348</c:v>
                </c:pt>
                <c:pt idx="681">
                  <c:v>5.221779005629239</c:v>
                </c:pt>
                <c:pt idx="682">
                  <c:v>3.952922158773541</c:v>
                </c:pt>
                <c:pt idx="683">
                  <c:v>5.082736985979162</c:v>
                </c:pt>
                <c:pt idx="684">
                  <c:v>4.5526534564873202</c:v>
                </c:pt>
                <c:pt idx="685">
                  <c:v>6.0954194533573816</c:v>
                </c:pt>
                <c:pt idx="686">
                  <c:v>5.5545705556857001</c:v>
                </c:pt>
                <c:pt idx="687">
                  <c:v>5.472654672888952</c:v>
                </c:pt>
                <c:pt idx="688">
                  <c:v>5.3725026766781312</c:v>
                </c:pt>
                <c:pt idx="689">
                  <c:v>3.8699832069908382</c:v>
                </c:pt>
                <c:pt idx="690">
                  <c:v>4.1287960028461459</c:v>
                </c:pt>
                <c:pt idx="691">
                  <c:v>5.0299655147044291</c:v>
                </c:pt>
                <c:pt idx="692">
                  <c:v>5.4175841934055313</c:v>
                </c:pt>
                <c:pt idx="693">
                  <c:v>5.229997399341487</c:v>
                </c:pt>
                <c:pt idx="694">
                  <c:v>5.040184569837562</c:v>
                </c:pt>
                <c:pt idx="695">
                  <c:v>4.7761831170853881</c:v>
                </c:pt>
                <c:pt idx="696">
                  <c:v>5.0748419503058564</c:v>
                </c:pt>
                <c:pt idx="697">
                  <c:v>4.6472489806988069</c:v>
                </c:pt>
                <c:pt idx="698">
                  <c:v>4.789883375953389</c:v>
                </c:pt>
                <c:pt idx="699">
                  <c:v>5.5087858384845081</c:v>
                </c:pt>
                <c:pt idx="700">
                  <c:v>4.6466591562056507</c:v>
                </c:pt>
                <c:pt idx="701">
                  <c:v>6.0469587575538259</c:v>
                </c:pt>
                <c:pt idx="702">
                  <c:v>4.0071699828523606</c:v>
                </c:pt>
                <c:pt idx="703">
                  <c:v>4.8491018942162967</c:v>
                </c:pt>
                <c:pt idx="704">
                  <c:v>5.2009310597632457</c:v>
                </c:pt>
                <c:pt idx="705">
                  <c:v>5.5292742392497409</c:v>
                </c:pt>
                <c:pt idx="706">
                  <c:v>4.4809548235064085</c:v>
                </c:pt>
                <c:pt idx="707">
                  <c:v>4.9909208116456902</c:v>
                </c:pt>
                <c:pt idx="708">
                  <c:v>5.5850007886340833</c:v>
                </c:pt>
                <c:pt idx="709">
                  <c:v>5.1020389071131262</c:v>
                </c:pt>
                <c:pt idx="710">
                  <c:v>5.4700219958241636</c:v>
                </c:pt>
                <c:pt idx="711">
                  <c:v>5.5233181215444738</c:v>
                </c:pt>
                <c:pt idx="712">
                  <c:v>6.1597653418589484</c:v>
                </c:pt>
                <c:pt idx="713">
                  <c:v>5.7026693655123051</c:v>
                </c:pt>
                <c:pt idx="714">
                  <c:v>5.3454828430364412</c:v>
                </c:pt>
                <c:pt idx="715">
                  <c:v>3.2984488016777185</c:v>
                </c:pt>
                <c:pt idx="716">
                  <c:v>4.5389560750274125</c:v>
                </c:pt>
                <c:pt idx="717">
                  <c:v>4.7150358886441168</c:v>
                </c:pt>
                <c:pt idx="718">
                  <c:v>5.8301836675378684</c:v>
                </c:pt>
                <c:pt idx="719">
                  <c:v>4.8098817591423444</c:v>
                </c:pt>
                <c:pt idx="720">
                  <c:v>5.1064614779017727</c:v>
                </c:pt>
                <c:pt idx="721">
                  <c:v>4.8823326666580762</c:v>
                </c:pt>
                <c:pt idx="722">
                  <c:v>5.3365638248745491</c:v>
                </c:pt>
                <c:pt idx="723">
                  <c:v>5.0477608302784258</c:v>
                </c:pt>
                <c:pt idx="724">
                  <c:v>4.9446110264912999</c:v>
                </c:pt>
                <c:pt idx="725">
                  <c:v>4.5053267140594073</c:v>
                </c:pt>
                <c:pt idx="726">
                  <c:v>5.0279914638746792</c:v>
                </c:pt>
                <c:pt idx="727">
                  <c:v>4.5315310612656301</c:v>
                </c:pt>
                <c:pt idx="728">
                  <c:v>5.5884225988284815</c:v>
                </c:pt>
                <c:pt idx="729">
                  <c:v>5.8738038144139271</c:v>
                </c:pt>
                <c:pt idx="730">
                  <c:v>4.8084362758547901</c:v>
                </c:pt>
                <c:pt idx="731">
                  <c:v>5.7681671585925525</c:v>
                </c:pt>
                <c:pt idx="732">
                  <c:v>5.729521175840901</c:v>
                </c:pt>
                <c:pt idx="733">
                  <c:v>5.5111278223270155</c:v>
                </c:pt>
                <c:pt idx="734">
                  <c:v>4.3339384726253662</c:v>
                </c:pt>
                <c:pt idx="735">
                  <c:v>5.9520550393475649</c:v>
                </c:pt>
                <c:pt idx="736">
                  <c:v>5.055481674140891</c:v>
                </c:pt>
                <c:pt idx="737">
                  <c:v>5.3021228482673131</c:v>
                </c:pt>
                <c:pt idx="738">
                  <c:v>4.9919814476955473</c:v>
                </c:pt>
                <c:pt idx="739">
                  <c:v>5.9444279751887112</c:v>
                </c:pt>
                <c:pt idx="740">
                  <c:v>4.9556087239387434</c:v>
                </c:pt>
                <c:pt idx="741">
                  <c:v>6.5263907564367916</c:v>
                </c:pt>
                <c:pt idx="742">
                  <c:v>5.2772080373690589</c:v>
                </c:pt>
                <c:pt idx="743">
                  <c:v>5.4056491511969362</c:v>
                </c:pt>
                <c:pt idx="744">
                  <c:v>6.5541568427833887</c:v>
                </c:pt>
                <c:pt idx="745">
                  <c:v>5.8565836195123904</c:v>
                </c:pt>
                <c:pt idx="746">
                  <c:v>4.4010443375213431</c:v>
                </c:pt>
                <c:pt idx="747">
                  <c:v>4.6784129951554085</c:v>
                </c:pt>
                <c:pt idx="748">
                  <c:v>5.1897331210508924</c:v>
                </c:pt>
                <c:pt idx="749">
                  <c:v>5.612408058854145</c:v>
                </c:pt>
                <c:pt idx="750">
                  <c:v>4.8228007159536119</c:v>
                </c:pt>
                <c:pt idx="751">
                  <c:v>6.0721625929739584</c:v>
                </c:pt>
                <c:pt idx="752">
                  <c:v>4.5349511333170938</c:v>
                </c:pt>
                <c:pt idx="753">
                  <c:v>5.3585266655955781</c:v>
                </c:pt>
                <c:pt idx="754">
                  <c:v>6.0703788949866233</c:v>
                </c:pt>
                <c:pt idx="755">
                  <c:v>4.5102395904466324</c:v>
                </c:pt>
                <c:pt idx="756">
                  <c:v>3.8694207585635265</c:v>
                </c:pt>
                <c:pt idx="757">
                  <c:v>5.5383333394806051</c:v>
                </c:pt>
                <c:pt idx="758">
                  <c:v>5.3126957413268592</c:v>
                </c:pt>
                <c:pt idx="759">
                  <c:v>5.7354805669990672</c:v>
                </c:pt>
                <c:pt idx="760">
                  <c:v>5.1756974167922234</c:v>
                </c:pt>
                <c:pt idx="761">
                  <c:v>5.2449081493974834</c:v>
                </c:pt>
                <c:pt idx="762">
                  <c:v>4.8552257794352549</c:v>
                </c:pt>
                <c:pt idx="763">
                  <c:v>4.8280332068569898</c:v>
                </c:pt>
                <c:pt idx="764">
                  <c:v>4.0010363338269652</c:v>
                </c:pt>
                <c:pt idx="765">
                  <c:v>4.732269542409</c:v>
                </c:pt>
                <c:pt idx="766">
                  <c:v>6.4601274488748519</c:v>
                </c:pt>
                <c:pt idx="767">
                  <c:v>5.7984818813259782</c:v>
                </c:pt>
                <c:pt idx="768">
                  <c:v>4.3988267069897287</c:v>
                </c:pt>
                <c:pt idx="769">
                  <c:v>4.5569870721112569</c:v>
                </c:pt>
                <c:pt idx="770">
                  <c:v>5.0611015326336304</c:v>
                </c:pt>
                <c:pt idx="771">
                  <c:v>4.9033318544080977</c:v>
                </c:pt>
                <c:pt idx="772">
                  <c:v>6.0049642952747284</c:v>
                </c:pt>
                <c:pt idx="773">
                  <c:v>5.6727567778598846</c:v>
                </c:pt>
                <c:pt idx="774">
                  <c:v>4.7094327325199199</c:v>
                </c:pt>
                <c:pt idx="775">
                  <c:v>4.9074550306752887</c:v>
                </c:pt>
                <c:pt idx="776">
                  <c:v>4.3114689446045915</c:v>
                </c:pt>
                <c:pt idx="777">
                  <c:v>6.1539355131876796</c:v>
                </c:pt>
                <c:pt idx="778">
                  <c:v>3.8530534381326689</c:v>
                </c:pt>
                <c:pt idx="779">
                  <c:v>3.9008951766861575</c:v>
                </c:pt>
                <c:pt idx="780">
                  <c:v>5.0790406241008963</c:v>
                </c:pt>
                <c:pt idx="781">
                  <c:v>5.1386704291658614</c:v>
                </c:pt>
                <c:pt idx="782">
                  <c:v>5.6541391661959288</c:v>
                </c:pt>
                <c:pt idx="783">
                  <c:v>4.1052311309148948</c:v>
                </c:pt>
                <c:pt idx="784">
                  <c:v>4.7481709574489077</c:v>
                </c:pt>
                <c:pt idx="785">
                  <c:v>5.6026190557025135</c:v>
                </c:pt>
                <c:pt idx="786">
                  <c:v>4.2494869132354172</c:v>
                </c:pt>
                <c:pt idx="787">
                  <c:v>4.56693545040274</c:v>
                </c:pt>
                <c:pt idx="788">
                  <c:v>4.9336884431781698</c:v>
                </c:pt>
                <c:pt idx="789">
                  <c:v>4.6631570206265565</c:v>
                </c:pt>
                <c:pt idx="790">
                  <c:v>5.5159644584692256</c:v>
                </c:pt>
                <c:pt idx="791">
                  <c:v>5.4707374660240937</c:v>
                </c:pt>
                <c:pt idx="792">
                  <c:v>5.9149054509685275</c:v>
                </c:pt>
                <c:pt idx="793">
                  <c:v>5.0721331731972814</c:v>
                </c:pt>
                <c:pt idx="794">
                  <c:v>5.2160818320549751</c:v>
                </c:pt>
                <c:pt idx="795">
                  <c:v>6.0347468851743766</c:v>
                </c:pt>
                <c:pt idx="796">
                  <c:v>4.9575143014352694</c:v>
                </c:pt>
                <c:pt idx="797">
                  <c:v>6.0990654574467662</c:v>
                </c:pt>
                <c:pt idx="798">
                  <c:v>5.466957774882987</c:v>
                </c:pt>
                <c:pt idx="799">
                  <c:v>5.5609853596540617</c:v>
                </c:pt>
                <c:pt idx="800">
                  <c:v>5.2215267554435627</c:v>
                </c:pt>
                <c:pt idx="801">
                  <c:v>5.719375385927874</c:v>
                </c:pt>
                <c:pt idx="802">
                  <c:v>5.3597854368848044</c:v>
                </c:pt>
                <c:pt idx="803">
                  <c:v>6.4004409004986726</c:v>
                </c:pt>
                <c:pt idx="804">
                  <c:v>5.4691926144400878</c:v>
                </c:pt>
                <c:pt idx="805">
                  <c:v>5.9021605081583601</c:v>
                </c:pt>
                <c:pt idx="806">
                  <c:v>5.256721416850306</c:v>
                </c:pt>
                <c:pt idx="807">
                  <c:v>4.4714220343325035</c:v>
                </c:pt>
                <c:pt idx="808">
                  <c:v>5.3539170550371349</c:v>
                </c:pt>
                <c:pt idx="809">
                  <c:v>5.7034394564839968</c:v>
                </c:pt>
                <c:pt idx="810">
                  <c:v>5.3509575185889471</c:v>
                </c:pt>
                <c:pt idx="811">
                  <c:v>4.4033722094376113</c:v>
                </c:pt>
                <c:pt idx="812">
                  <c:v>4.7642260632378921</c:v>
                </c:pt>
                <c:pt idx="813">
                  <c:v>4.8190157768271273</c:v>
                </c:pt>
                <c:pt idx="814">
                  <c:v>3.3660156431346255</c:v>
                </c:pt>
                <c:pt idx="815">
                  <c:v>4.6234461898631949</c:v>
                </c:pt>
                <c:pt idx="816">
                  <c:v>4.7240912731865219</c:v>
                </c:pt>
                <c:pt idx="817">
                  <c:v>5.3874843221066691</c:v>
                </c:pt>
                <c:pt idx="818">
                  <c:v>4.418679086925632</c:v>
                </c:pt>
                <c:pt idx="819">
                  <c:v>5.6126679190753705</c:v>
                </c:pt>
                <c:pt idx="820">
                  <c:v>5.5768344384508595</c:v>
                </c:pt>
                <c:pt idx="821">
                  <c:v>4.3657016898500824</c:v>
                </c:pt>
                <c:pt idx="822">
                  <c:v>5.7116118838730614</c:v>
                </c:pt>
                <c:pt idx="823">
                  <c:v>5.3081460864830241</c:v>
                </c:pt>
                <c:pt idx="824">
                  <c:v>5.4519046674411964</c:v>
                </c:pt>
                <c:pt idx="825">
                  <c:v>5.770531617632388</c:v>
                </c:pt>
                <c:pt idx="826">
                  <c:v>6.0719664295199802</c:v>
                </c:pt>
                <c:pt idx="827">
                  <c:v>6.0482836828161091</c:v>
                </c:pt>
                <c:pt idx="828">
                  <c:v>5.6230637441774789</c:v>
                </c:pt>
                <c:pt idx="829">
                  <c:v>5.0479437243204544</c:v>
                </c:pt>
                <c:pt idx="830">
                  <c:v>5.1146515927682241</c:v>
                </c:pt>
                <c:pt idx="831">
                  <c:v>5.2754843211540425</c:v>
                </c:pt>
                <c:pt idx="832">
                  <c:v>4.5899140571369337</c:v>
                </c:pt>
                <c:pt idx="833">
                  <c:v>4.9570255846766962</c:v>
                </c:pt>
                <c:pt idx="834">
                  <c:v>6.1908420991910127</c:v>
                </c:pt>
                <c:pt idx="835">
                  <c:v>4.9138954577118916</c:v>
                </c:pt>
                <c:pt idx="836">
                  <c:v>5.1990025549127701</c:v>
                </c:pt>
                <c:pt idx="837">
                  <c:v>5.259481510426836</c:v>
                </c:pt>
                <c:pt idx="838">
                  <c:v>4.8966716589875858</c:v>
                </c:pt>
                <c:pt idx="839">
                  <c:v>4.579124510090022</c:v>
                </c:pt>
                <c:pt idx="840">
                  <c:v>6.1483722072941926</c:v>
                </c:pt>
                <c:pt idx="841">
                  <c:v>5.4603081592007001</c:v>
                </c:pt>
                <c:pt idx="842">
                  <c:v>6.0413207011101875</c:v>
                </c:pt>
                <c:pt idx="843">
                  <c:v>4.871497805123937</c:v>
                </c:pt>
                <c:pt idx="844">
                  <c:v>5.2123782673177583</c:v>
                </c:pt>
                <c:pt idx="845">
                  <c:v>5.8849112302657325</c:v>
                </c:pt>
                <c:pt idx="846">
                  <c:v>5.8803863721903387</c:v>
                </c:pt>
                <c:pt idx="847">
                  <c:v>3.9307746870462967</c:v>
                </c:pt>
                <c:pt idx="848">
                  <c:v>5.3493280867807051</c:v>
                </c:pt>
                <c:pt idx="849">
                  <c:v>4.6280958455572598</c:v>
                </c:pt>
                <c:pt idx="850">
                  <c:v>5.8097474281053572</c:v>
                </c:pt>
                <c:pt idx="851">
                  <c:v>6.0927482503341199</c:v>
                </c:pt>
                <c:pt idx="852">
                  <c:v>5.5903046307185562</c:v>
                </c:pt>
                <c:pt idx="853">
                  <c:v>5.2976656580797119</c:v>
                </c:pt>
                <c:pt idx="854">
                  <c:v>3.7880604198266639</c:v>
                </c:pt>
                <c:pt idx="855">
                  <c:v>4.9255088380734939</c:v>
                </c:pt>
                <c:pt idx="856">
                  <c:v>5.56670204018417</c:v>
                </c:pt>
                <c:pt idx="857">
                  <c:v>4.7515842080514474</c:v>
                </c:pt>
                <c:pt idx="858">
                  <c:v>4.5683871990681766</c:v>
                </c:pt>
                <c:pt idx="859">
                  <c:v>4.4080774672270522</c:v>
                </c:pt>
                <c:pt idx="860">
                  <c:v>5.0338850669413766</c:v>
                </c:pt>
                <c:pt idx="861">
                  <c:v>4.3786362260480445</c:v>
                </c:pt>
                <c:pt idx="862">
                  <c:v>6.3802817778185634</c:v>
                </c:pt>
                <c:pt idx="863">
                  <c:v>5.0564158767304725</c:v>
                </c:pt>
                <c:pt idx="864">
                  <c:v>5.2289746641421306</c:v>
                </c:pt>
                <c:pt idx="865">
                  <c:v>5.4920497929230674</c:v>
                </c:pt>
                <c:pt idx="866">
                  <c:v>5.4779489881291639</c:v>
                </c:pt>
                <c:pt idx="867">
                  <c:v>5.1796846535388195</c:v>
                </c:pt>
                <c:pt idx="868">
                  <c:v>5.7176432741317509</c:v>
                </c:pt>
                <c:pt idx="869">
                  <c:v>5.7475811163066233</c:v>
                </c:pt>
                <c:pt idx="870">
                  <c:v>5.1589740968737381</c:v>
                </c:pt>
                <c:pt idx="871">
                  <c:v>4.7548601558124854</c:v>
                </c:pt>
                <c:pt idx="872">
                  <c:v>4.1860623379389672</c:v>
                </c:pt>
                <c:pt idx="873">
                  <c:v>5.0704500167787927</c:v>
                </c:pt>
                <c:pt idx="874">
                  <c:v>4.6735964400189527</c:v>
                </c:pt>
                <c:pt idx="875">
                  <c:v>5.0474479540211199</c:v>
                </c:pt>
                <c:pt idx="876">
                  <c:v>4.1856949774792245</c:v>
                </c:pt>
                <c:pt idx="877">
                  <c:v>5.2320975867795276</c:v>
                </c:pt>
                <c:pt idx="878">
                  <c:v>5.2100121275022175</c:v>
                </c:pt>
                <c:pt idx="879">
                  <c:v>5.1150036600397399</c:v>
                </c:pt>
                <c:pt idx="880">
                  <c:v>5.1779705740981719</c:v>
                </c:pt>
                <c:pt idx="881">
                  <c:v>4.8910523448313938</c:v>
                </c:pt>
                <c:pt idx="882">
                  <c:v>5.1979575074656967</c:v>
                </c:pt>
                <c:pt idx="883">
                  <c:v>4.6909916244714598</c:v>
                </c:pt>
                <c:pt idx="884">
                  <c:v>5.3050171177906993</c:v>
                </c:pt>
                <c:pt idx="885">
                  <c:v>4.8312169662512829</c:v>
                </c:pt>
                <c:pt idx="886">
                  <c:v>4.422621790534814</c:v>
                </c:pt>
                <c:pt idx="887">
                  <c:v>3.7053794900048267</c:v>
                </c:pt>
                <c:pt idx="888">
                  <c:v>5.0432082523635451</c:v>
                </c:pt>
                <c:pt idx="889">
                  <c:v>5.2950626106669514</c:v>
                </c:pt>
                <c:pt idx="890">
                  <c:v>4.944691391729604</c:v>
                </c:pt>
                <c:pt idx="891">
                  <c:v>4.2912202262878907</c:v>
                </c:pt>
                <c:pt idx="892">
                  <c:v>5.6732562425011057</c:v>
                </c:pt>
                <c:pt idx="893">
                  <c:v>4.6942544582679471</c:v>
                </c:pt>
                <c:pt idx="894">
                  <c:v>5.6935475334634162</c:v>
                </c:pt>
                <c:pt idx="895">
                  <c:v>5.2876356082815761</c:v>
                </c:pt>
                <c:pt idx="896">
                  <c:v>4.7112988279664645</c:v>
                </c:pt>
                <c:pt idx="897">
                  <c:v>5.3186306338150651</c:v>
                </c:pt>
                <c:pt idx="898">
                  <c:v>4.9636504027475787</c:v>
                </c:pt>
                <c:pt idx="899">
                  <c:v>5.4962927157034756</c:v>
                </c:pt>
                <c:pt idx="900">
                  <c:v>4.3746971634899943</c:v>
                </c:pt>
                <c:pt idx="901">
                  <c:v>5.608472707932993</c:v>
                </c:pt>
                <c:pt idx="902">
                  <c:v>5.4691178842668986</c:v>
                </c:pt>
                <c:pt idx="903">
                  <c:v>4.5642092216339361</c:v>
                </c:pt>
                <c:pt idx="904">
                  <c:v>5.1962008519985545</c:v>
                </c:pt>
                <c:pt idx="905">
                  <c:v>5.8699932811689397</c:v>
                </c:pt>
                <c:pt idx="906">
                  <c:v>6.0379392011465871</c:v>
                </c:pt>
                <c:pt idx="907">
                  <c:v>5.1027234126035967</c:v>
                </c:pt>
                <c:pt idx="908">
                  <c:v>5.6573915521624905</c:v>
                </c:pt>
                <c:pt idx="909">
                  <c:v>4.6973790511374407</c:v>
                </c:pt>
                <c:pt idx="910">
                  <c:v>5.5926479534200961</c:v>
                </c:pt>
                <c:pt idx="911">
                  <c:v>5.5911869240346839</c:v>
                </c:pt>
                <c:pt idx="912">
                  <c:v>4.6047905285279569</c:v>
                </c:pt>
                <c:pt idx="913">
                  <c:v>4.9212601421865454</c:v>
                </c:pt>
                <c:pt idx="914">
                  <c:v>5.7057263799972944</c:v>
                </c:pt>
                <c:pt idx="915">
                  <c:v>6.1929940566496189</c:v>
                </c:pt>
                <c:pt idx="916">
                  <c:v>4.4522023728054982</c:v>
                </c:pt>
                <c:pt idx="917">
                  <c:v>4.995030147505986</c:v>
                </c:pt>
                <c:pt idx="918">
                  <c:v>4.7720089147749825</c:v>
                </c:pt>
                <c:pt idx="919">
                  <c:v>4.6479991294657719</c:v>
                </c:pt>
                <c:pt idx="920">
                  <c:v>5.2097203843946946</c:v>
                </c:pt>
                <c:pt idx="921">
                  <c:v>4.8638567838850264</c:v>
                </c:pt>
                <c:pt idx="922">
                  <c:v>5.8049831711023216</c:v>
                </c:pt>
                <c:pt idx="923">
                  <c:v>5.1153343243373453</c:v>
                </c:pt>
                <c:pt idx="924">
                  <c:v>5.470034910469268</c:v>
                </c:pt>
                <c:pt idx="925">
                  <c:v>4.0386134584686513</c:v>
                </c:pt>
                <c:pt idx="926">
                  <c:v>4.82296824876682</c:v>
                </c:pt>
                <c:pt idx="927">
                  <c:v>4.9361779264576562</c:v>
                </c:pt>
                <c:pt idx="928">
                  <c:v>5.2014439583938437</c:v>
                </c:pt>
                <c:pt idx="929">
                  <c:v>4.5323364090290887</c:v>
                </c:pt>
                <c:pt idx="930">
                  <c:v>4.3444293996301671</c:v>
                </c:pt>
                <c:pt idx="931">
                  <c:v>4.9584843876236633</c:v>
                </c:pt>
                <c:pt idx="932">
                  <c:v>7.1336295164111494</c:v>
                </c:pt>
                <c:pt idx="933">
                  <c:v>6.06527803109514</c:v>
                </c:pt>
                <c:pt idx="934">
                  <c:v>4.1660448020509389</c:v>
                </c:pt>
                <c:pt idx="935">
                  <c:v>4.983802323857832</c:v>
                </c:pt>
                <c:pt idx="936">
                  <c:v>5.7063078477530009</c:v>
                </c:pt>
                <c:pt idx="937">
                  <c:v>4.3667497254725856</c:v>
                </c:pt>
                <c:pt idx="938">
                  <c:v>6.7089444813013674</c:v>
                </c:pt>
                <c:pt idx="939">
                  <c:v>5.8930725790149552</c:v>
                </c:pt>
                <c:pt idx="940">
                  <c:v>5.7470188762309693</c:v>
                </c:pt>
                <c:pt idx="941">
                  <c:v>5.2434871696056007</c:v>
                </c:pt>
                <c:pt idx="942">
                  <c:v>4.800466029208911</c:v>
                </c:pt>
                <c:pt idx="943">
                  <c:v>5.3948675917102786</c:v>
                </c:pt>
                <c:pt idx="944">
                  <c:v>5.1524186147206876</c:v>
                </c:pt>
                <c:pt idx="945">
                  <c:v>4.9037964565608565</c:v>
                </c:pt>
                <c:pt idx="946">
                  <c:v>6.1037002649545364</c:v>
                </c:pt>
                <c:pt idx="947">
                  <c:v>4.9896332163311943</c:v>
                </c:pt>
                <c:pt idx="948">
                  <c:v>4.1625720071141732</c:v>
                </c:pt>
                <c:pt idx="949">
                  <c:v>4.5023982866226433</c:v>
                </c:pt>
                <c:pt idx="950">
                  <c:v>5.4843080190291715</c:v>
                </c:pt>
                <c:pt idx="951">
                  <c:v>4.7316511742537077</c:v>
                </c:pt>
                <c:pt idx="952">
                  <c:v>5.4082303426214793</c:v>
                </c:pt>
                <c:pt idx="953">
                  <c:v>4.2685196124759326</c:v>
                </c:pt>
                <c:pt idx="954">
                  <c:v>5.8705457961247003</c:v>
                </c:pt>
                <c:pt idx="955">
                  <c:v>5.3151310556787745</c:v>
                </c:pt>
                <c:pt idx="956">
                  <c:v>5.0226820911976642</c:v>
                </c:pt>
                <c:pt idx="957">
                  <c:v>5.1061287522232828</c:v>
                </c:pt>
                <c:pt idx="958">
                  <c:v>5.6668372413081052</c:v>
                </c:pt>
                <c:pt idx="959">
                  <c:v>5.4133048167017961</c:v>
                </c:pt>
                <c:pt idx="960">
                  <c:v>5.4725519694323612</c:v>
                </c:pt>
                <c:pt idx="961">
                  <c:v>5.2459698075631707</c:v>
                </c:pt>
                <c:pt idx="962">
                  <c:v>5.8828947809504477</c:v>
                </c:pt>
                <c:pt idx="963">
                  <c:v>5.9500808069703588</c:v>
                </c:pt>
                <c:pt idx="964">
                  <c:v>4.1595901492226641</c:v>
                </c:pt>
                <c:pt idx="965">
                  <c:v>4.9743945931157718</c:v>
                </c:pt>
                <c:pt idx="966">
                  <c:v>5.9916160079607117</c:v>
                </c:pt>
                <c:pt idx="967">
                  <c:v>4.4834455957208981</c:v>
                </c:pt>
                <c:pt idx="968">
                  <c:v>4.3865499393115481</c:v>
                </c:pt>
                <c:pt idx="969">
                  <c:v>4.7962768703632079</c:v>
                </c:pt>
                <c:pt idx="970">
                  <c:v>5.2639583889599084</c:v>
                </c:pt>
                <c:pt idx="971">
                  <c:v>5.8320777567446296</c:v>
                </c:pt>
                <c:pt idx="972">
                  <c:v>6.2602648630639059</c:v>
                </c:pt>
                <c:pt idx="973">
                  <c:v>5.004185113532186</c:v>
                </c:pt>
                <c:pt idx="974">
                  <c:v>5.4204060019969962</c:v>
                </c:pt>
                <c:pt idx="975">
                  <c:v>4.6656517377391662</c:v>
                </c:pt>
                <c:pt idx="976">
                  <c:v>5.0351091918190161</c:v>
                </c:pt>
                <c:pt idx="977">
                  <c:v>5.1951050954495717</c:v>
                </c:pt>
                <c:pt idx="978">
                  <c:v>4.7258354424868063</c:v>
                </c:pt>
                <c:pt idx="979">
                  <c:v>4.0252703336814868</c:v>
                </c:pt>
                <c:pt idx="980">
                  <c:v>5.512537085299499</c:v>
                </c:pt>
                <c:pt idx="981">
                  <c:v>4.8408923476982668</c:v>
                </c:pt>
                <c:pt idx="982">
                  <c:v>5.0236680379638212</c:v>
                </c:pt>
                <c:pt idx="983">
                  <c:v>5.0878370672469249</c:v>
                </c:pt>
                <c:pt idx="984">
                  <c:v>5.6390205886384983</c:v>
                </c:pt>
                <c:pt idx="985">
                  <c:v>5.6207722927332426</c:v>
                </c:pt>
                <c:pt idx="986">
                  <c:v>4.6603867291156753</c:v>
                </c:pt>
                <c:pt idx="987">
                  <c:v>5.7568787621559121</c:v>
                </c:pt>
                <c:pt idx="988">
                  <c:v>4.7074694903123522</c:v>
                </c:pt>
                <c:pt idx="989">
                  <c:v>5.2215083297930711</c:v>
                </c:pt>
                <c:pt idx="990">
                  <c:v>6.1234516155819261</c:v>
                </c:pt>
                <c:pt idx="991">
                  <c:v>4.6770883437660444</c:v>
                </c:pt>
                <c:pt idx="992">
                  <c:v>5.6513538846529414</c:v>
                </c:pt>
                <c:pt idx="993">
                  <c:v>5.750183810967993</c:v>
                </c:pt>
                <c:pt idx="994">
                  <c:v>4.6910011447934128</c:v>
                </c:pt>
                <c:pt idx="995">
                  <c:v>5.2527110612810048</c:v>
                </c:pt>
                <c:pt idx="996">
                  <c:v>4.860700729291759</c:v>
                </c:pt>
                <c:pt idx="997">
                  <c:v>6.0058752109224276</c:v>
                </c:pt>
                <c:pt idx="998">
                  <c:v>5.578426516237819</c:v>
                </c:pt>
                <c:pt idx="999">
                  <c:v>6.2615257628275955</c:v>
                </c:pt>
              </c:numCache>
            </c:numRef>
          </c:xVal>
          <c:yVal>
            <c:numRef>
              <c:f>CEASimulation!$G$11:$G$1010</c:f>
              <c:numCache>
                <c:formatCode>0</c:formatCode>
                <c:ptCount val="1000"/>
                <c:pt idx="0">
                  <c:v>-816.61981703107267</c:v>
                </c:pt>
                <c:pt idx="1">
                  <c:v>-1297.0625128526092</c:v>
                </c:pt>
                <c:pt idx="2">
                  <c:v>-931.91159646384949</c:v>
                </c:pt>
                <c:pt idx="3">
                  <c:v>-1198.3643829548889</c:v>
                </c:pt>
                <c:pt idx="4">
                  <c:v>-980.47318038028016</c:v>
                </c:pt>
                <c:pt idx="5">
                  <c:v>-1008.5859025232448</c:v>
                </c:pt>
                <c:pt idx="6">
                  <c:v>-1010.846838793233</c:v>
                </c:pt>
                <c:pt idx="7">
                  <c:v>-1171.5112746941609</c:v>
                </c:pt>
                <c:pt idx="8">
                  <c:v>-1504.5295097442149</c:v>
                </c:pt>
                <c:pt idx="9">
                  <c:v>-833.87763331081464</c:v>
                </c:pt>
                <c:pt idx="10">
                  <c:v>-441.80907475813729</c:v>
                </c:pt>
                <c:pt idx="11">
                  <c:v>-1120.9077595060298</c:v>
                </c:pt>
                <c:pt idx="12">
                  <c:v>-1027.4449111165336</c:v>
                </c:pt>
                <c:pt idx="13">
                  <c:v>-1290.3913946357852</c:v>
                </c:pt>
                <c:pt idx="14">
                  <c:v>-501.22783294285409</c:v>
                </c:pt>
                <c:pt idx="15">
                  <c:v>-1028.359705594868</c:v>
                </c:pt>
                <c:pt idx="16">
                  <c:v>-1400.9140534576254</c:v>
                </c:pt>
                <c:pt idx="17">
                  <c:v>-868.16897626840864</c:v>
                </c:pt>
                <c:pt idx="18">
                  <c:v>-617.85529171998269</c:v>
                </c:pt>
                <c:pt idx="19">
                  <c:v>-1105.3173113265357</c:v>
                </c:pt>
                <c:pt idx="20">
                  <c:v>-1391.7396120697986</c:v>
                </c:pt>
                <c:pt idx="21">
                  <c:v>-767.3609173879131</c:v>
                </c:pt>
                <c:pt idx="22">
                  <c:v>-1312.6655271154013</c:v>
                </c:pt>
                <c:pt idx="23">
                  <c:v>-732.70325404399455</c:v>
                </c:pt>
                <c:pt idx="24">
                  <c:v>-892.16935819380569</c:v>
                </c:pt>
                <c:pt idx="25">
                  <c:v>-897.01577438602862</c:v>
                </c:pt>
                <c:pt idx="26">
                  <c:v>-965.73740836438401</c:v>
                </c:pt>
                <c:pt idx="27">
                  <c:v>-1322.6674669727627</c:v>
                </c:pt>
                <c:pt idx="28">
                  <c:v>-891.93778148537604</c:v>
                </c:pt>
                <c:pt idx="29">
                  <c:v>-1173.9004308326425</c:v>
                </c:pt>
                <c:pt idx="30">
                  <c:v>-808.70532828911928</c:v>
                </c:pt>
                <c:pt idx="31">
                  <c:v>-968.62489800368712</c:v>
                </c:pt>
                <c:pt idx="32">
                  <c:v>-728.26899489714742</c:v>
                </c:pt>
                <c:pt idx="33">
                  <c:v>-741.43960769740443</c:v>
                </c:pt>
                <c:pt idx="34">
                  <c:v>-829.70797727375293</c:v>
                </c:pt>
                <c:pt idx="35">
                  <c:v>-523.49445979448865</c:v>
                </c:pt>
                <c:pt idx="36">
                  <c:v>-798.85837918069387</c:v>
                </c:pt>
                <c:pt idx="37">
                  <c:v>-945.89443116157281</c:v>
                </c:pt>
                <c:pt idx="38">
                  <c:v>-1175.1724269000238</c:v>
                </c:pt>
                <c:pt idx="39">
                  <c:v>-779.8823388902947</c:v>
                </c:pt>
                <c:pt idx="40">
                  <c:v>-808.80889571367516</c:v>
                </c:pt>
                <c:pt idx="41">
                  <c:v>-842.47708882103007</c:v>
                </c:pt>
                <c:pt idx="42">
                  <c:v>-1046.4441072022214</c:v>
                </c:pt>
                <c:pt idx="43">
                  <c:v>-1166.7296491507241</c:v>
                </c:pt>
                <c:pt idx="44">
                  <c:v>-800.4177616450138</c:v>
                </c:pt>
                <c:pt idx="45">
                  <c:v>-1046.2705618775381</c:v>
                </c:pt>
                <c:pt idx="46">
                  <c:v>-1109.3582795917118</c:v>
                </c:pt>
                <c:pt idx="47">
                  <c:v>-865.78764288865705</c:v>
                </c:pt>
                <c:pt idx="48">
                  <c:v>-1055.1363865399453</c:v>
                </c:pt>
                <c:pt idx="49">
                  <c:v>-911.17422693001799</c:v>
                </c:pt>
                <c:pt idx="50">
                  <c:v>-1000.1361338776983</c:v>
                </c:pt>
                <c:pt idx="51">
                  <c:v>-1310.8799963773859</c:v>
                </c:pt>
                <c:pt idx="52">
                  <c:v>-1017.1031583551021</c:v>
                </c:pt>
                <c:pt idx="53">
                  <c:v>-1115.7352946572719</c:v>
                </c:pt>
                <c:pt idx="54">
                  <c:v>-644.83249311658574</c:v>
                </c:pt>
                <c:pt idx="55">
                  <c:v>-1175.6825185076964</c:v>
                </c:pt>
                <c:pt idx="56">
                  <c:v>-1030.4010637115257</c:v>
                </c:pt>
                <c:pt idx="57">
                  <c:v>-857.26026112110003</c:v>
                </c:pt>
                <c:pt idx="58">
                  <c:v>-984.36516028605183</c:v>
                </c:pt>
                <c:pt idx="59">
                  <c:v>-460.03922603186447</c:v>
                </c:pt>
                <c:pt idx="60">
                  <c:v>-980.47935057838913</c:v>
                </c:pt>
                <c:pt idx="61">
                  <c:v>-676.13238524034114</c:v>
                </c:pt>
                <c:pt idx="62">
                  <c:v>-970.45738699065896</c:v>
                </c:pt>
                <c:pt idx="63">
                  <c:v>-1309.5686194363466</c:v>
                </c:pt>
                <c:pt idx="64">
                  <c:v>-1134.5567804441644</c:v>
                </c:pt>
                <c:pt idx="65">
                  <c:v>-1081.6680381629455</c:v>
                </c:pt>
                <c:pt idx="66">
                  <c:v>-1042.2998525911489</c:v>
                </c:pt>
                <c:pt idx="67">
                  <c:v>-400.09478080893359</c:v>
                </c:pt>
                <c:pt idx="68">
                  <c:v>-1473.0572453010125</c:v>
                </c:pt>
                <c:pt idx="69">
                  <c:v>-762.71464514215813</c:v>
                </c:pt>
                <c:pt idx="70">
                  <c:v>-788.07438560823493</c:v>
                </c:pt>
                <c:pt idx="71">
                  <c:v>-989.33829158628805</c:v>
                </c:pt>
                <c:pt idx="72">
                  <c:v>-951.08875052639542</c:v>
                </c:pt>
                <c:pt idx="73">
                  <c:v>-995.98009423035637</c:v>
                </c:pt>
                <c:pt idx="74">
                  <c:v>-841.52113213164557</c:v>
                </c:pt>
                <c:pt idx="75">
                  <c:v>-1818.9185237692413</c:v>
                </c:pt>
                <c:pt idx="76">
                  <c:v>-1084.2867917789995</c:v>
                </c:pt>
                <c:pt idx="77">
                  <c:v>-1116.5950901602237</c:v>
                </c:pt>
                <c:pt idx="78">
                  <c:v>-1147.2785298956405</c:v>
                </c:pt>
                <c:pt idx="79">
                  <c:v>-1105.8128748967258</c:v>
                </c:pt>
                <c:pt idx="80">
                  <c:v>-1355.0545636160614</c:v>
                </c:pt>
                <c:pt idx="81">
                  <c:v>-924.466249620707</c:v>
                </c:pt>
                <c:pt idx="82">
                  <c:v>-1347.3892978361587</c:v>
                </c:pt>
                <c:pt idx="83">
                  <c:v>-411.59713809750701</c:v>
                </c:pt>
                <c:pt idx="84">
                  <c:v>-924.93938165372788</c:v>
                </c:pt>
                <c:pt idx="85">
                  <c:v>-1160.8953895214477</c:v>
                </c:pt>
                <c:pt idx="86">
                  <c:v>-1508.3646868498313</c:v>
                </c:pt>
                <c:pt idx="87">
                  <c:v>-1332.7167176066541</c:v>
                </c:pt>
                <c:pt idx="88">
                  <c:v>-772.00842152283894</c:v>
                </c:pt>
                <c:pt idx="89">
                  <c:v>-433.20916655754672</c:v>
                </c:pt>
                <c:pt idx="90">
                  <c:v>-1266.2339766942964</c:v>
                </c:pt>
                <c:pt idx="91">
                  <c:v>-973.89778336369864</c:v>
                </c:pt>
                <c:pt idx="92">
                  <c:v>-1186.0180143821672</c:v>
                </c:pt>
                <c:pt idx="93">
                  <c:v>-1089.578390603604</c:v>
                </c:pt>
                <c:pt idx="94">
                  <c:v>-455.54725022207185</c:v>
                </c:pt>
                <c:pt idx="95">
                  <c:v>-677.60567487200342</c:v>
                </c:pt>
                <c:pt idx="96">
                  <c:v>-989.13258597050299</c:v>
                </c:pt>
                <c:pt idx="97">
                  <c:v>-986.37484639103923</c:v>
                </c:pt>
                <c:pt idx="98">
                  <c:v>-992.65874097425194</c:v>
                </c:pt>
                <c:pt idx="99">
                  <c:v>-683.0899073045739</c:v>
                </c:pt>
                <c:pt idx="100">
                  <c:v>-925.20309801618032</c:v>
                </c:pt>
                <c:pt idx="101">
                  <c:v>-881.06940796576828</c:v>
                </c:pt>
                <c:pt idx="102">
                  <c:v>-544.67747626804521</c:v>
                </c:pt>
                <c:pt idx="103">
                  <c:v>-809.49771296104882</c:v>
                </c:pt>
                <c:pt idx="104">
                  <c:v>-1245.2144579924502</c:v>
                </c:pt>
                <c:pt idx="105">
                  <c:v>-913.66757224670255</c:v>
                </c:pt>
                <c:pt idx="106">
                  <c:v>-665.77899738519636</c:v>
                </c:pt>
                <c:pt idx="107">
                  <c:v>-816.15217398863615</c:v>
                </c:pt>
                <c:pt idx="108">
                  <c:v>-1399.6542782785591</c:v>
                </c:pt>
                <c:pt idx="109">
                  <c:v>-733.69848208502844</c:v>
                </c:pt>
                <c:pt idx="110">
                  <c:v>-687.10430927177458</c:v>
                </c:pt>
                <c:pt idx="111">
                  <c:v>-1042.9256609309589</c:v>
                </c:pt>
                <c:pt idx="112">
                  <c:v>-1423.8400153723401</c:v>
                </c:pt>
                <c:pt idx="113">
                  <c:v>-1184.4645494592955</c:v>
                </c:pt>
                <c:pt idx="114">
                  <c:v>-1106.3313540491563</c:v>
                </c:pt>
                <c:pt idx="115">
                  <c:v>-1099.5477705248895</c:v>
                </c:pt>
                <c:pt idx="116">
                  <c:v>-713.06853261594688</c:v>
                </c:pt>
                <c:pt idx="117">
                  <c:v>-796.4964544770487</c:v>
                </c:pt>
                <c:pt idx="118">
                  <c:v>-1181.7141427098186</c:v>
                </c:pt>
                <c:pt idx="119">
                  <c:v>-610.81206414005419</c:v>
                </c:pt>
                <c:pt idx="120">
                  <c:v>-1405.9284588069168</c:v>
                </c:pt>
                <c:pt idx="121">
                  <c:v>-738.64099667771779</c:v>
                </c:pt>
                <c:pt idx="122">
                  <c:v>-1225.0841687977231</c:v>
                </c:pt>
                <c:pt idx="123">
                  <c:v>-901.27327251709949</c:v>
                </c:pt>
                <c:pt idx="124">
                  <c:v>-852.54207587702604</c:v>
                </c:pt>
                <c:pt idx="125">
                  <c:v>-760.57813113457451</c:v>
                </c:pt>
                <c:pt idx="126">
                  <c:v>-893.75973587893895</c:v>
                </c:pt>
                <c:pt idx="127">
                  <c:v>-1217.0808648075893</c:v>
                </c:pt>
                <c:pt idx="128">
                  <c:v>-1154.1125747745832</c:v>
                </c:pt>
                <c:pt idx="129">
                  <c:v>-919.2382156281783</c:v>
                </c:pt>
                <c:pt idx="130">
                  <c:v>-922.71883018012613</c:v>
                </c:pt>
                <c:pt idx="131">
                  <c:v>-673.93593453688345</c:v>
                </c:pt>
                <c:pt idx="132">
                  <c:v>-929.12072395011728</c:v>
                </c:pt>
                <c:pt idx="133">
                  <c:v>-864.7446475579527</c:v>
                </c:pt>
                <c:pt idx="134">
                  <c:v>-1432.6646746435626</c:v>
                </c:pt>
                <c:pt idx="135">
                  <c:v>-1337.7207845640653</c:v>
                </c:pt>
                <c:pt idx="136">
                  <c:v>-1138.8416791613217</c:v>
                </c:pt>
                <c:pt idx="137">
                  <c:v>-1109.8573436054362</c:v>
                </c:pt>
                <c:pt idx="138">
                  <c:v>-864.20796792387546</c:v>
                </c:pt>
                <c:pt idx="139">
                  <c:v>-1276.3765692636989</c:v>
                </c:pt>
                <c:pt idx="140">
                  <c:v>-856.90076785614428</c:v>
                </c:pt>
                <c:pt idx="141">
                  <c:v>-1421.1782868104196</c:v>
                </c:pt>
                <c:pt idx="142">
                  <c:v>-1266.0982772855152</c:v>
                </c:pt>
                <c:pt idx="143">
                  <c:v>-1195.2078872961447</c:v>
                </c:pt>
                <c:pt idx="144">
                  <c:v>-1113.3703538351724</c:v>
                </c:pt>
                <c:pt idx="145">
                  <c:v>-764.23897153464259</c:v>
                </c:pt>
                <c:pt idx="146">
                  <c:v>-1416.4527328710819</c:v>
                </c:pt>
                <c:pt idx="147">
                  <c:v>-670.44036664330315</c:v>
                </c:pt>
                <c:pt idx="148">
                  <c:v>-1044.5504539604804</c:v>
                </c:pt>
                <c:pt idx="149">
                  <c:v>-1073.7111347488176</c:v>
                </c:pt>
                <c:pt idx="150">
                  <c:v>-993.71294561042669</c:v>
                </c:pt>
                <c:pt idx="151">
                  <c:v>-1164.217069571185</c:v>
                </c:pt>
                <c:pt idx="152">
                  <c:v>-847.1990762629207</c:v>
                </c:pt>
                <c:pt idx="153">
                  <c:v>-1150.3097510235962</c:v>
                </c:pt>
                <c:pt idx="154">
                  <c:v>-1255.9006583942412</c:v>
                </c:pt>
                <c:pt idx="155">
                  <c:v>-1019.6173796464129</c:v>
                </c:pt>
                <c:pt idx="156">
                  <c:v>-713.44378582196646</c:v>
                </c:pt>
                <c:pt idx="157">
                  <c:v>-1014.7552207911594</c:v>
                </c:pt>
                <c:pt idx="158">
                  <c:v>-984.76561612759906</c:v>
                </c:pt>
                <c:pt idx="159">
                  <c:v>-1086.9385209347204</c:v>
                </c:pt>
                <c:pt idx="160">
                  <c:v>-1145.8689126492554</c:v>
                </c:pt>
                <c:pt idx="161">
                  <c:v>-940.42199671476533</c:v>
                </c:pt>
                <c:pt idx="162">
                  <c:v>-557.35177010249754</c:v>
                </c:pt>
                <c:pt idx="163">
                  <c:v>-1379.2050795291889</c:v>
                </c:pt>
                <c:pt idx="164">
                  <c:v>-804.46589996609214</c:v>
                </c:pt>
                <c:pt idx="165">
                  <c:v>-946.87933831577993</c:v>
                </c:pt>
                <c:pt idx="166">
                  <c:v>-559.85923671081628</c:v>
                </c:pt>
                <c:pt idx="167">
                  <c:v>-332.23832687714867</c:v>
                </c:pt>
                <c:pt idx="168">
                  <c:v>-1082.8981928746473</c:v>
                </c:pt>
                <c:pt idx="169">
                  <c:v>-644.85441577040683</c:v>
                </c:pt>
                <c:pt idx="170">
                  <c:v>-1164.2835635594088</c:v>
                </c:pt>
                <c:pt idx="171">
                  <c:v>-724.44979804410968</c:v>
                </c:pt>
                <c:pt idx="172">
                  <c:v>-1466.3678797613966</c:v>
                </c:pt>
                <c:pt idx="173">
                  <c:v>-857.42435085749457</c:v>
                </c:pt>
                <c:pt idx="174">
                  <c:v>-394.93215297167353</c:v>
                </c:pt>
                <c:pt idx="175">
                  <c:v>-1253.0186001789289</c:v>
                </c:pt>
                <c:pt idx="176">
                  <c:v>-1510.3562829417374</c:v>
                </c:pt>
                <c:pt idx="177">
                  <c:v>-1155.3151404420937</c:v>
                </c:pt>
                <c:pt idx="178">
                  <c:v>-1044.3477163521779</c:v>
                </c:pt>
                <c:pt idx="179">
                  <c:v>-1616.3004256918725</c:v>
                </c:pt>
                <c:pt idx="180">
                  <c:v>-587.72253844032502</c:v>
                </c:pt>
                <c:pt idx="181">
                  <c:v>-1093.1933119800342</c:v>
                </c:pt>
                <c:pt idx="182">
                  <c:v>-694.64440417068272</c:v>
                </c:pt>
                <c:pt idx="183">
                  <c:v>-1052.9049637209082</c:v>
                </c:pt>
                <c:pt idx="184">
                  <c:v>-964.520066562794</c:v>
                </c:pt>
                <c:pt idx="185">
                  <c:v>-422.65636699238985</c:v>
                </c:pt>
                <c:pt idx="186">
                  <c:v>-782.99913410294766</c:v>
                </c:pt>
                <c:pt idx="187">
                  <c:v>-788.22415005637549</c:v>
                </c:pt>
                <c:pt idx="188">
                  <c:v>-1260.8883346842317</c:v>
                </c:pt>
                <c:pt idx="189">
                  <c:v>-1119.395181621665</c:v>
                </c:pt>
                <c:pt idx="190">
                  <c:v>-849.94287388132216</c:v>
                </c:pt>
                <c:pt idx="191">
                  <c:v>-518.12247861394735</c:v>
                </c:pt>
                <c:pt idx="192">
                  <c:v>-1149.7466031005756</c:v>
                </c:pt>
                <c:pt idx="193">
                  <c:v>-1101.2322033058963</c:v>
                </c:pt>
                <c:pt idx="194">
                  <c:v>-773.63803924054582</c:v>
                </c:pt>
                <c:pt idx="195">
                  <c:v>-684.32737213638666</c:v>
                </c:pt>
                <c:pt idx="196">
                  <c:v>-1035.5771538985305</c:v>
                </c:pt>
                <c:pt idx="197">
                  <c:v>-798.78075356922932</c:v>
                </c:pt>
                <c:pt idx="198">
                  <c:v>-686.731957640769</c:v>
                </c:pt>
                <c:pt idx="199">
                  <c:v>-757.78951953213436</c:v>
                </c:pt>
                <c:pt idx="200">
                  <c:v>-976.40610827030332</c:v>
                </c:pt>
                <c:pt idx="201">
                  <c:v>-404.816795307343</c:v>
                </c:pt>
                <c:pt idx="202">
                  <c:v>-1406.7860112322219</c:v>
                </c:pt>
                <c:pt idx="203">
                  <c:v>-712.24967975094569</c:v>
                </c:pt>
                <c:pt idx="204">
                  <c:v>-1165.1581557013878</c:v>
                </c:pt>
                <c:pt idx="205">
                  <c:v>-996.38528602037968</c:v>
                </c:pt>
                <c:pt idx="206">
                  <c:v>-884.63642435964357</c:v>
                </c:pt>
                <c:pt idx="207">
                  <c:v>-858.16820510316211</c:v>
                </c:pt>
                <c:pt idx="208">
                  <c:v>-769.12984444054973</c:v>
                </c:pt>
                <c:pt idx="209">
                  <c:v>-488.75306539068242</c:v>
                </c:pt>
                <c:pt idx="210">
                  <c:v>-799.69413749088608</c:v>
                </c:pt>
                <c:pt idx="211">
                  <c:v>-1208.4956355991521</c:v>
                </c:pt>
                <c:pt idx="212">
                  <c:v>-1112.1270192081656</c:v>
                </c:pt>
                <c:pt idx="213">
                  <c:v>-1223.8670727345157</c:v>
                </c:pt>
                <c:pt idx="214">
                  <c:v>-726.25311070745556</c:v>
                </c:pt>
                <c:pt idx="215">
                  <c:v>-1264.3628440727339</c:v>
                </c:pt>
                <c:pt idx="216">
                  <c:v>-1038.6693708692028</c:v>
                </c:pt>
                <c:pt idx="217">
                  <c:v>-881.51323238635723</c:v>
                </c:pt>
                <c:pt idx="218">
                  <c:v>-978.42958355967767</c:v>
                </c:pt>
                <c:pt idx="219">
                  <c:v>-779.70465210099246</c:v>
                </c:pt>
                <c:pt idx="220">
                  <c:v>-759.45240571191562</c:v>
                </c:pt>
                <c:pt idx="221">
                  <c:v>-800.99919319296851</c:v>
                </c:pt>
                <c:pt idx="222">
                  <c:v>-972.87522729284956</c:v>
                </c:pt>
                <c:pt idx="223">
                  <c:v>-1207.7176822979256</c:v>
                </c:pt>
                <c:pt idx="224">
                  <c:v>-807.76880073007987</c:v>
                </c:pt>
                <c:pt idx="225">
                  <c:v>-757.09208998435724</c:v>
                </c:pt>
                <c:pt idx="226">
                  <c:v>-1182.2192979125823</c:v>
                </c:pt>
                <c:pt idx="227">
                  <c:v>-1488.6348243437733</c:v>
                </c:pt>
                <c:pt idx="228">
                  <c:v>-940.62792845418812</c:v>
                </c:pt>
                <c:pt idx="229">
                  <c:v>-568.00182778917724</c:v>
                </c:pt>
                <c:pt idx="230">
                  <c:v>-1479.6924061207535</c:v>
                </c:pt>
                <c:pt idx="231">
                  <c:v>-801.9650343350304</c:v>
                </c:pt>
                <c:pt idx="232">
                  <c:v>-806.03810164339893</c:v>
                </c:pt>
                <c:pt idx="233">
                  <c:v>-910.19584073108695</c:v>
                </c:pt>
                <c:pt idx="234">
                  <c:v>-1196.0554891345541</c:v>
                </c:pt>
                <c:pt idx="235">
                  <c:v>-922.79486935045406</c:v>
                </c:pt>
                <c:pt idx="236">
                  <c:v>-848.90996000039331</c:v>
                </c:pt>
                <c:pt idx="237">
                  <c:v>-778.04031804998567</c:v>
                </c:pt>
                <c:pt idx="238">
                  <c:v>-1257.6426927687012</c:v>
                </c:pt>
                <c:pt idx="239">
                  <c:v>-1019.2641930086688</c:v>
                </c:pt>
                <c:pt idx="240">
                  <c:v>-457.61620620563826</c:v>
                </c:pt>
                <c:pt idx="241">
                  <c:v>-935.42560123466319</c:v>
                </c:pt>
                <c:pt idx="242">
                  <c:v>-1033.4313011293848</c:v>
                </c:pt>
                <c:pt idx="243">
                  <c:v>-502.36523243845795</c:v>
                </c:pt>
                <c:pt idx="244">
                  <c:v>-766.72583356811674</c:v>
                </c:pt>
                <c:pt idx="245">
                  <c:v>-680.7862422965859</c:v>
                </c:pt>
                <c:pt idx="246">
                  <c:v>-844.1752786724569</c:v>
                </c:pt>
                <c:pt idx="247">
                  <c:v>-702.17314303251214</c:v>
                </c:pt>
                <c:pt idx="248">
                  <c:v>-1405.7263927611803</c:v>
                </c:pt>
                <c:pt idx="249">
                  <c:v>-774.4544997931539</c:v>
                </c:pt>
                <c:pt idx="250">
                  <c:v>-612.72396106993801</c:v>
                </c:pt>
                <c:pt idx="251">
                  <c:v>-932.0377112104693</c:v>
                </c:pt>
                <c:pt idx="252">
                  <c:v>-1329.2706256585493</c:v>
                </c:pt>
                <c:pt idx="253">
                  <c:v>-1473.3754601366786</c:v>
                </c:pt>
                <c:pt idx="254">
                  <c:v>-981.43811331195775</c:v>
                </c:pt>
                <c:pt idx="255">
                  <c:v>-1027.2869846744909</c:v>
                </c:pt>
                <c:pt idx="256">
                  <c:v>-646.50768455929574</c:v>
                </c:pt>
                <c:pt idx="257">
                  <c:v>-437.99550799479721</c:v>
                </c:pt>
                <c:pt idx="258">
                  <c:v>-1106.5364876292688</c:v>
                </c:pt>
                <c:pt idx="259">
                  <c:v>-1377.8736300716907</c:v>
                </c:pt>
                <c:pt idx="260">
                  <c:v>-1035.2042669509879</c:v>
                </c:pt>
                <c:pt idx="261">
                  <c:v>-877.98923467654686</c:v>
                </c:pt>
                <c:pt idx="262">
                  <c:v>-733.57965955869804</c:v>
                </c:pt>
                <c:pt idx="263">
                  <c:v>-1427.5425441017337</c:v>
                </c:pt>
                <c:pt idx="264">
                  <c:v>-519.24365437357392</c:v>
                </c:pt>
                <c:pt idx="265">
                  <c:v>-997.14209329401547</c:v>
                </c:pt>
                <c:pt idx="266">
                  <c:v>-1407.1309286320707</c:v>
                </c:pt>
                <c:pt idx="267">
                  <c:v>-933.46011920629098</c:v>
                </c:pt>
                <c:pt idx="268">
                  <c:v>-1006.9535479268391</c:v>
                </c:pt>
                <c:pt idx="269">
                  <c:v>-1058.9480832320842</c:v>
                </c:pt>
                <c:pt idx="270">
                  <c:v>-1003.1517818805332</c:v>
                </c:pt>
                <c:pt idx="271">
                  <c:v>-1247.3673007364696</c:v>
                </c:pt>
                <c:pt idx="272">
                  <c:v>-1372.5650806620397</c:v>
                </c:pt>
                <c:pt idx="273">
                  <c:v>-632.09703950485527</c:v>
                </c:pt>
                <c:pt idx="274">
                  <c:v>-720.4722107089683</c:v>
                </c:pt>
                <c:pt idx="275">
                  <c:v>-899.70633389462773</c:v>
                </c:pt>
                <c:pt idx="276">
                  <c:v>-1293.2559698061627</c:v>
                </c:pt>
                <c:pt idx="277">
                  <c:v>-1100.9280440791244</c:v>
                </c:pt>
                <c:pt idx="278">
                  <c:v>-840.99729867152064</c:v>
                </c:pt>
                <c:pt idx="279">
                  <c:v>-1360.7956203872627</c:v>
                </c:pt>
                <c:pt idx="280">
                  <c:v>-571.04186043701475</c:v>
                </c:pt>
                <c:pt idx="281">
                  <c:v>-1218.2532366216938</c:v>
                </c:pt>
                <c:pt idx="282">
                  <c:v>-1250.945676153729</c:v>
                </c:pt>
                <c:pt idx="283">
                  <c:v>-933.31043498791223</c:v>
                </c:pt>
                <c:pt idx="284">
                  <c:v>-1137.7176907519802</c:v>
                </c:pt>
                <c:pt idx="285">
                  <c:v>-953.60749366696746</c:v>
                </c:pt>
                <c:pt idx="286">
                  <c:v>-1049.1642702434592</c:v>
                </c:pt>
                <c:pt idx="287">
                  <c:v>-642.76442855220421</c:v>
                </c:pt>
                <c:pt idx="288">
                  <c:v>-1009.6592291672519</c:v>
                </c:pt>
                <c:pt idx="289">
                  <c:v>-1111.4403321325033</c:v>
                </c:pt>
                <c:pt idx="290">
                  <c:v>-1196.1789957724329</c:v>
                </c:pt>
                <c:pt idx="291">
                  <c:v>-1124.2280477800305</c:v>
                </c:pt>
                <c:pt idx="292">
                  <c:v>-824.39187041139758</c:v>
                </c:pt>
                <c:pt idx="293">
                  <c:v>-858.21342625947455</c:v>
                </c:pt>
                <c:pt idx="294">
                  <c:v>-1073.6178105610743</c:v>
                </c:pt>
                <c:pt idx="295">
                  <c:v>-435.93644284284164</c:v>
                </c:pt>
                <c:pt idx="296">
                  <c:v>-405.97633788882695</c:v>
                </c:pt>
                <c:pt idx="297">
                  <c:v>-937.3757191784598</c:v>
                </c:pt>
                <c:pt idx="298">
                  <c:v>-932.10879977031664</c:v>
                </c:pt>
                <c:pt idx="299">
                  <c:v>-603.60384717810712</c:v>
                </c:pt>
                <c:pt idx="300">
                  <c:v>-876.54645404498501</c:v>
                </c:pt>
                <c:pt idx="301">
                  <c:v>-561.47039138342143</c:v>
                </c:pt>
                <c:pt idx="302">
                  <c:v>-776.79021592957338</c:v>
                </c:pt>
                <c:pt idx="303">
                  <c:v>-1017.3282336197449</c:v>
                </c:pt>
                <c:pt idx="304">
                  <c:v>-1146.5347167928117</c:v>
                </c:pt>
                <c:pt idx="305">
                  <c:v>-605.83685254537795</c:v>
                </c:pt>
                <c:pt idx="306">
                  <c:v>-757.83672584846863</c:v>
                </c:pt>
                <c:pt idx="307">
                  <c:v>-1066.5520152402423</c:v>
                </c:pt>
                <c:pt idx="308">
                  <c:v>-744.0177193170075</c:v>
                </c:pt>
                <c:pt idx="309">
                  <c:v>-914.12419901343333</c:v>
                </c:pt>
                <c:pt idx="310">
                  <c:v>-1168.2519147019066</c:v>
                </c:pt>
                <c:pt idx="311">
                  <c:v>-404.38494176309041</c:v>
                </c:pt>
                <c:pt idx="312">
                  <c:v>-1105.8321686484214</c:v>
                </c:pt>
                <c:pt idx="313">
                  <c:v>-672.79833203851695</c:v>
                </c:pt>
                <c:pt idx="314">
                  <c:v>-911.64804472279684</c:v>
                </c:pt>
                <c:pt idx="315">
                  <c:v>-1394.2404405106131</c:v>
                </c:pt>
                <c:pt idx="316">
                  <c:v>-1072.3811697627007</c:v>
                </c:pt>
                <c:pt idx="317">
                  <c:v>-1291.4872138216151</c:v>
                </c:pt>
                <c:pt idx="318">
                  <c:v>-978.46960410762722</c:v>
                </c:pt>
                <c:pt idx="319">
                  <c:v>-1553.0815290061428</c:v>
                </c:pt>
                <c:pt idx="320">
                  <c:v>-565.18977172698987</c:v>
                </c:pt>
                <c:pt idx="321">
                  <c:v>-699.40022747266676</c:v>
                </c:pt>
                <c:pt idx="322">
                  <c:v>-928.32632614306931</c:v>
                </c:pt>
                <c:pt idx="323">
                  <c:v>-1422.5204009572703</c:v>
                </c:pt>
                <c:pt idx="324">
                  <c:v>-1054.3059243232237</c:v>
                </c:pt>
                <c:pt idx="325">
                  <c:v>-1373.0140758226189</c:v>
                </c:pt>
                <c:pt idx="326">
                  <c:v>-602.7656889908003</c:v>
                </c:pt>
                <c:pt idx="327">
                  <c:v>-1305.7112435370673</c:v>
                </c:pt>
                <c:pt idx="328">
                  <c:v>-1309.9251175169411</c:v>
                </c:pt>
                <c:pt idx="329">
                  <c:v>-816.11701179351167</c:v>
                </c:pt>
                <c:pt idx="330">
                  <c:v>-760.39704123454612</c:v>
                </c:pt>
                <c:pt idx="331">
                  <c:v>-1312.8912350704613</c:v>
                </c:pt>
                <c:pt idx="332">
                  <c:v>-682.18096913640466</c:v>
                </c:pt>
                <c:pt idx="333">
                  <c:v>-1379.1334005441254</c:v>
                </c:pt>
                <c:pt idx="334">
                  <c:v>-1430.8838954773087</c:v>
                </c:pt>
                <c:pt idx="335">
                  <c:v>-626.73171688072034</c:v>
                </c:pt>
                <c:pt idx="336">
                  <c:v>-981.99817396609819</c:v>
                </c:pt>
                <c:pt idx="337">
                  <c:v>-1015.8532048183879</c:v>
                </c:pt>
                <c:pt idx="338">
                  <c:v>-855.74702596534917</c:v>
                </c:pt>
                <c:pt idx="339">
                  <c:v>-718.67366453139493</c:v>
                </c:pt>
                <c:pt idx="340">
                  <c:v>-877.16733663229388</c:v>
                </c:pt>
                <c:pt idx="341">
                  <c:v>-962.5391993140579</c:v>
                </c:pt>
                <c:pt idx="342">
                  <c:v>-436.965685935892</c:v>
                </c:pt>
                <c:pt idx="343">
                  <c:v>-887.76442037985498</c:v>
                </c:pt>
                <c:pt idx="344">
                  <c:v>-1015.1926391349421</c:v>
                </c:pt>
                <c:pt idx="345">
                  <c:v>-1004.5043296771414</c:v>
                </c:pt>
                <c:pt idx="346">
                  <c:v>-778.90087217669679</c:v>
                </c:pt>
                <c:pt idx="347">
                  <c:v>-1126.4974761579938</c:v>
                </c:pt>
                <c:pt idx="348">
                  <c:v>-882.92091340145362</c:v>
                </c:pt>
                <c:pt idx="349">
                  <c:v>-798.46605792841638</c:v>
                </c:pt>
                <c:pt idx="350">
                  <c:v>-632.22187060150964</c:v>
                </c:pt>
                <c:pt idx="351">
                  <c:v>-571.36934152737194</c:v>
                </c:pt>
                <c:pt idx="352">
                  <c:v>-1230.2264025402596</c:v>
                </c:pt>
                <c:pt idx="353">
                  <c:v>-370.69923081842671</c:v>
                </c:pt>
                <c:pt idx="354">
                  <c:v>-1104.9181819772102</c:v>
                </c:pt>
                <c:pt idx="355">
                  <c:v>-810.71653002951871</c:v>
                </c:pt>
                <c:pt idx="356">
                  <c:v>-608.94672188622053</c:v>
                </c:pt>
                <c:pt idx="357">
                  <c:v>-851.60063977287564</c:v>
                </c:pt>
                <c:pt idx="358">
                  <c:v>-828.17408262316394</c:v>
                </c:pt>
                <c:pt idx="359">
                  <c:v>-1024.1254013994389</c:v>
                </c:pt>
                <c:pt idx="360">
                  <c:v>-474.23138343500341</c:v>
                </c:pt>
                <c:pt idx="361">
                  <c:v>-859.75482529517012</c:v>
                </c:pt>
                <c:pt idx="362">
                  <c:v>-1063.7048814063814</c:v>
                </c:pt>
                <c:pt idx="363">
                  <c:v>-1135.2248285933842</c:v>
                </c:pt>
                <c:pt idx="364">
                  <c:v>-966.55070823205051</c:v>
                </c:pt>
                <c:pt idx="365">
                  <c:v>-989.54671574533313</c:v>
                </c:pt>
                <c:pt idx="366">
                  <c:v>-766.95177685716772</c:v>
                </c:pt>
                <c:pt idx="367">
                  <c:v>-1156.5274948327144</c:v>
                </c:pt>
                <c:pt idx="368">
                  <c:v>-1143.5847307199697</c:v>
                </c:pt>
                <c:pt idx="369">
                  <c:v>-627.16647884367467</c:v>
                </c:pt>
                <c:pt idx="370">
                  <c:v>-951.80539255597319</c:v>
                </c:pt>
                <c:pt idx="371">
                  <c:v>-1208.2343070927168</c:v>
                </c:pt>
                <c:pt idx="372">
                  <c:v>-864.30194610359695</c:v>
                </c:pt>
                <c:pt idx="373">
                  <c:v>-1208.722201830934</c:v>
                </c:pt>
                <c:pt idx="374">
                  <c:v>-1161.3428946148058</c:v>
                </c:pt>
                <c:pt idx="375">
                  <c:v>-1162.514732219528</c:v>
                </c:pt>
                <c:pt idx="376">
                  <c:v>-605.95002050121093</c:v>
                </c:pt>
                <c:pt idx="377">
                  <c:v>-1091.5728340087226</c:v>
                </c:pt>
                <c:pt idx="378">
                  <c:v>-991.97276994596587</c:v>
                </c:pt>
                <c:pt idx="379">
                  <c:v>-709.37682361858606</c:v>
                </c:pt>
                <c:pt idx="380">
                  <c:v>-602.32176740588648</c:v>
                </c:pt>
                <c:pt idx="381">
                  <c:v>-691.74091136958168</c:v>
                </c:pt>
                <c:pt idx="382">
                  <c:v>-844.45662599828711</c:v>
                </c:pt>
                <c:pt idx="383">
                  <c:v>-905.89355447951448</c:v>
                </c:pt>
                <c:pt idx="384">
                  <c:v>-1101.3921561890734</c:v>
                </c:pt>
                <c:pt idx="385">
                  <c:v>-688.75289045304771</c:v>
                </c:pt>
                <c:pt idx="386">
                  <c:v>-852.42699796989427</c:v>
                </c:pt>
                <c:pt idx="387">
                  <c:v>-1054.3294978445906</c:v>
                </c:pt>
                <c:pt idx="388">
                  <c:v>-939.16032724094634</c:v>
                </c:pt>
                <c:pt idx="389">
                  <c:v>-1251.6595634660398</c:v>
                </c:pt>
                <c:pt idx="390">
                  <c:v>-881.55821346019366</c:v>
                </c:pt>
                <c:pt idx="391">
                  <c:v>-863.54614783217312</c:v>
                </c:pt>
                <c:pt idx="392">
                  <c:v>-486.07674639411312</c:v>
                </c:pt>
                <c:pt idx="393">
                  <c:v>-799.1772003672645</c:v>
                </c:pt>
                <c:pt idx="394">
                  <c:v>-1151.5770853178306</c:v>
                </c:pt>
                <c:pt idx="395">
                  <c:v>-621.11397852805476</c:v>
                </c:pt>
                <c:pt idx="396">
                  <c:v>-1068.8035838409457</c:v>
                </c:pt>
                <c:pt idx="397">
                  <c:v>-859.69471879657181</c:v>
                </c:pt>
                <c:pt idx="398">
                  <c:v>-649.25493295226852</c:v>
                </c:pt>
                <c:pt idx="399">
                  <c:v>-905.70477656857952</c:v>
                </c:pt>
                <c:pt idx="400">
                  <c:v>-892.84471232867327</c:v>
                </c:pt>
                <c:pt idx="401">
                  <c:v>-689.0952453880102</c:v>
                </c:pt>
                <c:pt idx="402">
                  <c:v>-965.62247550597408</c:v>
                </c:pt>
                <c:pt idx="403">
                  <c:v>-519.93668385113961</c:v>
                </c:pt>
                <c:pt idx="404">
                  <c:v>-895.51246891972005</c:v>
                </c:pt>
                <c:pt idx="405">
                  <c:v>-827.5419042774256</c:v>
                </c:pt>
                <c:pt idx="406">
                  <c:v>-881.75661053106592</c:v>
                </c:pt>
                <c:pt idx="407">
                  <c:v>-1358.1610544728997</c:v>
                </c:pt>
                <c:pt idx="408">
                  <c:v>-1252.8402504923347</c:v>
                </c:pt>
                <c:pt idx="409">
                  <c:v>-979.01211425076599</c:v>
                </c:pt>
                <c:pt idx="410">
                  <c:v>-1441.1480052218567</c:v>
                </c:pt>
                <c:pt idx="411">
                  <c:v>-786.64807914759604</c:v>
                </c:pt>
                <c:pt idx="412">
                  <c:v>-925.38583419262545</c:v>
                </c:pt>
                <c:pt idx="413">
                  <c:v>-1140.5412763676761</c:v>
                </c:pt>
                <c:pt idx="414">
                  <c:v>-1025.0024449397765</c:v>
                </c:pt>
                <c:pt idx="415">
                  <c:v>-1144.3868789031862</c:v>
                </c:pt>
                <c:pt idx="416">
                  <c:v>-1361.2800566551107</c:v>
                </c:pt>
                <c:pt idx="417">
                  <c:v>-1425.1183976550215</c:v>
                </c:pt>
                <c:pt idx="418">
                  <c:v>-1632.7350389326855</c:v>
                </c:pt>
                <c:pt idx="419">
                  <c:v>-1016.6413660251255</c:v>
                </c:pt>
                <c:pt idx="420">
                  <c:v>-825.16421969740531</c:v>
                </c:pt>
                <c:pt idx="421">
                  <c:v>-1003.2659765967237</c:v>
                </c:pt>
                <c:pt idx="422">
                  <c:v>-868.04839885154024</c:v>
                </c:pt>
                <c:pt idx="423">
                  <c:v>-870.19388391207121</c:v>
                </c:pt>
                <c:pt idx="424">
                  <c:v>-749.10270929553917</c:v>
                </c:pt>
                <c:pt idx="425">
                  <c:v>-1174.6386121796832</c:v>
                </c:pt>
                <c:pt idx="426">
                  <c:v>-842.33736537192203</c:v>
                </c:pt>
                <c:pt idx="427">
                  <c:v>-881.80739446646567</c:v>
                </c:pt>
                <c:pt idx="428">
                  <c:v>-776.85371258208215</c:v>
                </c:pt>
                <c:pt idx="429">
                  <c:v>-898.43893460440449</c:v>
                </c:pt>
                <c:pt idx="430">
                  <c:v>-775.88238918926709</c:v>
                </c:pt>
                <c:pt idx="431">
                  <c:v>-287.92068245454243</c:v>
                </c:pt>
                <c:pt idx="432">
                  <c:v>-330.16251996448136</c:v>
                </c:pt>
                <c:pt idx="433">
                  <c:v>-1672.0263805943937</c:v>
                </c:pt>
                <c:pt idx="434">
                  <c:v>-974.42375117594429</c:v>
                </c:pt>
                <c:pt idx="435">
                  <c:v>-1209.8800456286954</c:v>
                </c:pt>
                <c:pt idx="436">
                  <c:v>-886.81296879969887</c:v>
                </c:pt>
                <c:pt idx="437">
                  <c:v>-926.7838809420341</c:v>
                </c:pt>
                <c:pt idx="438">
                  <c:v>-861.46726160993012</c:v>
                </c:pt>
                <c:pt idx="439">
                  <c:v>-1208.5274687493347</c:v>
                </c:pt>
                <c:pt idx="440">
                  <c:v>-813.91036579775027</c:v>
                </c:pt>
                <c:pt idx="441">
                  <c:v>-931.65947240852711</c:v>
                </c:pt>
                <c:pt idx="442">
                  <c:v>-1316.9607181045667</c:v>
                </c:pt>
                <c:pt idx="443">
                  <c:v>-930.53040616123462</c:v>
                </c:pt>
                <c:pt idx="444">
                  <c:v>-1106.30684112175</c:v>
                </c:pt>
                <c:pt idx="445">
                  <c:v>-858.47118445462138</c:v>
                </c:pt>
                <c:pt idx="446">
                  <c:v>-818.416346859025</c:v>
                </c:pt>
                <c:pt idx="447">
                  <c:v>-1203.1701879468728</c:v>
                </c:pt>
                <c:pt idx="448">
                  <c:v>-946.11102628790059</c:v>
                </c:pt>
                <c:pt idx="449">
                  <c:v>-907.26154139414075</c:v>
                </c:pt>
                <c:pt idx="450">
                  <c:v>-855.48123949188357</c:v>
                </c:pt>
                <c:pt idx="451">
                  <c:v>-1149.2775208912917</c:v>
                </c:pt>
                <c:pt idx="452">
                  <c:v>-905.91398587151843</c:v>
                </c:pt>
                <c:pt idx="453">
                  <c:v>-1180.9216777129618</c:v>
                </c:pt>
                <c:pt idx="454">
                  <c:v>-820.04847540414426</c:v>
                </c:pt>
                <c:pt idx="455">
                  <c:v>-1230.3148524029643</c:v>
                </c:pt>
                <c:pt idx="456">
                  <c:v>-794.21179905878989</c:v>
                </c:pt>
                <c:pt idx="457">
                  <c:v>-1045.8854492633909</c:v>
                </c:pt>
                <c:pt idx="458">
                  <c:v>-1308.3208798296223</c:v>
                </c:pt>
                <c:pt idx="459">
                  <c:v>-633.51470449953081</c:v>
                </c:pt>
                <c:pt idx="460">
                  <c:v>-1072.2213702899412</c:v>
                </c:pt>
                <c:pt idx="461">
                  <c:v>-1039.4608768327325</c:v>
                </c:pt>
                <c:pt idx="462">
                  <c:v>-1222.8586714613234</c:v>
                </c:pt>
                <c:pt idx="463">
                  <c:v>-1227.5899414254177</c:v>
                </c:pt>
                <c:pt idx="464">
                  <c:v>-427.28062983593054</c:v>
                </c:pt>
                <c:pt idx="465">
                  <c:v>-1056.296209911849</c:v>
                </c:pt>
                <c:pt idx="466">
                  <c:v>-1453.4200109751455</c:v>
                </c:pt>
                <c:pt idx="467">
                  <c:v>-280.48942455813267</c:v>
                </c:pt>
                <c:pt idx="468">
                  <c:v>-862.26172191293745</c:v>
                </c:pt>
                <c:pt idx="469">
                  <c:v>-644.48863803113727</c:v>
                </c:pt>
                <c:pt idx="470">
                  <c:v>-1142.942658836826</c:v>
                </c:pt>
                <c:pt idx="471">
                  <c:v>-1184.3915024577209</c:v>
                </c:pt>
                <c:pt idx="472">
                  <c:v>-1241.3285944979098</c:v>
                </c:pt>
                <c:pt idx="473">
                  <c:v>-1130.1848329358763</c:v>
                </c:pt>
                <c:pt idx="474">
                  <c:v>-1219.3424476720656</c:v>
                </c:pt>
                <c:pt idx="475">
                  <c:v>-812.97842412358546</c:v>
                </c:pt>
                <c:pt idx="476">
                  <c:v>-1146.6096804198205</c:v>
                </c:pt>
                <c:pt idx="477">
                  <c:v>-1493.6571461977783</c:v>
                </c:pt>
                <c:pt idx="478">
                  <c:v>-1236.7705778441752</c:v>
                </c:pt>
                <c:pt idx="479">
                  <c:v>-907.18054573440986</c:v>
                </c:pt>
                <c:pt idx="480">
                  <c:v>-849.49514984980851</c:v>
                </c:pt>
                <c:pt idx="481">
                  <c:v>-1468.4931436711415</c:v>
                </c:pt>
                <c:pt idx="482">
                  <c:v>-1220.0236973547362</c:v>
                </c:pt>
                <c:pt idx="483">
                  <c:v>-863.79291669825443</c:v>
                </c:pt>
                <c:pt idx="484">
                  <c:v>-874.89433227593327</c:v>
                </c:pt>
                <c:pt idx="485">
                  <c:v>-593.48632320117031</c:v>
                </c:pt>
                <c:pt idx="486">
                  <c:v>-673.05184251778519</c:v>
                </c:pt>
                <c:pt idx="487">
                  <c:v>-1023.6372825785788</c:v>
                </c:pt>
                <c:pt idx="488">
                  <c:v>-648.28916348228904</c:v>
                </c:pt>
                <c:pt idx="489">
                  <c:v>-938.74798638067819</c:v>
                </c:pt>
                <c:pt idx="490">
                  <c:v>-981.61012243279265</c:v>
                </c:pt>
                <c:pt idx="491">
                  <c:v>-1183.4864406552379</c:v>
                </c:pt>
                <c:pt idx="492">
                  <c:v>-803.3285884789691</c:v>
                </c:pt>
                <c:pt idx="493">
                  <c:v>-997.67412823439645</c:v>
                </c:pt>
                <c:pt idx="494">
                  <c:v>-998.32210870155404</c:v>
                </c:pt>
                <c:pt idx="495">
                  <c:v>-1101.7156403495014</c:v>
                </c:pt>
                <c:pt idx="496">
                  <c:v>-1012.7677318754345</c:v>
                </c:pt>
                <c:pt idx="497">
                  <c:v>-1050.5626770075278</c:v>
                </c:pt>
                <c:pt idx="498">
                  <c:v>-739.42325998843853</c:v>
                </c:pt>
                <c:pt idx="499">
                  <c:v>-1134.7169941537948</c:v>
                </c:pt>
                <c:pt idx="500">
                  <c:v>-1300.6422610174377</c:v>
                </c:pt>
                <c:pt idx="501">
                  <c:v>-963.73770774933155</c:v>
                </c:pt>
                <c:pt idx="502">
                  <c:v>-1024.7978108028196</c:v>
                </c:pt>
                <c:pt idx="503">
                  <c:v>-947.01554320979494</c:v>
                </c:pt>
                <c:pt idx="504">
                  <c:v>-1051.0417033538461</c:v>
                </c:pt>
                <c:pt idx="505">
                  <c:v>-1137.7669295598134</c:v>
                </c:pt>
                <c:pt idx="506">
                  <c:v>-1466.7989676498919</c:v>
                </c:pt>
                <c:pt idx="507">
                  <c:v>-763.88181452347817</c:v>
                </c:pt>
                <c:pt idx="508">
                  <c:v>-792.48604127111048</c:v>
                </c:pt>
                <c:pt idx="509">
                  <c:v>-588.19422543096698</c:v>
                </c:pt>
                <c:pt idx="510">
                  <c:v>-548.37523572983628</c:v>
                </c:pt>
                <c:pt idx="511">
                  <c:v>-1139.0005356905785</c:v>
                </c:pt>
                <c:pt idx="512">
                  <c:v>-598.39394465659825</c:v>
                </c:pt>
                <c:pt idx="513">
                  <c:v>-1042.9226210598149</c:v>
                </c:pt>
                <c:pt idx="514">
                  <c:v>-1073.9604086645118</c:v>
                </c:pt>
                <c:pt idx="515">
                  <c:v>-1125.9329274120701</c:v>
                </c:pt>
                <c:pt idx="516">
                  <c:v>-1024.7154344909363</c:v>
                </c:pt>
                <c:pt idx="517">
                  <c:v>-965.46672425810493</c:v>
                </c:pt>
                <c:pt idx="518">
                  <c:v>-944.23853310664254</c:v>
                </c:pt>
                <c:pt idx="519">
                  <c:v>-969.12773471552919</c:v>
                </c:pt>
                <c:pt idx="520">
                  <c:v>-833.5033946200756</c:v>
                </c:pt>
                <c:pt idx="521">
                  <c:v>-1209.4033623019532</c:v>
                </c:pt>
                <c:pt idx="522">
                  <c:v>-1140.9174270309022</c:v>
                </c:pt>
                <c:pt idx="523">
                  <c:v>-1164.7070213589925</c:v>
                </c:pt>
                <c:pt idx="524">
                  <c:v>-614.79468258115458</c:v>
                </c:pt>
                <c:pt idx="525">
                  <c:v>-745.62609942210884</c:v>
                </c:pt>
                <c:pt idx="526">
                  <c:v>-1112.4871693954833</c:v>
                </c:pt>
                <c:pt idx="527">
                  <c:v>-915.12970752090268</c:v>
                </c:pt>
                <c:pt idx="528">
                  <c:v>-736.68288807262115</c:v>
                </c:pt>
                <c:pt idx="529">
                  <c:v>-840.30445357881035</c:v>
                </c:pt>
                <c:pt idx="530">
                  <c:v>-1092.0528659252632</c:v>
                </c:pt>
                <c:pt idx="531">
                  <c:v>-1076.873434931214</c:v>
                </c:pt>
                <c:pt idx="532">
                  <c:v>-344.31906902593528</c:v>
                </c:pt>
                <c:pt idx="533">
                  <c:v>-1065.131777430852</c:v>
                </c:pt>
                <c:pt idx="534">
                  <c:v>-1535.8283406573855</c:v>
                </c:pt>
                <c:pt idx="535">
                  <c:v>-597.70157105611065</c:v>
                </c:pt>
                <c:pt idx="536">
                  <c:v>-928.85195459913757</c:v>
                </c:pt>
                <c:pt idx="537">
                  <c:v>-1206.4336660406855</c:v>
                </c:pt>
                <c:pt idx="538">
                  <c:v>-986.71228145002624</c:v>
                </c:pt>
                <c:pt idx="539">
                  <c:v>-381.13802526365089</c:v>
                </c:pt>
                <c:pt idx="540">
                  <c:v>-1539.857669367897</c:v>
                </c:pt>
                <c:pt idx="541">
                  <c:v>-994.79314015529872</c:v>
                </c:pt>
                <c:pt idx="542">
                  <c:v>-532.22840806559952</c:v>
                </c:pt>
                <c:pt idx="543">
                  <c:v>-901.79542045494236</c:v>
                </c:pt>
                <c:pt idx="544">
                  <c:v>-908.5340391294269</c:v>
                </c:pt>
                <c:pt idx="545">
                  <c:v>-1416.1893426703014</c:v>
                </c:pt>
                <c:pt idx="546">
                  <c:v>-854.76774567960069</c:v>
                </c:pt>
                <c:pt idx="547">
                  <c:v>-1174.0035942234513</c:v>
                </c:pt>
                <c:pt idx="548">
                  <c:v>-879.07208868125099</c:v>
                </c:pt>
                <c:pt idx="549">
                  <c:v>-437.17042672478146</c:v>
                </c:pt>
                <c:pt idx="550">
                  <c:v>-865.70699646871435</c:v>
                </c:pt>
                <c:pt idx="551">
                  <c:v>-671.95864480696127</c:v>
                </c:pt>
                <c:pt idx="552">
                  <c:v>-579.87346422593873</c:v>
                </c:pt>
                <c:pt idx="553">
                  <c:v>-1255.0571155264338</c:v>
                </c:pt>
                <c:pt idx="554">
                  <c:v>-493.86670314721459</c:v>
                </c:pt>
                <c:pt idx="555">
                  <c:v>-1186.8212261993294</c:v>
                </c:pt>
                <c:pt idx="556">
                  <c:v>-1073.9295804911462</c:v>
                </c:pt>
                <c:pt idx="557">
                  <c:v>-1211.7818265577325</c:v>
                </c:pt>
                <c:pt idx="558">
                  <c:v>-1021.4546139701069</c:v>
                </c:pt>
                <c:pt idx="559">
                  <c:v>-1380.6396227664295</c:v>
                </c:pt>
                <c:pt idx="560">
                  <c:v>-890.69950494178602</c:v>
                </c:pt>
                <c:pt idx="561">
                  <c:v>-926.39742312878593</c:v>
                </c:pt>
                <c:pt idx="562">
                  <c:v>-844.12915708504443</c:v>
                </c:pt>
                <c:pt idx="563">
                  <c:v>-989.83818794052513</c:v>
                </c:pt>
                <c:pt idx="564">
                  <c:v>-1067.1091113044827</c:v>
                </c:pt>
                <c:pt idx="565">
                  <c:v>-538.90500206260685</c:v>
                </c:pt>
                <c:pt idx="566">
                  <c:v>-1061.1219653677413</c:v>
                </c:pt>
                <c:pt idx="567">
                  <c:v>-427.98541408820529</c:v>
                </c:pt>
                <c:pt idx="568">
                  <c:v>-549.57921031427122</c:v>
                </c:pt>
                <c:pt idx="569">
                  <c:v>-788.96757051972099</c:v>
                </c:pt>
                <c:pt idx="570">
                  <c:v>-1246.9699171091243</c:v>
                </c:pt>
                <c:pt idx="571">
                  <c:v>-967.78013806140984</c:v>
                </c:pt>
                <c:pt idx="572">
                  <c:v>-1155.4865295572272</c:v>
                </c:pt>
                <c:pt idx="573">
                  <c:v>-1040.7174429686097</c:v>
                </c:pt>
                <c:pt idx="574">
                  <c:v>-958.73759783220885</c:v>
                </c:pt>
                <c:pt idx="575">
                  <c:v>-1048.8755608223396</c:v>
                </c:pt>
                <c:pt idx="576">
                  <c:v>-1057.1423591574048</c:v>
                </c:pt>
                <c:pt idx="577">
                  <c:v>-1165.9186066185157</c:v>
                </c:pt>
                <c:pt idx="578">
                  <c:v>-884.65921046760832</c:v>
                </c:pt>
                <c:pt idx="579">
                  <c:v>-847.1335278373831</c:v>
                </c:pt>
                <c:pt idx="580">
                  <c:v>-1007.5895374288571</c:v>
                </c:pt>
                <c:pt idx="581">
                  <c:v>-839.61650547606268</c:v>
                </c:pt>
                <c:pt idx="582">
                  <c:v>-1081.8388203583122</c:v>
                </c:pt>
                <c:pt idx="583">
                  <c:v>-1036.9715046775432</c:v>
                </c:pt>
                <c:pt idx="584">
                  <c:v>-1505.701489672841</c:v>
                </c:pt>
                <c:pt idx="585">
                  <c:v>-712.96794425434655</c:v>
                </c:pt>
                <c:pt idx="586">
                  <c:v>-1045.421596062668</c:v>
                </c:pt>
                <c:pt idx="587">
                  <c:v>-963.25681430985151</c:v>
                </c:pt>
                <c:pt idx="588">
                  <c:v>-426.11681686456018</c:v>
                </c:pt>
                <c:pt idx="589">
                  <c:v>-503.32599175535643</c:v>
                </c:pt>
                <c:pt idx="590">
                  <c:v>-1039.534181137853</c:v>
                </c:pt>
                <c:pt idx="591">
                  <c:v>-494.22148051636964</c:v>
                </c:pt>
                <c:pt idx="592">
                  <c:v>-995.8726051447461</c:v>
                </c:pt>
                <c:pt idx="593">
                  <c:v>-715.57725859615039</c:v>
                </c:pt>
                <c:pt idx="594">
                  <c:v>-852.74170720202846</c:v>
                </c:pt>
                <c:pt idx="595">
                  <c:v>-1085.4730546003693</c:v>
                </c:pt>
                <c:pt idx="596">
                  <c:v>-539.90210757694513</c:v>
                </c:pt>
                <c:pt idx="597">
                  <c:v>-1243.6668703515393</c:v>
                </c:pt>
                <c:pt idx="598">
                  <c:v>-405.53704628194146</c:v>
                </c:pt>
                <c:pt idx="599">
                  <c:v>-979.01110399278355</c:v>
                </c:pt>
                <c:pt idx="600">
                  <c:v>-878.31193351561842</c:v>
                </c:pt>
                <c:pt idx="601">
                  <c:v>-1039.9127568847348</c:v>
                </c:pt>
                <c:pt idx="602">
                  <c:v>-958.8319292582828</c:v>
                </c:pt>
                <c:pt idx="603">
                  <c:v>-1235.7717748983009</c:v>
                </c:pt>
                <c:pt idx="604">
                  <c:v>-1183.6610569467525</c:v>
                </c:pt>
                <c:pt idx="605">
                  <c:v>-999.2916881726087</c:v>
                </c:pt>
                <c:pt idx="606">
                  <c:v>-1420.1352435923141</c:v>
                </c:pt>
                <c:pt idx="607">
                  <c:v>-1155.7939556763949</c:v>
                </c:pt>
                <c:pt idx="608">
                  <c:v>-1225.8152115676999</c:v>
                </c:pt>
                <c:pt idx="609">
                  <c:v>-1163.3364896361056</c:v>
                </c:pt>
                <c:pt idx="610">
                  <c:v>-946.90574474369191</c:v>
                </c:pt>
                <c:pt idx="611">
                  <c:v>-850.75859877815901</c:v>
                </c:pt>
                <c:pt idx="612">
                  <c:v>-817.36579791510712</c:v>
                </c:pt>
                <c:pt idx="613">
                  <c:v>-990.05042572384059</c:v>
                </c:pt>
                <c:pt idx="614">
                  <c:v>-773.18403612471002</c:v>
                </c:pt>
                <c:pt idx="615">
                  <c:v>-887.2234458220928</c:v>
                </c:pt>
                <c:pt idx="616">
                  <c:v>-606.34357285081387</c:v>
                </c:pt>
                <c:pt idx="617">
                  <c:v>-1327.4329030058834</c:v>
                </c:pt>
                <c:pt idx="618">
                  <c:v>-936.8101617229554</c:v>
                </c:pt>
                <c:pt idx="619">
                  <c:v>-1167.2470018728418</c:v>
                </c:pt>
                <c:pt idx="620">
                  <c:v>-936.86667596965572</c:v>
                </c:pt>
                <c:pt idx="621">
                  <c:v>-826.04593569273084</c:v>
                </c:pt>
                <c:pt idx="622">
                  <c:v>-653.04811382110483</c:v>
                </c:pt>
                <c:pt idx="623">
                  <c:v>-812.56211812336551</c:v>
                </c:pt>
                <c:pt idx="624">
                  <c:v>-1015.7302763094417</c:v>
                </c:pt>
                <c:pt idx="625">
                  <c:v>-954.23052162096701</c:v>
                </c:pt>
                <c:pt idx="626">
                  <c:v>-1633.2551751726155</c:v>
                </c:pt>
                <c:pt idx="627">
                  <c:v>-1188.340858825291</c:v>
                </c:pt>
                <c:pt idx="628">
                  <c:v>-856.60108291551842</c:v>
                </c:pt>
                <c:pt idx="629">
                  <c:v>-660.26500661879481</c:v>
                </c:pt>
                <c:pt idx="630">
                  <c:v>-1227.530369999241</c:v>
                </c:pt>
                <c:pt idx="631">
                  <c:v>-915.47876579145486</c:v>
                </c:pt>
                <c:pt idx="632">
                  <c:v>-562.27142041651859</c:v>
                </c:pt>
                <c:pt idx="633">
                  <c:v>-1128.4709089063765</c:v>
                </c:pt>
                <c:pt idx="634">
                  <c:v>-611.99656385821118</c:v>
                </c:pt>
                <c:pt idx="635">
                  <c:v>-1141.9409803254016</c:v>
                </c:pt>
                <c:pt idx="636">
                  <c:v>-1113.7291106492135</c:v>
                </c:pt>
                <c:pt idx="637">
                  <c:v>-1387.3198877232646</c:v>
                </c:pt>
                <c:pt idx="638">
                  <c:v>-891.48748163455957</c:v>
                </c:pt>
                <c:pt idx="639">
                  <c:v>-1213.1692358271898</c:v>
                </c:pt>
                <c:pt idx="640">
                  <c:v>-1022.8834551804448</c:v>
                </c:pt>
                <c:pt idx="641">
                  <c:v>-1331.1215005095505</c:v>
                </c:pt>
                <c:pt idx="642">
                  <c:v>-553.54289463536452</c:v>
                </c:pt>
                <c:pt idx="643">
                  <c:v>-797.05429724458736</c:v>
                </c:pt>
                <c:pt idx="644">
                  <c:v>-966.33416560361184</c:v>
                </c:pt>
                <c:pt idx="645">
                  <c:v>-637.75610406473879</c:v>
                </c:pt>
                <c:pt idx="646">
                  <c:v>-941.83814230585449</c:v>
                </c:pt>
                <c:pt idx="647">
                  <c:v>-769.98832213239348</c:v>
                </c:pt>
                <c:pt idx="648">
                  <c:v>-737.18785673442062</c:v>
                </c:pt>
                <c:pt idx="649">
                  <c:v>-1371.8501532370021</c:v>
                </c:pt>
                <c:pt idx="650">
                  <c:v>-738.71900562852488</c:v>
                </c:pt>
                <c:pt idx="651">
                  <c:v>-479.71904571128721</c:v>
                </c:pt>
                <c:pt idx="652">
                  <c:v>-526.19465904441927</c:v>
                </c:pt>
                <c:pt idx="653">
                  <c:v>-818.16377941689211</c:v>
                </c:pt>
                <c:pt idx="654">
                  <c:v>-878.87948962933001</c:v>
                </c:pt>
                <c:pt idx="655">
                  <c:v>-1315.1232353976302</c:v>
                </c:pt>
                <c:pt idx="656">
                  <c:v>-1205.7052711018614</c:v>
                </c:pt>
                <c:pt idx="657">
                  <c:v>-1125.1487399842881</c:v>
                </c:pt>
                <c:pt idx="658">
                  <c:v>-785.53357424039996</c:v>
                </c:pt>
                <c:pt idx="659">
                  <c:v>-937.2344762588823</c:v>
                </c:pt>
                <c:pt idx="660">
                  <c:v>-1031.9515234889172</c:v>
                </c:pt>
                <c:pt idx="661">
                  <c:v>-989.41124416884759</c:v>
                </c:pt>
                <c:pt idx="662">
                  <c:v>-1065.1019266202088</c:v>
                </c:pt>
                <c:pt idx="663">
                  <c:v>-725.86043664457657</c:v>
                </c:pt>
                <c:pt idx="664">
                  <c:v>-1062.0745977266045</c:v>
                </c:pt>
                <c:pt idx="665">
                  <c:v>-982.46580233821373</c:v>
                </c:pt>
                <c:pt idx="666">
                  <c:v>-1068.926734876477</c:v>
                </c:pt>
                <c:pt idx="667">
                  <c:v>-1211.7427552990603</c:v>
                </c:pt>
                <c:pt idx="668">
                  <c:v>-1094.2164880077949</c:v>
                </c:pt>
                <c:pt idx="669">
                  <c:v>-1098.8789475354415</c:v>
                </c:pt>
                <c:pt idx="670">
                  <c:v>-587.48755900680453</c:v>
                </c:pt>
                <c:pt idx="671">
                  <c:v>-726.40928605792215</c:v>
                </c:pt>
                <c:pt idx="672">
                  <c:v>-922.86314214506569</c:v>
                </c:pt>
                <c:pt idx="673">
                  <c:v>-774.38673395387059</c:v>
                </c:pt>
                <c:pt idx="674">
                  <c:v>-1013.1314015626942</c:v>
                </c:pt>
                <c:pt idx="675">
                  <c:v>-914.98460242663987</c:v>
                </c:pt>
                <c:pt idx="676">
                  <c:v>-654.57761335906116</c:v>
                </c:pt>
                <c:pt idx="677">
                  <c:v>-776.2719430169991</c:v>
                </c:pt>
                <c:pt idx="678">
                  <c:v>-1028.0738461702658</c:v>
                </c:pt>
                <c:pt idx="679">
                  <c:v>-569.09797840946794</c:v>
                </c:pt>
                <c:pt idx="680">
                  <c:v>-1172.834246891033</c:v>
                </c:pt>
                <c:pt idx="681">
                  <c:v>-953.29943949946778</c:v>
                </c:pt>
                <c:pt idx="682">
                  <c:v>-431.30827813898441</c:v>
                </c:pt>
                <c:pt idx="683">
                  <c:v>-562.25089251419377</c:v>
                </c:pt>
                <c:pt idx="684">
                  <c:v>-1093.3898475090059</c:v>
                </c:pt>
                <c:pt idx="685">
                  <c:v>-743.33839205840604</c:v>
                </c:pt>
                <c:pt idx="686">
                  <c:v>-916.40511374740504</c:v>
                </c:pt>
                <c:pt idx="687">
                  <c:v>-910.31858080798156</c:v>
                </c:pt>
                <c:pt idx="688">
                  <c:v>-883.15690855698267</c:v>
                </c:pt>
                <c:pt idx="689">
                  <c:v>-982.74484002717782</c:v>
                </c:pt>
                <c:pt idx="690">
                  <c:v>-913.70664274200772</c:v>
                </c:pt>
                <c:pt idx="691">
                  <c:v>-239.80769136852746</c:v>
                </c:pt>
                <c:pt idx="692">
                  <c:v>-1314.6326292402746</c:v>
                </c:pt>
                <c:pt idx="693">
                  <c:v>-697.96889468596555</c:v>
                </c:pt>
                <c:pt idx="694">
                  <c:v>-820.33764314834639</c:v>
                </c:pt>
                <c:pt idx="695">
                  <c:v>-570.23360705060236</c:v>
                </c:pt>
                <c:pt idx="696">
                  <c:v>-1211.9041699484346</c:v>
                </c:pt>
                <c:pt idx="697">
                  <c:v>-1115.0466053469695</c:v>
                </c:pt>
                <c:pt idx="698">
                  <c:v>-862.65240886590368</c:v>
                </c:pt>
                <c:pt idx="699">
                  <c:v>-1208.0419554119953</c:v>
                </c:pt>
                <c:pt idx="700">
                  <c:v>-1028.3430642636245</c:v>
                </c:pt>
                <c:pt idx="701">
                  <c:v>-703.1638265271572</c:v>
                </c:pt>
                <c:pt idx="702">
                  <c:v>-1051.3935511036711</c:v>
                </c:pt>
                <c:pt idx="703">
                  <c:v>-659.89764152122461</c:v>
                </c:pt>
                <c:pt idx="704">
                  <c:v>-711.63884276936005</c:v>
                </c:pt>
                <c:pt idx="705">
                  <c:v>-1201.5503406899384</c:v>
                </c:pt>
                <c:pt idx="706">
                  <c:v>-1079.210463912133</c:v>
                </c:pt>
                <c:pt idx="707">
                  <c:v>-1195.9794111430788</c:v>
                </c:pt>
                <c:pt idx="708">
                  <c:v>-960.17081888686153</c:v>
                </c:pt>
                <c:pt idx="709">
                  <c:v>-1010.0792488189718</c:v>
                </c:pt>
                <c:pt idx="710">
                  <c:v>-1538.9625770359321</c:v>
                </c:pt>
                <c:pt idx="711">
                  <c:v>-1095.8464356126819</c:v>
                </c:pt>
                <c:pt idx="712">
                  <c:v>-1219.1707280027113</c:v>
                </c:pt>
                <c:pt idx="713">
                  <c:v>-845.2382722155503</c:v>
                </c:pt>
                <c:pt idx="714">
                  <c:v>-530.26531918315231</c:v>
                </c:pt>
                <c:pt idx="715">
                  <c:v>-1025.7733103092855</c:v>
                </c:pt>
                <c:pt idx="716">
                  <c:v>-662.24212478565096</c:v>
                </c:pt>
                <c:pt idx="717">
                  <c:v>-992.67686155656043</c:v>
                </c:pt>
                <c:pt idx="718">
                  <c:v>-646.65186292984663</c:v>
                </c:pt>
                <c:pt idx="719">
                  <c:v>-1219.1641702626875</c:v>
                </c:pt>
                <c:pt idx="720">
                  <c:v>-557.36808697777224</c:v>
                </c:pt>
                <c:pt idx="721">
                  <c:v>-1045.1369438565853</c:v>
                </c:pt>
                <c:pt idx="722">
                  <c:v>-933.52555132939597</c:v>
                </c:pt>
                <c:pt idx="723">
                  <c:v>-874.79643074223873</c:v>
                </c:pt>
                <c:pt idx="724">
                  <c:v>-1259.5750274713482</c:v>
                </c:pt>
                <c:pt idx="725">
                  <c:v>-1091.6220148385296</c:v>
                </c:pt>
                <c:pt idx="726">
                  <c:v>-1208.2347085840029</c:v>
                </c:pt>
                <c:pt idx="727">
                  <c:v>-964.01849456431137</c:v>
                </c:pt>
                <c:pt idx="728">
                  <c:v>-1075.6031029355022</c:v>
                </c:pt>
                <c:pt idx="729">
                  <c:v>-1101.2238495213041</c:v>
                </c:pt>
                <c:pt idx="730">
                  <c:v>-1031.6088210941307</c:v>
                </c:pt>
                <c:pt idx="731">
                  <c:v>-760.2334879760374</c:v>
                </c:pt>
                <c:pt idx="732">
                  <c:v>-1288.9540380264202</c:v>
                </c:pt>
                <c:pt idx="733">
                  <c:v>-1278.6123437582332</c:v>
                </c:pt>
                <c:pt idx="734">
                  <c:v>-369.67979855559975</c:v>
                </c:pt>
                <c:pt idx="735">
                  <c:v>-675.43995103177258</c:v>
                </c:pt>
                <c:pt idx="736">
                  <c:v>-1482.0602152717265</c:v>
                </c:pt>
                <c:pt idx="737">
                  <c:v>-859.93341991212037</c:v>
                </c:pt>
                <c:pt idx="738">
                  <c:v>-617.96871165244102</c:v>
                </c:pt>
                <c:pt idx="739">
                  <c:v>-1022.6843736463447</c:v>
                </c:pt>
                <c:pt idx="740">
                  <c:v>-895.3080175966461</c:v>
                </c:pt>
                <c:pt idx="741">
                  <c:v>-1145.7940990260972</c:v>
                </c:pt>
                <c:pt idx="742">
                  <c:v>-1111.08211332881</c:v>
                </c:pt>
                <c:pt idx="743">
                  <c:v>-881.83540157473658</c:v>
                </c:pt>
                <c:pt idx="744">
                  <c:v>-773.11930749923204</c:v>
                </c:pt>
                <c:pt idx="745">
                  <c:v>-929.072252993446</c:v>
                </c:pt>
                <c:pt idx="746">
                  <c:v>-989.59948595351534</c:v>
                </c:pt>
                <c:pt idx="747">
                  <c:v>-1120.3472949602628</c:v>
                </c:pt>
                <c:pt idx="748">
                  <c:v>-888.21001881541997</c:v>
                </c:pt>
                <c:pt idx="749">
                  <c:v>-649.6394280446807</c:v>
                </c:pt>
                <c:pt idx="750">
                  <c:v>-1002.5487225694064</c:v>
                </c:pt>
                <c:pt idx="751">
                  <c:v>-955.95655914426516</c:v>
                </c:pt>
                <c:pt idx="752">
                  <c:v>-494.9553204693093</c:v>
                </c:pt>
                <c:pt idx="753">
                  <c:v>-482.21622839486145</c:v>
                </c:pt>
                <c:pt idx="754">
                  <c:v>-661.35149884198586</c:v>
                </c:pt>
                <c:pt idx="755">
                  <c:v>-969.48407277084334</c:v>
                </c:pt>
                <c:pt idx="756">
                  <c:v>-953.62255935191479</c:v>
                </c:pt>
                <c:pt idx="757">
                  <c:v>-613.11943881764864</c:v>
                </c:pt>
                <c:pt idx="758">
                  <c:v>-1532.8822390027576</c:v>
                </c:pt>
                <c:pt idx="759">
                  <c:v>-599.82419295150794</c:v>
                </c:pt>
                <c:pt idx="760">
                  <c:v>-989.53284019956936</c:v>
                </c:pt>
                <c:pt idx="761">
                  <c:v>-772.68065352938629</c:v>
                </c:pt>
                <c:pt idx="762">
                  <c:v>-936.45854841251094</c:v>
                </c:pt>
                <c:pt idx="763">
                  <c:v>-942.71097001959561</c:v>
                </c:pt>
                <c:pt idx="764">
                  <c:v>-1283.568543502384</c:v>
                </c:pt>
                <c:pt idx="765">
                  <c:v>-573.62569068902758</c:v>
                </c:pt>
                <c:pt idx="766">
                  <c:v>-1320.0643456592525</c:v>
                </c:pt>
                <c:pt idx="767">
                  <c:v>-1450.8959848733389</c:v>
                </c:pt>
                <c:pt idx="768">
                  <c:v>-1203.8346710123874</c:v>
                </c:pt>
                <c:pt idx="769">
                  <c:v>-919.62524407686851</c:v>
                </c:pt>
                <c:pt idx="770">
                  <c:v>-981.20408576952423</c:v>
                </c:pt>
                <c:pt idx="771">
                  <c:v>-657.86038248771774</c:v>
                </c:pt>
                <c:pt idx="772">
                  <c:v>-1702.2657554440329</c:v>
                </c:pt>
                <c:pt idx="773">
                  <c:v>-1310.7933489756074</c:v>
                </c:pt>
                <c:pt idx="774">
                  <c:v>-902.68138084393468</c:v>
                </c:pt>
                <c:pt idx="775">
                  <c:v>-933.60741585540927</c:v>
                </c:pt>
                <c:pt idx="776">
                  <c:v>-1136.7484076848664</c:v>
                </c:pt>
                <c:pt idx="777">
                  <c:v>-550.09511407925038</c:v>
                </c:pt>
                <c:pt idx="778">
                  <c:v>-684.51118207762784</c:v>
                </c:pt>
                <c:pt idx="779">
                  <c:v>-692.63403906952499</c:v>
                </c:pt>
                <c:pt idx="780">
                  <c:v>-806.03855456141582</c:v>
                </c:pt>
                <c:pt idx="781">
                  <c:v>-892.05548094185451</c:v>
                </c:pt>
                <c:pt idx="782">
                  <c:v>-824.29849094795554</c:v>
                </c:pt>
                <c:pt idx="783">
                  <c:v>-1102.226451308899</c:v>
                </c:pt>
                <c:pt idx="784">
                  <c:v>-807.17119464582356</c:v>
                </c:pt>
                <c:pt idx="785">
                  <c:v>-1362.2522527775095</c:v>
                </c:pt>
                <c:pt idx="786">
                  <c:v>-904.60676188062575</c:v>
                </c:pt>
                <c:pt idx="787">
                  <c:v>-697.02702053040775</c:v>
                </c:pt>
                <c:pt idx="788">
                  <c:v>-893.39405729149235</c:v>
                </c:pt>
                <c:pt idx="789">
                  <c:v>-988.45774241555728</c:v>
                </c:pt>
                <c:pt idx="790">
                  <c:v>-472.5972636302713</c:v>
                </c:pt>
                <c:pt idx="791">
                  <c:v>-720.75784502226361</c:v>
                </c:pt>
                <c:pt idx="792">
                  <c:v>-729.72684242203468</c:v>
                </c:pt>
                <c:pt idx="793">
                  <c:v>-713.86867036895501</c:v>
                </c:pt>
                <c:pt idx="794">
                  <c:v>-634.20572873487208</c:v>
                </c:pt>
                <c:pt idx="795">
                  <c:v>-1275.3066960682966</c:v>
                </c:pt>
                <c:pt idx="796">
                  <c:v>-1029.1895415880583</c:v>
                </c:pt>
                <c:pt idx="797">
                  <c:v>-1069.6527628300942</c:v>
                </c:pt>
                <c:pt idx="798">
                  <c:v>-596.38727292087879</c:v>
                </c:pt>
                <c:pt idx="799">
                  <c:v>-1357.2867808964743</c:v>
                </c:pt>
                <c:pt idx="800">
                  <c:v>-1100.2082022054287</c:v>
                </c:pt>
                <c:pt idx="801">
                  <c:v>-1111.2583985161914</c:v>
                </c:pt>
                <c:pt idx="802">
                  <c:v>-1463.4416808361423</c:v>
                </c:pt>
                <c:pt idx="803">
                  <c:v>-1348.9632518273693</c:v>
                </c:pt>
                <c:pt idx="804">
                  <c:v>-951.60973722085691</c:v>
                </c:pt>
                <c:pt idx="805">
                  <c:v>-953.82807458541333</c:v>
                </c:pt>
                <c:pt idx="806">
                  <c:v>-622.27622492687533</c:v>
                </c:pt>
                <c:pt idx="807">
                  <c:v>-841.84028076123877</c:v>
                </c:pt>
                <c:pt idx="808">
                  <c:v>-1284.44724090817</c:v>
                </c:pt>
                <c:pt idx="809">
                  <c:v>-976.89231787046219</c:v>
                </c:pt>
                <c:pt idx="810">
                  <c:v>-1133.3229752926613</c:v>
                </c:pt>
                <c:pt idx="811">
                  <c:v>-556.15208203798602</c:v>
                </c:pt>
                <c:pt idx="812">
                  <c:v>-883.52536321995558</c:v>
                </c:pt>
                <c:pt idx="813">
                  <c:v>-1043.5687853738823</c:v>
                </c:pt>
                <c:pt idx="814">
                  <c:v>-958.70616515642632</c:v>
                </c:pt>
                <c:pt idx="815">
                  <c:v>-1163.5084004777987</c:v>
                </c:pt>
                <c:pt idx="816">
                  <c:v>-1109.7471408149936</c:v>
                </c:pt>
                <c:pt idx="817">
                  <c:v>-939.14742241027307</c:v>
                </c:pt>
                <c:pt idx="818">
                  <c:v>-639.70637059110322</c:v>
                </c:pt>
                <c:pt idx="819">
                  <c:v>-838.63793050247932</c:v>
                </c:pt>
                <c:pt idx="820">
                  <c:v>-1063.404588661705</c:v>
                </c:pt>
                <c:pt idx="821">
                  <c:v>-852.17369560217821</c:v>
                </c:pt>
                <c:pt idx="822">
                  <c:v>-897.60250930430129</c:v>
                </c:pt>
                <c:pt idx="823">
                  <c:v>-1082.2534244876392</c:v>
                </c:pt>
                <c:pt idx="824">
                  <c:v>-775.13554497307837</c:v>
                </c:pt>
                <c:pt idx="825">
                  <c:v>-1019.818260009999</c:v>
                </c:pt>
                <c:pt idx="826">
                  <c:v>-853.39913434650612</c:v>
                </c:pt>
                <c:pt idx="827">
                  <c:v>-1040.5718882959004</c:v>
                </c:pt>
                <c:pt idx="828">
                  <c:v>-782.66143773737122</c:v>
                </c:pt>
                <c:pt idx="829">
                  <c:v>-532.60789445787987</c:v>
                </c:pt>
                <c:pt idx="830">
                  <c:v>-807.79656563543699</c:v>
                </c:pt>
                <c:pt idx="831">
                  <c:v>-1194.9864826174967</c:v>
                </c:pt>
                <c:pt idx="832">
                  <c:v>-920.78206677658773</c:v>
                </c:pt>
                <c:pt idx="833">
                  <c:v>-821.21788828175613</c:v>
                </c:pt>
                <c:pt idx="834">
                  <c:v>-784.01510394714296</c:v>
                </c:pt>
                <c:pt idx="835">
                  <c:v>-1130.8195060085031</c:v>
                </c:pt>
                <c:pt idx="836">
                  <c:v>-810.64208618654629</c:v>
                </c:pt>
                <c:pt idx="837">
                  <c:v>-1114.7927415608929</c:v>
                </c:pt>
                <c:pt idx="838">
                  <c:v>-677.52027080837024</c:v>
                </c:pt>
                <c:pt idx="839">
                  <c:v>-999.19181001123115</c:v>
                </c:pt>
                <c:pt idx="840">
                  <c:v>-1014.4417850657442</c:v>
                </c:pt>
                <c:pt idx="841">
                  <c:v>-934.92343570048206</c:v>
                </c:pt>
                <c:pt idx="842">
                  <c:v>-1262.7874937456863</c:v>
                </c:pt>
                <c:pt idx="843">
                  <c:v>-1161.2731603674565</c:v>
                </c:pt>
                <c:pt idx="844">
                  <c:v>-673.16830639829368</c:v>
                </c:pt>
                <c:pt idx="845">
                  <c:v>-951.88758350303442</c:v>
                </c:pt>
                <c:pt idx="846">
                  <c:v>-953.07309149359799</c:v>
                </c:pt>
                <c:pt idx="847">
                  <c:v>-612.17792158487237</c:v>
                </c:pt>
                <c:pt idx="848">
                  <c:v>-1098.4427166164978</c:v>
                </c:pt>
                <c:pt idx="849">
                  <c:v>-1064.1442157584547</c:v>
                </c:pt>
                <c:pt idx="850">
                  <c:v>-567.49104351077403</c:v>
                </c:pt>
                <c:pt idx="851">
                  <c:v>-667.80587219704648</c:v>
                </c:pt>
                <c:pt idx="852">
                  <c:v>-984.39977713410099</c:v>
                </c:pt>
                <c:pt idx="853">
                  <c:v>-764.77207673847533</c:v>
                </c:pt>
                <c:pt idx="854">
                  <c:v>-1046.0793264057465</c:v>
                </c:pt>
                <c:pt idx="855">
                  <c:v>-723.58879671962677</c:v>
                </c:pt>
                <c:pt idx="856">
                  <c:v>-1294.517562215176</c:v>
                </c:pt>
                <c:pt idx="857">
                  <c:v>-704.54045821663203</c:v>
                </c:pt>
                <c:pt idx="858">
                  <c:v>-958.62093421660302</c:v>
                </c:pt>
                <c:pt idx="859">
                  <c:v>-1245.4306280149749</c:v>
                </c:pt>
                <c:pt idx="860">
                  <c:v>-799.63597010199419</c:v>
                </c:pt>
                <c:pt idx="861">
                  <c:v>-1087.7830868780425</c:v>
                </c:pt>
                <c:pt idx="862">
                  <c:v>-940.39589885774785</c:v>
                </c:pt>
                <c:pt idx="863">
                  <c:v>-495.50247455824956</c:v>
                </c:pt>
                <c:pt idx="864">
                  <c:v>-785.06305549369335</c:v>
                </c:pt>
                <c:pt idx="865">
                  <c:v>-1176.2668946397546</c:v>
                </c:pt>
                <c:pt idx="866">
                  <c:v>-929.41909998127312</c:v>
                </c:pt>
                <c:pt idx="867">
                  <c:v>-1009.0877621084037</c:v>
                </c:pt>
                <c:pt idx="868">
                  <c:v>-1299.9470159418311</c:v>
                </c:pt>
                <c:pt idx="869">
                  <c:v>-920.46497092647201</c:v>
                </c:pt>
                <c:pt idx="870">
                  <c:v>-844.21808520617651</c:v>
                </c:pt>
                <c:pt idx="871">
                  <c:v>-983.15648977785895</c:v>
                </c:pt>
                <c:pt idx="872">
                  <c:v>-781.90942349426177</c:v>
                </c:pt>
                <c:pt idx="873">
                  <c:v>-871.50529336825093</c:v>
                </c:pt>
                <c:pt idx="874">
                  <c:v>-605.92978956417483</c:v>
                </c:pt>
                <c:pt idx="875">
                  <c:v>-763.93576355568575</c:v>
                </c:pt>
                <c:pt idx="876">
                  <c:v>-1248.0209684677366</c:v>
                </c:pt>
                <c:pt idx="877">
                  <c:v>-952.09318207859042</c:v>
                </c:pt>
                <c:pt idx="878">
                  <c:v>-1163.2360838527416</c:v>
                </c:pt>
                <c:pt idx="879">
                  <c:v>-1114.9417033850527</c:v>
                </c:pt>
                <c:pt idx="880">
                  <c:v>-969.64941435019</c:v>
                </c:pt>
                <c:pt idx="881">
                  <c:v>-1221.5034093123991</c:v>
                </c:pt>
                <c:pt idx="882">
                  <c:v>-1035.0863519401723</c:v>
                </c:pt>
                <c:pt idx="883">
                  <c:v>-859.18291623603136</c:v>
                </c:pt>
                <c:pt idx="884">
                  <c:v>-1119.1306546701271</c:v>
                </c:pt>
                <c:pt idx="885">
                  <c:v>-898.39605189031681</c:v>
                </c:pt>
                <c:pt idx="886">
                  <c:v>-1159.4739369856411</c:v>
                </c:pt>
                <c:pt idx="887">
                  <c:v>-993.82777676439082</c:v>
                </c:pt>
                <c:pt idx="888">
                  <c:v>-1077.7359354581467</c:v>
                </c:pt>
                <c:pt idx="889">
                  <c:v>-953.78263779622603</c:v>
                </c:pt>
                <c:pt idx="890">
                  <c:v>-1474.3944545334871</c:v>
                </c:pt>
                <c:pt idx="891">
                  <c:v>-913.30290236575365</c:v>
                </c:pt>
                <c:pt idx="892">
                  <c:v>-916.82890336306218</c:v>
                </c:pt>
                <c:pt idx="893">
                  <c:v>-1258.6797986857118</c:v>
                </c:pt>
                <c:pt idx="894">
                  <c:v>-330.26080511802638</c:v>
                </c:pt>
                <c:pt idx="895">
                  <c:v>-1260.4267201400048</c:v>
                </c:pt>
                <c:pt idx="896">
                  <c:v>-1053.8093256682484</c:v>
                </c:pt>
                <c:pt idx="897">
                  <c:v>-995.81322044714079</c:v>
                </c:pt>
                <c:pt idx="898">
                  <c:v>-918.61321821971387</c:v>
                </c:pt>
                <c:pt idx="899">
                  <c:v>-476.20337427933191</c:v>
                </c:pt>
                <c:pt idx="900">
                  <c:v>-558.98799953621892</c:v>
                </c:pt>
                <c:pt idx="901">
                  <c:v>-1140.7451765237802</c:v>
                </c:pt>
                <c:pt idx="902">
                  <c:v>-1074.1949858850458</c:v>
                </c:pt>
                <c:pt idx="903">
                  <c:v>-1334.8646701218645</c:v>
                </c:pt>
                <c:pt idx="904">
                  <c:v>-1205.5971623540518</c:v>
                </c:pt>
                <c:pt idx="905">
                  <c:v>-1096.6304828144384</c:v>
                </c:pt>
                <c:pt idx="906">
                  <c:v>-1492.4888545942049</c:v>
                </c:pt>
                <c:pt idx="907">
                  <c:v>-732.41865712254003</c:v>
                </c:pt>
                <c:pt idx="908">
                  <c:v>-616.68770433860186</c:v>
                </c:pt>
                <c:pt idx="909">
                  <c:v>-1151.8826950991524</c:v>
                </c:pt>
                <c:pt idx="910">
                  <c:v>-723.0928758621817</c:v>
                </c:pt>
                <c:pt idx="911">
                  <c:v>-1199.3086033199443</c:v>
                </c:pt>
                <c:pt idx="912">
                  <c:v>-912.26445596404483</c:v>
                </c:pt>
                <c:pt idx="913">
                  <c:v>-892.86489502402765</c:v>
                </c:pt>
                <c:pt idx="914">
                  <c:v>-1270.100981482778</c:v>
                </c:pt>
                <c:pt idx="915">
                  <c:v>-1320.834615380194</c:v>
                </c:pt>
                <c:pt idx="916">
                  <c:v>-880.16198208426431</c:v>
                </c:pt>
                <c:pt idx="917">
                  <c:v>-1080.0968549881627</c:v>
                </c:pt>
                <c:pt idx="918">
                  <c:v>-1098.6911527960892</c:v>
                </c:pt>
                <c:pt idx="919">
                  <c:v>-352.5040560855532</c:v>
                </c:pt>
                <c:pt idx="920">
                  <c:v>-1030.5018107530241</c:v>
                </c:pt>
                <c:pt idx="921">
                  <c:v>-695.98305059935842</c:v>
                </c:pt>
                <c:pt idx="922">
                  <c:v>-1011.3709523441044</c:v>
                </c:pt>
                <c:pt idx="923">
                  <c:v>-1196.7227513296039</c:v>
                </c:pt>
                <c:pt idx="924">
                  <c:v>-1456.2396055653085</c:v>
                </c:pt>
                <c:pt idx="925">
                  <c:v>-817.01699406775242</c:v>
                </c:pt>
                <c:pt idx="926">
                  <c:v>-1270.8554795797913</c:v>
                </c:pt>
                <c:pt idx="927">
                  <c:v>-1026.2738870324702</c:v>
                </c:pt>
                <c:pt idx="928">
                  <c:v>-944.31183245783313</c:v>
                </c:pt>
                <c:pt idx="929">
                  <c:v>-1292.0703616231776</c:v>
                </c:pt>
                <c:pt idx="930">
                  <c:v>-1142.0083430942577</c:v>
                </c:pt>
                <c:pt idx="931">
                  <c:v>-987.24553045043285</c:v>
                </c:pt>
                <c:pt idx="932">
                  <c:v>-574.21175873068887</c:v>
                </c:pt>
                <c:pt idx="933">
                  <c:v>-934.81344112656643</c:v>
                </c:pt>
                <c:pt idx="934">
                  <c:v>-845.45140390830829</c:v>
                </c:pt>
                <c:pt idx="935">
                  <c:v>-749.24375318991588</c:v>
                </c:pt>
                <c:pt idx="936">
                  <c:v>-799.52746834892378</c:v>
                </c:pt>
                <c:pt idx="937">
                  <c:v>-825.27943712777505</c:v>
                </c:pt>
                <c:pt idx="938">
                  <c:v>-807.71965829953115</c:v>
                </c:pt>
                <c:pt idx="939">
                  <c:v>-929.49081559358865</c:v>
                </c:pt>
                <c:pt idx="940">
                  <c:v>-770.48535102315054</c:v>
                </c:pt>
                <c:pt idx="941">
                  <c:v>-1032.4337974554728</c:v>
                </c:pt>
                <c:pt idx="942">
                  <c:v>-1035.2871075889859</c:v>
                </c:pt>
                <c:pt idx="943">
                  <c:v>-958.71582980976791</c:v>
                </c:pt>
                <c:pt idx="944">
                  <c:v>-764.00706795071846</c:v>
                </c:pt>
                <c:pt idx="945">
                  <c:v>-1029.4983444936202</c:v>
                </c:pt>
                <c:pt idx="946">
                  <c:v>-832.59766721289861</c:v>
                </c:pt>
                <c:pt idx="947">
                  <c:v>-1083.7538998067885</c:v>
                </c:pt>
                <c:pt idx="948">
                  <c:v>-449.84813511522225</c:v>
                </c:pt>
                <c:pt idx="949">
                  <c:v>-776.92706348481215</c:v>
                </c:pt>
                <c:pt idx="950">
                  <c:v>-946.02018439203539</c:v>
                </c:pt>
                <c:pt idx="951">
                  <c:v>-1841.5561932561818</c:v>
                </c:pt>
                <c:pt idx="952">
                  <c:v>-782.61517570868045</c:v>
                </c:pt>
                <c:pt idx="953">
                  <c:v>-658.12843868477103</c:v>
                </c:pt>
                <c:pt idx="954">
                  <c:v>-1044.5633768575403</c:v>
                </c:pt>
                <c:pt idx="955">
                  <c:v>-1093.3063784895144</c:v>
                </c:pt>
                <c:pt idx="956">
                  <c:v>-697.1126925996</c:v>
                </c:pt>
                <c:pt idx="957">
                  <c:v>-961.44195835068922</c:v>
                </c:pt>
                <c:pt idx="958">
                  <c:v>-731.12484519910163</c:v>
                </c:pt>
                <c:pt idx="959">
                  <c:v>-816.89851833873172</c:v>
                </c:pt>
                <c:pt idx="960">
                  <c:v>-864.01017109869781</c:v>
                </c:pt>
                <c:pt idx="961">
                  <c:v>-712.24303008496827</c:v>
                </c:pt>
                <c:pt idx="962">
                  <c:v>-830.36152128246977</c:v>
                </c:pt>
                <c:pt idx="963">
                  <c:v>-838.65660380287636</c:v>
                </c:pt>
                <c:pt idx="964">
                  <c:v>-1045.1296298699917</c:v>
                </c:pt>
                <c:pt idx="965">
                  <c:v>-1009.5889019647045</c:v>
                </c:pt>
                <c:pt idx="966">
                  <c:v>-1141.4063829390946</c:v>
                </c:pt>
                <c:pt idx="967">
                  <c:v>-963.7704566310772</c:v>
                </c:pt>
                <c:pt idx="968">
                  <c:v>-868.75963026582644</c:v>
                </c:pt>
                <c:pt idx="969">
                  <c:v>-1412.4049784510273</c:v>
                </c:pt>
                <c:pt idx="970">
                  <c:v>-773.72416208510867</c:v>
                </c:pt>
                <c:pt idx="971">
                  <c:v>-1323.1075764638281</c:v>
                </c:pt>
                <c:pt idx="972">
                  <c:v>-401.26118496101253</c:v>
                </c:pt>
                <c:pt idx="973">
                  <c:v>-612.13639327901774</c:v>
                </c:pt>
                <c:pt idx="974">
                  <c:v>-830.70730948434812</c:v>
                </c:pt>
                <c:pt idx="975">
                  <c:v>-1163.5701920846432</c:v>
                </c:pt>
                <c:pt idx="976">
                  <c:v>-781.75886293864869</c:v>
                </c:pt>
                <c:pt idx="977">
                  <c:v>-1655.2164400011029</c:v>
                </c:pt>
                <c:pt idx="978">
                  <c:v>-1408.0963808903862</c:v>
                </c:pt>
                <c:pt idx="979">
                  <c:v>-745.69586369717877</c:v>
                </c:pt>
                <c:pt idx="980">
                  <c:v>-1284.2474060200457</c:v>
                </c:pt>
                <c:pt idx="981">
                  <c:v>-1636.7706529646757</c:v>
                </c:pt>
                <c:pt idx="982">
                  <c:v>-350.41591246049393</c:v>
                </c:pt>
                <c:pt idx="983">
                  <c:v>-854.02341785270119</c:v>
                </c:pt>
                <c:pt idx="984">
                  <c:v>-781.92327675427441</c:v>
                </c:pt>
                <c:pt idx="985">
                  <c:v>-1264.1047846813794</c:v>
                </c:pt>
                <c:pt idx="986">
                  <c:v>-1494.410987284547</c:v>
                </c:pt>
                <c:pt idx="987">
                  <c:v>-1128.9583924263907</c:v>
                </c:pt>
                <c:pt idx="988">
                  <c:v>-1238.9101188612176</c:v>
                </c:pt>
                <c:pt idx="989">
                  <c:v>-1157.6929824400245</c:v>
                </c:pt>
                <c:pt idx="990">
                  <c:v>-905.45677543356351</c:v>
                </c:pt>
                <c:pt idx="991">
                  <c:v>-684.1685710201109</c:v>
                </c:pt>
                <c:pt idx="992">
                  <c:v>-1016.7461358435294</c:v>
                </c:pt>
                <c:pt idx="993">
                  <c:v>-659.11679565387431</c:v>
                </c:pt>
                <c:pt idx="994">
                  <c:v>-1125.0349694908246</c:v>
                </c:pt>
                <c:pt idx="995">
                  <c:v>-1204.9635159709192</c:v>
                </c:pt>
                <c:pt idx="996">
                  <c:v>-1552.8578215190823</c:v>
                </c:pt>
                <c:pt idx="997">
                  <c:v>-1233.8401345442398</c:v>
                </c:pt>
                <c:pt idx="998">
                  <c:v>-872.07074206791231</c:v>
                </c:pt>
                <c:pt idx="999">
                  <c:v>-821.48032583710756</c:v>
                </c:pt>
              </c:numCache>
            </c:numRef>
          </c:yVal>
          <c:smooth val="0"/>
          <c:extLst>
            <c:ext xmlns:c16="http://schemas.microsoft.com/office/drawing/2014/chart" uri="{C3380CC4-5D6E-409C-BE32-E72D297353CC}">
              <c16:uniqueId val="{00000000-F464-432F-A6B4-8596B1B2F407}"/>
            </c:ext>
          </c:extLst>
        </c:ser>
        <c:dLbls>
          <c:showLegendKey val="0"/>
          <c:showVal val="0"/>
          <c:showCatName val="0"/>
          <c:showSerName val="0"/>
          <c:showPercent val="0"/>
          <c:showBubbleSize val="0"/>
        </c:dLbls>
        <c:axId val="94636672"/>
        <c:axId val="96871552"/>
      </c:scatterChart>
      <c:valAx>
        <c:axId val="94636672"/>
        <c:scaling>
          <c:orientation val="minMax"/>
        </c:scaling>
        <c:delete val="0"/>
        <c:axPos val="b"/>
        <c:title>
          <c:tx>
            <c:rich>
              <a:bodyPr rot="0" spcFirstLastPara="1" vertOverflow="ellipsis" vert="horz" wrap="square" anchor="ctr" anchorCtr="1"/>
              <a:lstStyle/>
              <a:p>
                <a:pPr>
                  <a:defRPr sz="9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pt-BR"/>
                  <a:t>Incremental effectiveness (QALY)</a:t>
                </a:r>
              </a:p>
            </c:rich>
          </c:tx>
          <c:layout>
            <c:manualLayout>
              <c:xMode val="edge"/>
              <c:yMode val="edge"/>
              <c:x val="0.44928913553952299"/>
              <c:y val="0.93584234174118064"/>
            </c:manualLayout>
          </c:layout>
          <c:overlay val="0"/>
          <c:spPr>
            <a:noFill/>
            <a:ln>
              <a:noFill/>
            </a:ln>
            <a:effectLst/>
          </c:spPr>
          <c:txPr>
            <a:bodyPr rot="0" spcFirstLastPara="1" vertOverflow="ellipsis" vert="horz" wrap="square" anchor="ctr" anchorCtr="1"/>
            <a:lstStyle/>
            <a:p>
              <a:pPr>
                <a:defRPr sz="9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pt-BR"/>
            </a:p>
          </c:txPr>
        </c:title>
        <c:numFmt formatCode="0" sourceLinked="1"/>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pt-BR"/>
          </a:p>
        </c:txPr>
        <c:crossAx val="96871552"/>
        <c:crosses val="autoZero"/>
        <c:crossBetween val="midCat"/>
      </c:valAx>
      <c:valAx>
        <c:axId val="96871552"/>
        <c:scaling>
          <c:orientation val="minMax"/>
        </c:scaling>
        <c:delete val="0"/>
        <c:axPos val="l"/>
        <c:title>
          <c:tx>
            <c:rich>
              <a:bodyPr rot="-540000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9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pt-BR" sz="900" b="1" i="0" u="none" strike="noStrike" kern="1200" baseline="0">
                    <a:solidFill>
                      <a:sysClr val="windowText" lastClr="000000"/>
                    </a:solidFill>
                    <a:latin typeface="Arial" panose="020B0604020202020204" pitchFamily="34" charset="0"/>
                    <a:cs typeface="Arial" panose="020B0604020202020204" pitchFamily="34" charset="0"/>
                  </a:rPr>
                  <a:t>Incremental cost</a:t>
                </a:r>
              </a:p>
              <a:p>
                <a:pPr marL="0" marR="0" lvl="0" indent="0" algn="ctr" defTabSz="914400" rtl="0" eaLnBrk="1" fontAlgn="auto" latinLnBrk="0" hangingPunct="1">
                  <a:lnSpc>
                    <a:spcPct val="100000"/>
                  </a:lnSpc>
                  <a:spcBef>
                    <a:spcPts val="0"/>
                  </a:spcBef>
                  <a:spcAft>
                    <a:spcPts val="0"/>
                  </a:spcAft>
                  <a:buClrTx/>
                  <a:buSzTx/>
                  <a:buFontTx/>
                  <a:buNone/>
                  <a:tabLst/>
                  <a:defRPr/>
                </a:pPr>
                <a:r>
                  <a:rPr lang="pt-BR"/>
                  <a:t> (R$)</a:t>
                </a:r>
              </a:p>
            </c:rich>
          </c:tx>
          <c:layout>
            <c:manualLayout>
              <c:xMode val="edge"/>
              <c:yMode val="edge"/>
              <c:x val="3.7825064734471024E-3"/>
              <c:y val="0.30048682532662674"/>
            </c:manualLayout>
          </c:layout>
          <c:overlay val="0"/>
          <c:spPr>
            <a:noFill/>
            <a:ln>
              <a:noFill/>
            </a:ln>
            <a:effectLst/>
          </c:spPr>
          <c:txPr>
            <a:bodyPr rot="-540000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9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pt-BR"/>
            </a:p>
          </c:txPr>
        </c:title>
        <c:numFmt formatCode="[$€-2]\ #,##0" sourceLinked="0"/>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pt-BR"/>
          </a:p>
        </c:txPr>
        <c:crossAx val="94636672"/>
        <c:crosses val="autoZero"/>
        <c:crossBetween val="midCat"/>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pt-BR"/>
    </a:p>
  </c:txPr>
  <c:printSettings>
    <c:headerFooter/>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1"/>
    </mc:Choice>
    <mc:Fallback>
      <c:style val="1"/>
    </mc:Fallback>
  </mc:AlternateContent>
  <c:chart>
    <c:autoTitleDeleted val="1"/>
    <c:plotArea>
      <c:layout>
        <c:manualLayout>
          <c:layoutTarget val="inner"/>
          <c:xMode val="edge"/>
          <c:yMode val="edge"/>
          <c:x val="0.24173088144819946"/>
          <c:y val="7.1712848458309345E-2"/>
          <c:w val="0.73809575400340499"/>
          <c:h val="0.84139013004424901"/>
        </c:manualLayout>
      </c:layout>
      <c:barChart>
        <c:barDir val="bar"/>
        <c:grouping val="clustered"/>
        <c:varyColors val="0"/>
        <c:ser>
          <c:idx val="0"/>
          <c:order val="0"/>
          <c:tx>
            <c:strRef>
              <c:f>DSA!$C$66</c:f>
              <c:strCache>
                <c:ptCount val="1"/>
                <c:pt idx="0">
                  <c:v>Lower Limit</c:v>
                </c:pt>
              </c:strCache>
            </c:strRef>
          </c:tx>
          <c:invertIfNegative val="0"/>
          <c:dLbls>
            <c:numFmt formatCode="[$€-2]\ #,##0" sourceLinked="0"/>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DSA!$B$75:$B$127</c:f>
              <c:strCache>
                <c:ptCount val="53"/>
                <c:pt idx="0">
                  <c:v>10-years Survival prob, DCIS</c:v>
                </c:pt>
                <c:pt idx="1">
                  <c:v>Utility with no breast cancer</c:v>
                </c:pt>
                <c:pt idx="2">
                  <c:v>Recall cost</c:v>
                </c:pt>
                <c:pt idx="3">
                  <c:v>Local recurrence to Distant recurrence Prob TNM1</c:v>
                </c:pt>
                <c:pt idx="4">
                  <c:v>Utility DCIS breast cancer </c:v>
                </c:pt>
                <c:pt idx="5">
                  <c:v>DCIS treatment cost following years</c:v>
                </c:pt>
                <c:pt idx="6">
                  <c:v>Utility in the 1st cycle - False positive</c:v>
                </c:pt>
                <c:pt idx="7">
                  <c:v>Utility TNM3 breast cancer </c:v>
                </c:pt>
                <c:pt idx="8">
                  <c:v>Utility interval cancer</c:v>
                </c:pt>
                <c:pt idx="9">
                  <c:v>Utility TNM2 breast cancer </c:v>
                </c:pt>
                <c:pt idx="10">
                  <c:v>DCIS treatment cost year 1</c:v>
                </c:pt>
                <c:pt idx="11">
                  <c:v>Utility in the 1st cycle - True negative</c:v>
                </c:pt>
                <c:pt idx="12">
                  <c:v>Biopsy and histopathology cost</c:v>
                </c:pt>
                <c:pt idx="13">
                  <c:v>TNM 2 treatment cost subsequent years</c:v>
                </c:pt>
                <c:pt idx="14">
                  <c:v>Utility TNM1 breast cancer </c:v>
                </c:pt>
                <c:pt idx="15">
                  <c:v>10-year survival prob, interval cancer </c:v>
                </c:pt>
                <c:pt idx="16">
                  <c:v>TNM 1 treatment cost subsequent years</c:v>
                </c:pt>
                <c:pt idx="17">
                  <c:v>Interv cancer treatment cost first year</c:v>
                </c:pt>
                <c:pt idx="18">
                  <c:v>TNM 1 treatment cost (1 year)</c:v>
                </c:pt>
                <c:pt idx="19">
                  <c:v>TNM 2 treatment cost (1 year)</c:v>
                </c:pt>
                <c:pt idx="20">
                  <c:v>Local recurrence to Distant recurrence Prob TNM3</c:v>
                </c:pt>
                <c:pt idx="21">
                  <c:v>TNM 3 treatment cost (1 year)</c:v>
                </c:pt>
                <c:pt idx="22">
                  <c:v>5-years Survival Prob, TNM 1</c:v>
                </c:pt>
                <c:pt idx="23">
                  <c:v>Mammography Cost</c:v>
                </c:pt>
                <c:pt idx="24">
                  <c:v>5-years Survival Prob, TNM 4</c:v>
                </c:pt>
                <c:pt idx="25">
                  <c:v>TNM I Mammog (ECR ToBe)</c:v>
                </c:pt>
                <c:pt idx="26">
                  <c:v>TNM 3 treatment cost subsequent years</c:v>
                </c:pt>
                <c:pt idx="27">
                  <c:v>Local recurrence to Distant recurrence Prob TNM2</c:v>
                </c:pt>
                <c:pt idx="28">
                  <c:v>TNM I Tomosy (ECR ToBe)</c:v>
                </c:pt>
                <c:pt idx="29">
                  <c:v>Interv cancer treatment cost subsequent years</c:v>
                </c:pt>
                <c:pt idx="30">
                  <c:v>Tomosynthesis Cost</c:v>
                </c:pt>
                <c:pt idx="31">
                  <c:v>Biopsy rate_Ultrasound Tomosy</c:v>
                </c:pt>
                <c:pt idx="32">
                  <c:v>TNM III Tomosy (ECR ToBe)</c:v>
                </c:pt>
                <c:pt idx="33">
                  <c:v>5-years Survival Prob, TNM 2</c:v>
                </c:pt>
                <c:pt idx="34">
                  <c:v>5-years Survival Prob, TNM 3</c:v>
                </c:pt>
                <c:pt idx="35">
                  <c:v>Invasive cancer rate_Ultrasound</c:v>
                </c:pt>
                <c:pt idx="36">
                  <c:v>Cancer detection in biopsy_Ultrasound</c:v>
                </c:pt>
                <c:pt idx="37">
                  <c:v>TNM II Tomosy (ECR ToBe)</c:v>
                </c:pt>
                <c:pt idx="38">
                  <c:v>Interval cancer DBT+s2D</c:v>
                </c:pt>
                <c:pt idx="39">
                  <c:v>Invasive cancer rate_DBT+s2D</c:v>
                </c:pt>
                <c:pt idx="40">
                  <c:v>Metastatic disease treatment cost </c:v>
                </c:pt>
                <c:pt idx="41">
                  <c:v>Interval Cancer Mammography </c:v>
                </c:pt>
                <c:pt idx="42">
                  <c:v>Biopsy rate_Ultrasound Mammog</c:v>
                </c:pt>
                <c:pt idx="43">
                  <c:v>TNM III Mammog (ECR ToBe)</c:v>
                </c:pt>
                <c:pt idx="44">
                  <c:v>Utility TNM4 breast cancer </c:v>
                </c:pt>
                <c:pt idx="45">
                  <c:v>TNM II Mammog (ECR ToBe)</c:v>
                </c:pt>
                <c:pt idx="46">
                  <c:v>Recall rate_DBT+s2D</c:v>
                </c:pt>
                <c:pt idx="47">
                  <c:v>Invasive cancer rate_Mammography</c:v>
                </c:pt>
                <c:pt idx="48">
                  <c:v>Recall rate_Mammography</c:v>
                </c:pt>
                <c:pt idx="49">
                  <c:v>Biopsy rate_DBT+s2D</c:v>
                </c:pt>
                <c:pt idx="50">
                  <c:v>Cancer detection in biopsy_DBT+s2D</c:v>
                </c:pt>
                <c:pt idx="51">
                  <c:v>Biopsy rate_Mammography</c:v>
                </c:pt>
                <c:pt idx="52">
                  <c:v>Cancer detection in biopsy_Mammography</c:v>
                </c:pt>
              </c:strCache>
            </c:strRef>
          </c:cat>
          <c:val>
            <c:numRef>
              <c:f>DSA!$C$75:$C$127</c:f>
              <c:numCache>
                <c:formatCode>_-[$€-2]\ * #,##0.00_-;\-[$€-2]\ * #,##0.00_-;_-[$€-2]\ * "-"??_-;_-@_-</c:formatCode>
                <c:ptCount val="53"/>
                <c:pt idx="0">
                  <c:v>-183.50318372637207</c:v>
                </c:pt>
                <c:pt idx="1">
                  <c:v>-183.51143198328413</c:v>
                </c:pt>
                <c:pt idx="2">
                  <c:v>-183.49637735464316</c:v>
                </c:pt>
                <c:pt idx="3">
                  <c:v>-183.51499306865728</c:v>
                </c:pt>
                <c:pt idx="4">
                  <c:v>-183.49476267096301</c:v>
                </c:pt>
                <c:pt idx="5">
                  <c:v>-183.49251070216079</c:v>
                </c:pt>
                <c:pt idx="6">
                  <c:v>-183.4869256876936</c:v>
                </c:pt>
                <c:pt idx="7">
                  <c:v>-183.48689091455751</c:v>
                </c:pt>
                <c:pt idx="8">
                  <c:v>-183.48277841623749</c:v>
                </c:pt>
                <c:pt idx="9">
                  <c:v>-183.48248675277506</c:v>
                </c:pt>
                <c:pt idx="10">
                  <c:v>-183.48240074358492</c:v>
                </c:pt>
                <c:pt idx="11">
                  <c:v>-183.5307289274337</c:v>
                </c:pt>
                <c:pt idx="12">
                  <c:v>-183.4736617240647</c:v>
                </c:pt>
                <c:pt idx="13">
                  <c:v>-183.40698236038534</c:v>
                </c:pt>
                <c:pt idx="14">
                  <c:v>-183.64318321230618</c:v>
                </c:pt>
                <c:pt idx="15">
                  <c:v>-183.12762061976832</c:v>
                </c:pt>
                <c:pt idx="16">
                  <c:v>-184.17438673867443</c:v>
                </c:pt>
                <c:pt idx="17">
                  <c:v>-182.82272826215055</c:v>
                </c:pt>
                <c:pt idx="18">
                  <c:v>-184.2364670332943</c:v>
                </c:pt>
                <c:pt idx="19">
                  <c:v>-182.67395565285307</c:v>
                </c:pt>
                <c:pt idx="20">
                  <c:v>-182.61101281273596</c:v>
                </c:pt>
                <c:pt idx="21">
                  <c:v>-182.11699321945994</c:v>
                </c:pt>
                <c:pt idx="22">
                  <c:v>-185.10335938696824</c:v>
                </c:pt>
                <c:pt idx="23">
                  <c:v>-181.55649964520035</c:v>
                </c:pt>
                <c:pt idx="24">
                  <c:v>-185.71592255529666</c:v>
                </c:pt>
                <c:pt idx="25">
                  <c:v>-181.11202995804229</c:v>
                </c:pt>
                <c:pt idx="26">
                  <c:v>-180.51044152653344</c:v>
                </c:pt>
                <c:pt idx="27">
                  <c:v>-180.05378693698279</c:v>
                </c:pt>
                <c:pt idx="28">
                  <c:v>-187.45758177124682</c:v>
                </c:pt>
                <c:pt idx="29">
                  <c:v>-179.35011129388417</c:v>
                </c:pt>
                <c:pt idx="30">
                  <c:v>-189.9458751988783</c:v>
                </c:pt>
                <c:pt idx="31">
                  <c:v>-190.82950762895365</c:v>
                </c:pt>
                <c:pt idx="32">
                  <c:v>-190.97959543819277</c:v>
                </c:pt>
                <c:pt idx="33">
                  <c:v>-176.27867735982039</c:v>
                </c:pt>
                <c:pt idx="34">
                  <c:v>-175.53687532628976</c:v>
                </c:pt>
                <c:pt idx="35">
                  <c:v>-174.05741268258234</c:v>
                </c:pt>
                <c:pt idx="36">
                  <c:v>-173.93651246856086</c:v>
                </c:pt>
                <c:pt idx="37">
                  <c:v>-194.12617998976631</c:v>
                </c:pt>
                <c:pt idx="38">
                  <c:v>-195.07932249856987</c:v>
                </c:pt>
                <c:pt idx="39">
                  <c:v>-196.99989206479157</c:v>
                </c:pt>
                <c:pt idx="40">
                  <c:v>-169.48447205135798</c:v>
                </c:pt>
                <c:pt idx="41">
                  <c:v>-167.09698326322001</c:v>
                </c:pt>
                <c:pt idx="42">
                  <c:v>-166.57964953738224</c:v>
                </c:pt>
                <c:pt idx="43">
                  <c:v>-165.35532725599327</c:v>
                </c:pt>
                <c:pt idx="44">
                  <c:v>-203.79640352168715</c:v>
                </c:pt>
                <c:pt idx="45">
                  <c:v>-164.16812392893721</c:v>
                </c:pt>
                <c:pt idx="46">
                  <c:v>-213.11068378050859</c:v>
                </c:pt>
                <c:pt idx="47">
                  <c:v>-161.46376134444574</c:v>
                </c:pt>
                <c:pt idx="48">
                  <c:v>-133.55482128617396</c:v>
                </c:pt>
                <c:pt idx="49">
                  <c:v>-247.59873861887272</c:v>
                </c:pt>
                <c:pt idx="50">
                  <c:v>-290.09383053176037</c:v>
                </c:pt>
                <c:pt idx="51">
                  <c:v>-101.65542001075352</c:v>
                </c:pt>
                <c:pt idx="52">
                  <c:v>-26.966694342685724</c:v>
                </c:pt>
              </c:numCache>
            </c:numRef>
          </c:val>
          <c:extLst>
            <c:ext xmlns:c16="http://schemas.microsoft.com/office/drawing/2014/chart" uri="{C3380CC4-5D6E-409C-BE32-E72D297353CC}">
              <c16:uniqueId val="{00000000-82F1-462F-AD55-1E9952147932}"/>
            </c:ext>
          </c:extLst>
        </c:ser>
        <c:ser>
          <c:idx val="1"/>
          <c:order val="1"/>
          <c:tx>
            <c:strRef>
              <c:f>DSA!$D$66</c:f>
              <c:strCache>
                <c:ptCount val="1"/>
                <c:pt idx="0">
                  <c:v>Upper Limit</c:v>
                </c:pt>
              </c:strCache>
            </c:strRef>
          </c:tx>
          <c:invertIfNegative val="0"/>
          <c:dLbls>
            <c:dLbl>
              <c:idx val="0"/>
              <c:layout>
                <c:manualLayout>
                  <c:x val="-4.0596434978144184E-2"/>
                  <c:y val="1.16731513933284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A797-469F-B61D-ADA31128307D}"/>
                </c:ext>
              </c:extLst>
            </c:dLbl>
            <c:dLbl>
              <c:idx val="1"/>
              <c:layout>
                <c:manualLayout>
                  <c:x val="-3.6207631196723121E-2"/>
                  <c:y val="-2.1400530333682974E-1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797-469F-B61D-ADA31128307D}"/>
                </c:ext>
              </c:extLst>
            </c:dLbl>
            <c:dLbl>
              <c:idx val="5"/>
              <c:layout>
                <c:manualLayout>
                  <c:x val="-4.0596434978144101E-2"/>
                  <c:y val="-2.1400530333682974E-1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797-469F-B61D-ADA31128307D}"/>
                </c:ext>
              </c:extLst>
            </c:dLbl>
            <c:dLbl>
              <c:idx val="6"/>
              <c:layout>
                <c:manualLayout>
                  <c:x val="-4.0400368598553588E-2"/>
                  <c:y val="-1.16731513933284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797-469F-B61D-ADA31128307D}"/>
                </c:ext>
              </c:extLst>
            </c:dLbl>
            <c:dLbl>
              <c:idx val="17"/>
              <c:layout>
                <c:manualLayout>
                  <c:x val="-4.2790836868854598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A797-469F-B61D-ADA31128307D}"/>
                </c:ext>
              </c:extLst>
            </c:dLbl>
            <c:dLbl>
              <c:idx val="18"/>
              <c:layout>
                <c:manualLayout>
                  <c:x val="-4.1492270452568383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797-469F-B61D-ADA31128307D}"/>
                </c:ext>
              </c:extLst>
            </c:dLbl>
            <c:dLbl>
              <c:idx val="21"/>
              <c:layout>
                <c:manualLayout>
                  <c:x val="-3.2916028360657462E-2"/>
                  <c:y val="-4.2801060667365948E-1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07B0-4A5D-A1D6-891ADCAA0264}"/>
                </c:ext>
              </c:extLst>
            </c:dLbl>
            <c:dLbl>
              <c:idx val="27"/>
              <c:layout>
                <c:manualLayout>
                  <c:x val="-4.1693635923499346E-2"/>
                  <c:y val="-2.334630278665708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FCE-4945-94E2-A994C876FA80}"/>
                </c:ext>
              </c:extLst>
            </c:dLbl>
            <c:dLbl>
              <c:idx val="29"/>
              <c:layout>
                <c:manualLayout>
                  <c:x val="-3.7124663036508639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07B0-4A5D-A1D6-891ADCAA0264}"/>
                </c:ext>
              </c:extLst>
            </c:dLbl>
            <c:dLbl>
              <c:idx val="33"/>
              <c:layout>
                <c:manualLayout>
                  <c:x val="-3.9308466744538473E-2"/>
                  <c:y val="-1.1673151393328919E-3"/>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FCE-4945-94E2-A994C876FA80}"/>
                </c:ext>
              </c:extLst>
            </c:dLbl>
            <c:dLbl>
              <c:idx val="45"/>
              <c:layout>
                <c:manualLayout>
                  <c:x val="-3.8402033087433653E-2"/>
                  <c:y val="0"/>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A797-469F-B61D-ADA31128307D}"/>
                </c:ext>
              </c:extLst>
            </c:dLbl>
            <c:dLbl>
              <c:idx val="49"/>
              <c:layout>
                <c:manualLayout>
                  <c:x val="-3.7304832142078366E-2"/>
                  <c:y val="-4.2801060667365948E-17"/>
                </c:manualLayout>
              </c:layout>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A797-469F-B61D-ADA31128307D}"/>
                </c:ext>
              </c:extLst>
            </c:dLbl>
            <c:numFmt formatCode="[$€-2]\ #,##0" sourceLinked="0"/>
            <c:spPr>
              <a:noFill/>
              <a:ln>
                <a:noFill/>
              </a:ln>
              <a:effectLst/>
            </c:sp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ext>
            </c:extLst>
          </c:dLbls>
          <c:cat>
            <c:strRef>
              <c:f>DSA!$B$75:$B$127</c:f>
              <c:strCache>
                <c:ptCount val="53"/>
                <c:pt idx="0">
                  <c:v>10-years Survival prob, DCIS</c:v>
                </c:pt>
                <c:pt idx="1">
                  <c:v>Utility with no breast cancer</c:v>
                </c:pt>
                <c:pt idx="2">
                  <c:v>Recall cost</c:v>
                </c:pt>
                <c:pt idx="3">
                  <c:v>Local recurrence to Distant recurrence Prob TNM1</c:v>
                </c:pt>
                <c:pt idx="4">
                  <c:v>Utility DCIS breast cancer </c:v>
                </c:pt>
                <c:pt idx="5">
                  <c:v>DCIS treatment cost following years</c:v>
                </c:pt>
                <c:pt idx="6">
                  <c:v>Utility in the 1st cycle - False positive</c:v>
                </c:pt>
                <c:pt idx="7">
                  <c:v>Utility TNM3 breast cancer </c:v>
                </c:pt>
                <c:pt idx="8">
                  <c:v>Utility interval cancer</c:v>
                </c:pt>
                <c:pt idx="9">
                  <c:v>Utility TNM2 breast cancer </c:v>
                </c:pt>
                <c:pt idx="10">
                  <c:v>DCIS treatment cost year 1</c:v>
                </c:pt>
                <c:pt idx="11">
                  <c:v>Utility in the 1st cycle - True negative</c:v>
                </c:pt>
                <c:pt idx="12">
                  <c:v>Biopsy and histopathology cost</c:v>
                </c:pt>
                <c:pt idx="13">
                  <c:v>TNM 2 treatment cost subsequent years</c:v>
                </c:pt>
                <c:pt idx="14">
                  <c:v>Utility TNM1 breast cancer </c:v>
                </c:pt>
                <c:pt idx="15">
                  <c:v>10-year survival prob, interval cancer </c:v>
                </c:pt>
                <c:pt idx="16">
                  <c:v>TNM 1 treatment cost subsequent years</c:v>
                </c:pt>
                <c:pt idx="17">
                  <c:v>Interv cancer treatment cost first year</c:v>
                </c:pt>
                <c:pt idx="18">
                  <c:v>TNM 1 treatment cost (1 year)</c:v>
                </c:pt>
                <c:pt idx="19">
                  <c:v>TNM 2 treatment cost (1 year)</c:v>
                </c:pt>
                <c:pt idx="20">
                  <c:v>Local recurrence to Distant recurrence Prob TNM3</c:v>
                </c:pt>
                <c:pt idx="21">
                  <c:v>TNM 3 treatment cost (1 year)</c:v>
                </c:pt>
                <c:pt idx="22">
                  <c:v>5-years Survival Prob, TNM 1</c:v>
                </c:pt>
                <c:pt idx="23">
                  <c:v>Mammography Cost</c:v>
                </c:pt>
                <c:pt idx="24">
                  <c:v>5-years Survival Prob, TNM 4</c:v>
                </c:pt>
                <c:pt idx="25">
                  <c:v>TNM I Mammog (ECR ToBe)</c:v>
                </c:pt>
                <c:pt idx="26">
                  <c:v>TNM 3 treatment cost subsequent years</c:v>
                </c:pt>
                <c:pt idx="27">
                  <c:v>Local recurrence to Distant recurrence Prob TNM2</c:v>
                </c:pt>
                <c:pt idx="28">
                  <c:v>TNM I Tomosy (ECR ToBe)</c:v>
                </c:pt>
                <c:pt idx="29">
                  <c:v>Interv cancer treatment cost subsequent years</c:v>
                </c:pt>
                <c:pt idx="30">
                  <c:v>Tomosynthesis Cost</c:v>
                </c:pt>
                <c:pt idx="31">
                  <c:v>Biopsy rate_Ultrasound Tomosy</c:v>
                </c:pt>
                <c:pt idx="32">
                  <c:v>TNM III Tomosy (ECR ToBe)</c:v>
                </c:pt>
                <c:pt idx="33">
                  <c:v>5-years Survival Prob, TNM 2</c:v>
                </c:pt>
                <c:pt idx="34">
                  <c:v>5-years Survival Prob, TNM 3</c:v>
                </c:pt>
                <c:pt idx="35">
                  <c:v>Invasive cancer rate_Ultrasound</c:v>
                </c:pt>
                <c:pt idx="36">
                  <c:v>Cancer detection in biopsy_Ultrasound</c:v>
                </c:pt>
                <c:pt idx="37">
                  <c:v>TNM II Tomosy (ECR ToBe)</c:v>
                </c:pt>
                <c:pt idx="38">
                  <c:v>Interval cancer DBT+s2D</c:v>
                </c:pt>
                <c:pt idx="39">
                  <c:v>Invasive cancer rate_DBT+s2D</c:v>
                </c:pt>
                <c:pt idx="40">
                  <c:v>Metastatic disease treatment cost </c:v>
                </c:pt>
                <c:pt idx="41">
                  <c:v>Interval Cancer Mammography </c:v>
                </c:pt>
                <c:pt idx="42">
                  <c:v>Biopsy rate_Ultrasound Mammog</c:v>
                </c:pt>
                <c:pt idx="43">
                  <c:v>TNM III Mammog (ECR ToBe)</c:v>
                </c:pt>
                <c:pt idx="44">
                  <c:v>Utility TNM4 breast cancer </c:v>
                </c:pt>
                <c:pt idx="45">
                  <c:v>TNM II Mammog (ECR ToBe)</c:v>
                </c:pt>
                <c:pt idx="46">
                  <c:v>Recall rate_DBT+s2D</c:v>
                </c:pt>
                <c:pt idx="47">
                  <c:v>Invasive cancer rate_Mammography</c:v>
                </c:pt>
                <c:pt idx="48">
                  <c:v>Recall rate_Mammography</c:v>
                </c:pt>
                <c:pt idx="49">
                  <c:v>Biopsy rate_DBT+s2D</c:v>
                </c:pt>
                <c:pt idx="50">
                  <c:v>Cancer detection in biopsy_DBT+s2D</c:v>
                </c:pt>
                <c:pt idx="51">
                  <c:v>Biopsy rate_Mammography</c:v>
                </c:pt>
                <c:pt idx="52">
                  <c:v>Cancer detection in biopsy_Mammography</c:v>
                </c:pt>
              </c:strCache>
            </c:strRef>
          </c:cat>
          <c:val>
            <c:numRef>
              <c:f>DSA!$D$75:$D$127</c:f>
              <c:numCache>
                <c:formatCode>_-[$€-2]\ * #,##0.00_-;\-[$€-2]\ * #,##0.00_-;_-[$€-2]\ * "-"??_-;_-@_-</c:formatCode>
                <c:ptCount val="53"/>
                <c:pt idx="0">
                  <c:v>-183.50675241992445</c:v>
                </c:pt>
                <c:pt idx="1">
                  <c:v>-183.49848303829913</c:v>
                </c:pt>
                <c:pt idx="2">
                  <c:v>-183.51353721007163</c:v>
                </c:pt>
                <c:pt idx="3">
                  <c:v>-183.49492197143394</c:v>
                </c:pt>
                <c:pt idx="4">
                  <c:v>-183.51515302660042</c:v>
                </c:pt>
                <c:pt idx="5">
                  <c:v>-183.51740386255409</c:v>
                </c:pt>
                <c:pt idx="6">
                  <c:v>-183.52299242136488</c:v>
                </c:pt>
                <c:pt idx="7">
                  <c:v>-183.52302720818582</c:v>
                </c:pt>
                <c:pt idx="8">
                  <c:v>-183.52714151095952</c:v>
                </c:pt>
                <c:pt idx="9">
                  <c:v>-183.52743331640556</c:v>
                </c:pt>
                <c:pt idx="10">
                  <c:v>-183.52751382112987</c:v>
                </c:pt>
                <c:pt idx="11">
                  <c:v>-183.47919287404682</c:v>
                </c:pt>
                <c:pt idx="12">
                  <c:v>-183.53625284065009</c:v>
                </c:pt>
                <c:pt idx="13">
                  <c:v>-183.60293220432942</c:v>
                </c:pt>
                <c:pt idx="14">
                  <c:v>-183.36693927776741</c:v>
                </c:pt>
                <c:pt idx="15">
                  <c:v>-183.8875900205731</c:v>
                </c:pt>
                <c:pt idx="16">
                  <c:v>-182.83552782604036</c:v>
                </c:pt>
                <c:pt idx="17">
                  <c:v>-184.18718630256433</c:v>
                </c:pt>
                <c:pt idx="18">
                  <c:v>-182.77344753142049</c:v>
                </c:pt>
                <c:pt idx="19">
                  <c:v>-184.33595891186172</c:v>
                </c:pt>
                <c:pt idx="20">
                  <c:v>-184.28456129055118</c:v>
                </c:pt>
                <c:pt idx="21">
                  <c:v>-184.89292134525493</c:v>
                </c:pt>
                <c:pt idx="22">
                  <c:v>-181.25629925546426</c:v>
                </c:pt>
                <c:pt idx="23">
                  <c:v>-185.45341491951453</c:v>
                </c:pt>
                <c:pt idx="24">
                  <c:v>-181.24769674229469</c:v>
                </c:pt>
                <c:pt idx="25">
                  <c:v>-185.90346192872886</c:v>
                </c:pt>
                <c:pt idx="26">
                  <c:v>-186.49947303818143</c:v>
                </c:pt>
                <c:pt idx="27">
                  <c:v>-186.54060552196276</c:v>
                </c:pt>
                <c:pt idx="28">
                  <c:v>-179.56745662553544</c:v>
                </c:pt>
                <c:pt idx="29">
                  <c:v>-187.65980327083062</c:v>
                </c:pt>
                <c:pt idx="30">
                  <c:v>-177.06403936583649</c:v>
                </c:pt>
                <c:pt idx="31">
                  <c:v>-176.17818870072779</c:v>
                </c:pt>
                <c:pt idx="32">
                  <c:v>-176.03197368059477</c:v>
                </c:pt>
                <c:pt idx="33">
                  <c:v>-192.36518172262097</c:v>
                </c:pt>
                <c:pt idx="34">
                  <c:v>-193.07243119685907</c:v>
                </c:pt>
                <c:pt idx="35">
                  <c:v>-192.95034620369816</c:v>
                </c:pt>
                <c:pt idx="36">
                  <c:v>-193.07082386515225</c:v>
                </c:pt>
                <c:pt idx="37">
                  <c:v>-172.88881017316049</c:v>
                </c:pt>
                <c:pt idx="38">
                  <c:v>-171.9286617947771</c:v>
                </c:pt>
                <c:pt idx="39">
                  <c:v>-170.00748751362275</c:v>
                </c:pt>
                <c:pt idx="40">
                  <c:v>-197.52544251335664</c:v>
                </c:pt>
                <c:pt idx="41">
                  <c:v>-199.90906089097783</c:v>
                </c:pt>
                <c:pt idx="42">
                  <c:v>-200.42060315472176</c:v>
                </c:pt>
                <c:pt idx="43">
                  <c:v>-201.66434991686319</c:v>
                </c:pt>
                <c:pt idx="44">
                  <c:v>-166.88834473814072</c:v>
                </c:pt>
                <c:pt idx="45">
                  <c:v>-202.85863655394206</c:v>
                </c:pt>
                <c:pt idx="46">
                  <c:v>-169.74305588571681</c:v>
                </c:pt>
                <c:pt idx="47">
                  <c:v>-205.53646476432559</c:v>
                </c:pt>
                <c:pt idx="48">
                  <c:v>-222.53598624021285</c:v>
                </c:pt>
                <c:pt idx="49">
                  <c:v>-114.6171760901404</c:v>
                </c:pt>
                <c:pt idx="50">
                  <c:v>-134.12759048480362</c:v>
                </c:pt>
                <c:pt idx="51">
                  <c:v>-303.94931782152844</c:v>
                </c:pt>
                <c:pt idx="52">
                  <c:v>-278.51209721061218</c:v>
                </c:pt>
              </c:numCache>
            </c:numRef>
          </c:val>
          <c:extLst>
            <c:ext xmlns:c16="http://schemas.microsoft.com/office/drawing/2014/chart" uri="{C3380CC4-5D6E-409C-BE32-E72D297353CC}">
              <c16:uniqueId val="{00000001-82F1-462F-AD55-1E9952147932}"/>
            </c:ext>
          </c:extLst>
        </c:ser>
        <c:dLbls>
          <c:dLblPos val="outEnd"/>
          <c:showLegendKey val="0"/>
          <c:showVal val="1"/>
          <c:showCatName val="0"/>
          <c:showSerName val="0"/>
          <c:showPercent val="0"/>
          <c:showBubbleSize val="0"/>
        </c:dLbls>
        <c:gapWidth val="100"/>
        <c:overlap val="100"/>
        <c:axId val="98250752"/>
        <c:axId val="98252288"/>
      </c:barChart>
      <c:catAx>
        <c:axId val="98250752"/>
        <c:scaling>
          <c:orientation val="minMax"/>
        </c:scaling>
        <c:delete val="0"/>
        <c:axPos val="l"/>
        <c:numFmt formatCode="General" sourceLinked="1"/>
        <c:majorTickMark val="none"/>
        <c:minorTickMark val="none"/>
        <c:tickLblPos val="low"/>
        <c:txPr>
          <a:bodyPr rot="-60000000" vert="horz"/>
          <a:lstStyle/>
          <a:p>
            <a:pPr>
              <a:defRPr/>
            </a:pPr>
            <a:endParaRPr lang="pt-BR"/>
          </a:p>
        </c:txPr>
        <c:crossAx val="98252288"/>
        <c:crossesAt val="-183.505"/>
        <c:auto val="1"/>
        <c:lblAlgn val="ctr"/>
        <c:lblOffset val="100"/>
        <c:noMultiLvlLbl val="0"/>
      </c:catAx>
      <c:valAx>
        <c:axId val="98252288"/>
        <c:scaling>
          <c:orientation val="minMax"/>
        </c:scaling>
        <c:delete val="0"/>
        <c:axPos val="b"/>
        <c:majorGridlines/>
        <c:numFmt formatCode="[$€-2]\ #,##0" sourceLinked="0"/>
        <c:majorTickMark val="none"/>
        <c:minorTickMark val="none"/>
        <c:tickLblPos val="nextTo"/>
        <c:txPr>
          <a:bodyPr rot="-60000000" vert="horz"/>
          <a:lstStyle/>
          <a:p>
            <a:pPr>
              <a:defRPr/>
            </a:pPr>
            <a:endParaRPr lang="pt-BR"/>
          </a:p>
        </c:txPr>
        <c:crossAx val="98250752"/>
        <c:crossesAt val="1"/>
        <c:crossBetween val="between"/>
      </c:valAx>
    </c:plotArea>
    <c:legend>
      <c:legendPos val="b"/>
      <c:overlay val="0"/>
    </c:legend>
    <c:plotVisOnly val="1"/>
    <c:dispBlanksAs val="gap"/>
    <c:extLst>
      <c:ext xmlns:c16r3="http://schemas.microsoft.com/office/drawing/2017/03/chart" uri="{56B9EC1D-385E-4148-901F-78D8002777C0}">
        <c16r3:dataDisplayOptions16>
          <c16r3:dispNaAsBlank val="1"/>
        </c16r3:dataDisplayOptions16>
      </c:ext>
    </c:extLst>
    <c:showDLblsOverMax val="0"/>
  </c:chart>
  <c:printSettings>
    <c:headerFooter/>
    <c:pageMargins b="0.29527559060000003" l="0.27559055119999998" r="0.27559055119999998" t="0.29527559060000003" header="0.1181102362" footer="0.1181102362"/>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pt-BR" sz="1400" b="0" i="0" u="none" strike="noStrike" kern="1200" spc="0" baseline="0">
                <a:solidFill>
                  <a:sysClr val="windowText" lastClr="000000">
                    <a:lumMod val="65000"/>
                    <a:lumOff val="35000"/>
                  </a:sysClr>
                </a:solidFill>
              </a:rPr>
              <a:t>Cost-Effectiveness Acceptability Curve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lineChart>
        <c:grouping val="standard"/>
        <c:varyColors val="0"/>
        <c:ser>
          <c:idx val="0"/>
          <c:order val="0"/>
          <c:tx>
            <c:strRef>
              <c:f>CEASimulation!$R$10</c:f>
              <c:strCache>
                <c:ptCount val="1"/>
                <c:pt idx="0">
                  <c:v>Tomosynthesis</c:v>
                </c:pt>
              </c:strCache>
            </c:strRef>
          </c:tx>
          <c:spPr>
            <a:ln w="28575" cap="rnd">
              <a:solidFill>
                <a:schemeClr val="accent1"/>
              </a:solidFill>
              <a:round/>
            </a:ln>
            <a:effectLst/>
          </c:spPr>
          <c:marker>
            <c:symbol val="none"/>
          </c:marker>
          <c:cat>
            <c:numLit>
              <c:formatCode>General</c:formatCode>
              <c:ptCount val="540"/>
              <c:pt idx="0">
                <c:v>50</c:v>
              </c:pt>
              <c:pt idx="1">
                <c:v>150</c:v>
              </c:pt>
              <c:pt idx="2">
                <c:v>250</c:v>
              </c:pt>
              <c:pt idx="3">
                <c:v>350</c:v>
              </c:pt>
              <c:pt idx="4">
                <c:v>450</c:v>
              </c:pt>
              <c:pt idx="5">
                <c:v>550</c:v>
              </c:pt>
              <c:pt idx="6">
                <c:v>650</c:v>
              </c:pt>
              <c:pt idx="7">
                <c:v>750</c:v>
              </c:pt>
              <c:pt idx="8">
                <c:v>850</c:v>
              </c:pt>
              <c:pt idx="9">
                <c:v>950</c:v>
              </c:pt>
              <c:pt idx="10">
                <c:v>1050</c:v>
              </c:pt>
              <c:pt idx="11">
                <c:v>1150</c:v>
              </c:pt>
              <c:pt idx="12">
                <c:v>1250</c:v>
              </c:pt>
              <c:pt idx="13">
                <c:v>1350</c:v>
              </c:pt>
              <c:pt idx="14">
                <c:v>1450</c:v>
              </c:pt>
              <c:pt idx="15">
                <c:v>1550</c:v>
              </c:pt>
              <c:pt idx="16">
                <c:v>1650</c:v>
              </c:pt>
              <c:pt idx="17">
                <c:v>1750</c:v>
              </c:pt>
              <c:pt idx="18">
                <c:v>1850</c:v>
              </c:pt>
              <c:pt idx="19">
                <c:v>1950</c:v>
              </c:pt>
              <c:pt idx="20">
                <c:v>2050</c:v>
              </c:pt>
              <c:pt idx="21">
                <c:v>2150</c:v>
              </c:pt>
              <c:pt idx="22">
                <c:v>2250</c:v>
              </c:pt>
              <c:pt idx="23">
                <c:v>2350</c:v>
              </c:pt>
              <c:pt idx="24">
                <c:v>2450</c:v>
              </c:pt>
              <c:pt idx="25">
                <c:v>2550</c:v>
              </c:pt>
              <c:pt idx="26">
                <c:v>2650</c:v>
              </c:pt>
              <c:pt idx="27">
                <c:v>2750</c:v>
              </c:pt>
              <c:pt idx="28">
                <c:v>2850</c:v>
              </c:pt>
              <c:pt idx="29">
                <c:v>2950</c:v>
              </c:pt>
              <c:pt idx="30">
                <c:v>3050</c:v>
              </c:pt>
              <c:pt idx="31">
                <c:v>3150</c:v>
              </c:pt>
              <c:pt idx="32">
                <c:v>3250</c:v>
              </c:pt>
              <c:pt idx="33">
                <c:v>3350</c:v>
              </c:pt>
              <c:pt idx="34">
                <c:v>3450</c:v>
              </c:pt>
              <c:pt idx="35">
                <c:v>3550</c:v>
              </c:pt>
              <c:pt idx="36">
                <c:v>3650</c:v>
              </c:pt>
              <c:pt idx="37">
                <c:v>3750</c:v>
              </c:pt>
              <c:pt idx="38">
                <c:v>3850</c:v>
              </c:pt>
              <c:pt idx="39">
                <c:v>3950</c:v>
              </c:pt>
              <c:pt idx="40">
                <c:v>4050</c:v>
              </c:pt>
              <c:pt idx="41">
                <c:v>4150</c:v>
              </c:pt>
              <c:pt idx="42">
                <c:v>4250</c:v>
              </c:pt>
              <c:pt idx="43">
                <c:v>4350</c:v>
              </c:pt>
              <c:pt idx="44">
                <c:v>4450</c:v>
              </c:pt>
              <c:pt idx="45">
                <c:v>4550</c:v>
              </c:pt>
              <c:pt idx="46">
                <c:v>4650</c:v>
              </c:pt>
              <c:pt idx="47">
                <c:v>4750</c:v>
              </c:pt>
              <c:pt idx="48">
                <c:v>4850</c:v>
              </c:pt>
              <c:pt idx="49">
                <c:v>4950</c:v>
              </c:pt>
              <c:pt idx="50">
                <c:v>5050</c:v>
              </c:pt>
              <c:pt idx="51">
                <c:v>5150</c:v>
              </c:pt>
              <c:pt idx="52">
                <c:v>5250</c:v>
              </c:pt>
              <c:pt idx="53">
                <c:v>5350</c:v>
              </c:pt>
              <c:pt idx="54">
                <c:v>5450</c:v>
              </c:pt>
              <c:pt idx="55">
                <c:v>5550</c:v>
              </c:pt>
              <c:pt idx="56">
                <c:v>5650</c:v>
              </c:pt>
              <c:pt idx="57">
                <c:v>5750</c:v>
              </c:pt>
              <c:pt idx="58">
                <c:v>5850</c:v>
              </c:pt>
              <c:pt idx="59">
                <c:v>5950</c:v>
              </c:pt>
              <c:pt idx="60">
                <c:v>6050</c:v>
              </c:pt>
              <c:pt idx="61">
                <c:v>6150</c:v>
              </c:pt>
              <c:pt idx="62">
                <c:v>6250</c:v>
              </c:pt>
              <c:pt idx="63">
                <c:v>6350</c:v>
              </c:pt>
              <c:pt idx="64">
                <c:v>6450</c:v>
              </c:pt>
              <c:pt idx="65">
                <c:v>6550</c:v>
              </c:pt>
              <c:pt idx="66">
                <c:v>6650</c:v>
              </c:pt>
              <c:pt idx="67">
                <c:v>6750</c:v>
              </c:pt>
              <c:pt idx="68">
                <c:v>6850</c:v>
              </c:pt>
              <c:pt idx="69">
                <c:v>6950</c:v>
              </c:pt>
              <c:pt idx="70">
                <c:v>7050</c:v>
              </c:pt>
              <c:pt idx="71">
                <c:v>7150</c:v>
              </c:pt>
              <c:pt idx="72">
                <c:v>7250</c:v>
              </c:pt>
              <c:pt idx="73">
                <c:v>7350</c:v>
              </c:pt>
              <c:pt idx="74">
                <c:v>7450</c:v>
              </c:pt>
              <c:pt idx="75">
                <c:v>7550</c:v>
              </c:pt>
              <c:pt idx="76">
                <c:v>7650</c:v>
              </c:pt>
              <c:pt idx="77">
                <c:v>7750</c:v>
              </c:pt>
              <c:pt idx="78">
                <c:v>7850</c:v>
              </c:pt>
              <c:pt idx="79">
                <c:v>7950</c:v>
              </c:pt>
              <c:pt idx="80">
                <c:v>8050</c:v>
              </c:pt>
              <c:pt idx="81">
                <c:v>8150</c:v>
              </c:pt>
              <c:pt idx="82">
                <c:v>8250</c:v>
              </c:pt>
              <c:pt idx="83">
                <c:v>8350</c:v>
              </c:pt>
              <c:pt idx="84">
                <c:v>8450</c:v>
              </c:pt>
              <c:pt idx="85">
                <c:v>8550</c:v>
              </c:pt>
              <c:pt idx="86">
                <c:v>8650</c:v>
              </c:pt>
              <c:pt idx="87">
                <c:v>8750</c:v>
              </c:pt>
              <c:pt idx="88">
                <c:v>8850</c:v>
              </c:pt>
              <c:pt idx="89">
                <c:v>8950</c:v>
              </c:pt>
              <c:pt idx="90">
                <c:v>9050</c:v>
              </c:pt>
              <c:pt idx="91">
                <c:v>9150</c:v>
              </c:pt>
              <c:pt idx="92">
                <c:v>9250</c:v>
              </c:pt>
              <c:pt idx="93">
                <c:v>9350</c:v>
              </c:pt>
              <c:pt idx="94">
                <c:v>9450</c:v>
              </c:pt>
              <c:pt idx="95">
                <c:v>9550</c:v>
              </c:pt>
              <c:pt idx="96">
                <c:v>9650</c:v>
              </c:pt>
              <c:pt idx="97">
                <c:v>9750</c:v>
              </c:pt>
              <c:pt idx="98">
                <c:v>9850</c:v>
              </c:pt>
              <c:pt idx="99">
                <c:v>9950</c:v>
              </c:pt>
              <c:pt idx="100">
                <c:v>10050</c:v>
              </c:pt>
              <c:pt idx="101">
                <c:v>10150</c:v>
              </c:pt>
              <c:pt idx="102">
                <c:v>10250</c:v>
              </c:pt>
              <c:pt idx="103">
                <c:v>10350</c:v>
              </c:pt>
              <c:pt idx="104">
                <c:v>10450</c:v>
              </c:pt>
              <c:pt idx="105">
                <c:v>10550</c:v>
              </c:pt>
              <c:pt idx="106">
                <c:v>10650</c:v>
              </c:pt>
              <c:pt idx="107">
                <c:v>10750</c:v>
              </c:pt>
              <c:pt idx="108">
                <c:v>10850</c:v>
              </c:pt>
              <c:pt idx="109">
                <c:v>10950</c:v>
              </c:pt>
              <c:pt idx="110">
                <c:v>11050</c:v>
              </c:pt>
              <c:pt idx="111">
                <c:v>11150</c:v>
              </c:pt>
              <c:pt idx="112">
                <c:v>11250</c:v>
              </c:pt>
              <c:pt idx="113">
                <c:v>11350</c:v>
              </c:pt>
              <c:pt idx="114">
                <c:v>11450</c:v>
              </c:pt>
              <c:pt idx="115">
                <c:v>11550</c:v>
              </c:pt>
              <c:pt idx="116">
                <c:v>11650</c:v>
              </c:pt>
              <c:pt idx="117">
                <c:v>11750</c:v>
              </c:pt>
              <c:pt idx="118">
                <c:v>11850</c:v>
              </c:pt>
              <c:pt idx="119">
                <c:v>11950</c:v>
              </c:pt>
              <c:pt idx="120">
                <c:v>12050</c:v>
              </c:pt>
              <c:pt idx="121">
                <c:v>12150</c:v>
              </c:pt>
              <c:pt idx="122">
                <c:v>12250</c:v>
              </c:pt>
              <c:pt idx="123">
                <c:v>12350</c:v>
              </c:pt>
              <c:pt idx="124">
                <c:v>12450</c:v>
              </c:pt>
              <c:pt idx="125">
                <c:v>12550</c:v>
              </c:pt>
              <c:pt idx="126">
                <c:v>12650</c:v>
              </c:pt>
              <c:pt idx="127">
                <c:v>12750</c:v>
              </c:pt>
              <c:pt idx="128">
                <c:v>12850</c:v>
              </c:pt>
              <c:pt idx="129">
                <c:v>12950</c:v>
              </c:pt>
              <c:pt idx="130">
                <c:v>13050</c:v>
              </c:pt>
              <c:pt idx="131">
                <c:v>13150</c:v>
              </c:pt>
              <c:pt idx="132">
                <c:v>13250</c:v>
              </c:pt>
              <c:pt idx="133">
                <c:v>13350</c:v>
              </c:pt>
              <c:pt idx="134">
                <c:v>13450</c:v>
              </c:pt>
              <c:pt idx="135">
                <c:v>13550</c:v>
              </c:pt>
              <c:pt idx="136">
                <c:v>13650</c:v>
              </c:pt>
              <c:pt idx="137">
                <c:v>13750</c:v>
              </c:pt>
              <c:pt idx="138">
                <c:v>13850</c:v>
              </c:pt>
              <c:pt idx="139">
                <c:v>13950</c:v>
              </c:pt>
              <c:pt idx="140">
                <c:v>14050</c:v>
              </c:pt>
              <c:pt idx="141">
                <c:v>14150</c:v>
              </c:pt>
              <c:pt idx="142">
                <c:v>14250</c:v>
              </c:pt>
              <c:pt idx="143">
                <c:v>14350</c:v>
              </c:pt>
              <c:pt idx="144">
                <c:v>14450</c:v>
              </c:pt>
              <c:pt idx="145">
                <c:v>14550</c:v>
              </c:pt>
              <c:pt idx="146">
                <c:v>14650</c:v>
              </c:pt>
              <c:pt idx="147">
                <c:v>14750</c:v>
              </c:pt>
              <c:pt idx="148">
                <c:v>14850</c:v>
              </c:pt>
              <c:pt idx="149">
                <c:v>14950</c:v>
              </c:pt>
              <c:pt idx="150">
                <c:v>15050</c:v>
              </c:pt>
              <c:pt idx="151">
                <c:v>15150</c:v>
              </c:pt>
              <c:pt idx="152">
                <c:v>15250</c:v>
              </c:pt>
              <c:pt idx="153">
                <c:v>15350</c:v>
              </c:pt>
              <c:pt idx="154">
                <c:v>15450</c:v>
              </c:pt>
              <c:pt idx="155">
                <c:v>15550</c:v>
              </c:pt>
              <c:pt idx="156">
                <c:v>15650</c:v>
              </c:pt>
              <c:pt idx="157">
                <c:v>15750</c:v>
              </c:pt>
              <c:pt idx="158">
                <c:v>15850</c:v>
              </c:pt>
              <c:pt idx="159">
                <c:v>15950</c:v>
              </c:pt>
              <c:pt idx="160">
                <c:v>16050</c:v>
              </c:pt>
              <c:pt idx="161">
                <c:v>16150</c:v>
              </c:pt>
              <c:pt idx="162">
                <c:v>16250</c:v>
              </c:pt>
              <c:pt idx="163">
                <c:v>16350</c:v>
              </c:pt>
              <c:pt idx="164">
                <c:v>16450</c:v>
              </c:pt>
              <c:pt idx="165">
                <c:v>16550</c:v>
              </c:pt>
              <c:pt idx="166">
                <c:v>16650</c:v>
              </c:pt>
              <c:pt idx="167">
                <c:v>16750</c:v>
              </c:pt>
              <c:pt idx="168">
                <c:v>16850</c:v>
              </c:pt>
              <c:pt idx="169">
                <c:v>16950</c:v>
              </c:pt>
              <c:pt idx="170">
                <c:v>17050</c:v>
              </c:pt>
              <c:pt idx="171">
                <c:v>17150</c:v>
              </c:pt>
              <c:pt idx="172">
                <c:v>17250</c:v>
              </c:pt>
              <c:pt idx="173">
                <c:v>17350</c:v>
              </c:pt>
              <c:pt idx="174">
                <c:v>17450</c:v>
              </c:pt>
              <c:pt idx="175">
                <c:v>17550</c:v>
              </c:pt>
              <c:pt idx="176">
                <c:v>17650</c:v>
              </c:pt>
              <c:pt idx="177">
                <c:v>17750</c:v>
              </c:pt>
              <c:pt idx="178">
                <c:v>17850</c:v>
              </c:pt>
              <c:pt idx="179">
                <c:v>17950</c:v>
              </c:pt>
              <c:pt idx="180">
                <c:v>18050</c:v>
              </c:pt>
              <c:pt idx="181">
                <c:v>18150</c:v>
              </c:pt>
              <c:pt idx="182">
                <c:v>18250</c:v>
              </c:pt>
              <c:pt idx="183">
                <c:v>18350</c:v>
              </c:pt>
              <c:pt idx="184">
                <c:v>18450</c:v>
              </c:pt>
              <c:pt idx="185">
                <c:v>18550</c:v>
              </c:pt>
              <c:pt idx="186">
                <c:v>18650</c:v>
              </c:pt>
              <c:pt idx="187">
                <c:v>18750</c:v>
              </c:pt>
              <c:pt idx="188">
                <c:v>18850</c:v>
              </c:pt>
              <c:pt idx="189">
                <c:v>18950</c:v>
              </c:pt>
              <c:pt idx="190">
                <c:v>19050</c:v>
              </c:pt>
              <c:pt idx="191">
                <c:v>19150</c:v>
              </c:pt>
              <c:pt idx="192">
                <c:v>19250</c:v>
              </c:pt>
              <c:pt idx="193">
                <c:v>19350</c:v>
              </c:pt>
              <c:pt idx="194">
                <c:v>19450</c:v>
              </c:pt>
              <c:pt idx="195">
                <c:v>19550</c:v>
              </c:pt>
              <c:pt idx="196">
                <c:v>19650</c:v>
              </c:pt>
              <c:pt idx="197">
                <c:v>19750</c:v>
              </c:pt>
              <c:pt idx="198">
                <c:v>19850</c:v>
              </c:pt>
              <c:pt idx="199">
                <c:v>19950</c:v>
              </c:pt>
              <c:pt idx="200">
                <c:v>20050</c:v>
              </c:pt>
              <c:pt idx="201">
                <c:v>20150</c:v>
              </c:pt>
              <c:pt idx="202">
                <c:v>20250</c:v>
              </c:pt>
              <c:pt idx="203">
                <c:v>20350</c:v>
              </c:pt>
              <c:pt idx="204">
                <c:v>20450</c:v>
              </c:pt>
              <c:pt idx="205">
                <c:v>20550</c:v>
              </c:pt>
              <c:pt idx="206">
                <c:v>20650</c:v>
              </c:pt>
              <c:pt idx="207">
                <c:v>20750</c:v>
              </c:pt>
              <c:pt idx="208">
                <c:v>20850</c:v>
              </c:pt>
              <c:pt idx="209">
                <c:v>20950</c:v>
              </c:pt>
              <c:pt idx="210">
                <c:v>21050</c:v>
              </c:pt>
              <c:pt idx="211">
                <c:v>21150</c:v>
              </c:pt>
              <c:pt idx="212">
                <c:v>21250</c:v>
              </c:pt>
              <c:pt idx="213">
                <c:v>21350</c:v>
              </c:pt>
              <c:pt idx="214">
                <c:v>21450</c:v>
              </c:pt>
              <c:pt idx="215">
                <c:v>21550</c:v>
              </c:pt>
              <c:pt idx="216">
                <c:v>21650</c:v>
              </c:pt>
              <c:pt idx="217">
                <c:v>21750</c:v>
              </c:pt>
              <c:pt idx="218">
                <c:v>21850</c:v>
              </c:pt>
              <c:pt idx="219">
                <c:v>21950</c:v>
              </c:pt>
              <c:pt idx="220">
                <c:v>22050</c:v>
              </c:pt>
              <c:pt idx="221">
                <c:v>22150</c:v>
              </c:pt>
              <c:pt idx="222">
                <c:v>22250</c:v>
              </c:pt>
              <c:pt idx="223">
                <c:v>22350</c:v>
              </c:pt>
              <c:pt idx="224">
                <c:v>22450</c:v>
              </c:pt>
              <c:pt idx="225">
                <c:v>22550</c:v>
              </c:pt>
              <c:pt idx="226">
                <c:v>22650</c:v>
              </c:pt>
              <c:pt idx="227">
                <c:v>22750</c:v>
              </c:pt>
              <c:pt idx="228">
                <c:v>22850</c:v>
              </c:pt>
              <c:pt idx="229">
                <c:v>22950</c:v>
              </c:pt>
              <c:pt idx="230">
                <c:v>23050</c:v>
              </c:pt>
              <c:pt idx="231">
                <c:v>23150</c:v>
              </c:pt>
              <c:pt idx="232">
                <c:v>23250</c:v>
              </c:pt>
              <c:pt idx="233">
                <c:v>23350</c:v>
              </c:pt>
              <c:pt idx="234">
                <c:v>23450</c:v>
              </c:pt>
              <c:pt idx="235">
                <c:v>23550</c:v>
              </c:pt>
              <c:pt idx="236">
                <c:v>23650</c:v>
              </c:pt>
              <c:pt idx="237">
                <c:v>23750</c:v>
              </c:pt>
              <c:pt idx="238">
                <c:v>23850</c:v>
              </c:pt>
              <c:pt idx="239">
                <c:v>23950</c:v>
              </c:pt>
              <c:pt idx="240">
                <c:v>24050</c:v>
              </c:pt>
              <c:pt idx="241">
                <c:v>24150</c:v>
              </c:pt>
              <c:pt idx="242">
                <c:v>24250</c:v>
              </c:pt>
              <c:pt idx="243">
                <c:v>24350</c:v>
              </c:pt>
              <c:pt idx="244">
                <c:v>24450</c:v>
              </c:pt>
              <c:pt idx="245">
                <c:v>24550</c:v>
              </c:pt>
              <c:pt idx="246">
                <c:v>24650</c:v>
              </c:pt>
              <c:pt idx="247">
                <c:v>24750</c:v>
              </c:pt>
              <c:pt idx="248">
                <c:v>24850</c:v>
              </c:pt>
              <c:pt idx="249">
                <c:v>24950</c:v>
              </c:pt>
              <c:pt idx="250">
                <c:v>25050</c:v>
              </c:pt>
              <c:pt idx="251">
                <c:v>25150</c:v>
              </c:pt>
              <c:pt idx="252">
                <c:v>25250</c:v>
              </c:pt>
              <c:pt idx="253">
                <c:v>25350</c:v>
              </c:pt>
              <c:pt idx="254">
                <c:v>25450</c:v>
              </c:pt>
              <c:pt idx="255">
                <c:v>25550</c:v>
              </c:pt>
              <c:pt idx="256">
                <c:v>25650</c:v>
              </c:pt>
              <c:pt idx="257">
                <c:v>25750</c:v>
              </c:pt>
              <c:pt idx="258">
                <c:v>25850</c:v>
              </c:pt>
              <c:pt idx="259">
                <c:v>25950</c:v>
              </c:pt>
              <c:pt idx="260">
                <c:v>26050</c:v>
              </c:pt>
              <c:pt idx="261">
                <c:v>26150</c:v>
              </c:pt>
              <c:pt idx="262">
                <c:v>26250</c:v>
              </c:pt>
              <c:pt idx="263">
                <c:v>26350</c:v>
              </c:pt>
              <c:pt idx="264">
                <c:v>26450</c:v>
              </c:pt>
              <c:pt idx="265">
                <c:v>26550</c:v>
              </c:pt>
              <c:pt idx="266">
                <c:v>26650</c:v>
              </c:pt>
              <c:pt idx="267">
                <c:v>26750</c:v>
              </c:pt>
              <c:pt idx="268">
                <c:v>26850</c:v>
              </c:pt>
              <c:pt idx="269">
                <c:v>26950</c:v>
              </c:pt>
              <c:pt idx="270">
                <c:v>27050</c:v>
              </c:pt>
              <c:pt idx="271">
                <c:v>27150</c:v>
              </c:pt>
              <c:pt idx="272">
                <c:v>27250</c:v>
              </c:pt>
              <c:pt idx="273">
                <c:v>27350</c:v>
              </c:pt>
              <c:pt idx="274">
                <c:v>27450</c:v>
              </c:pt>
              <c:pt idx="275">
                <c:v>27550</c:v>
              </c:pt>
              <c:pt idx="276">
                <c:v>27650</c:v>
              </c:pt>
              <c:pt idx="277">
                <c:v>27750</c:v>
              </c:pt>
              <c:pt idx="278">
                <c:v>27850</c:v>
              </c:pt>
              <c:pt idx="279">
                <c:v>27950</c:v>
              </c:pt>
              <c:pt idx="280">
                <c:v>28050</c:v>
              </c:pt>
              <c:pt idx="281">
                <c:v>28150</c:v>
              </c:pt>
              <c:pt idx="282">
                <c:v>28250</c:v>
              </c:pt>
              <c:pt idx="283">
                <c:v>28350</c:v>
              </c:pt>
              <c:pt idx="284">
                <c:v>28450</c:v>
              </c:pt>
              <c:pt idx="285">
                <c:v>28550</c:v>
              </c:pt>
              <c:pt idx="286">
                <c:v>28650</c:v>
              </c:pt>
              <c:pt idx="287">
                <c:v>28750</c:v>
              </c:pt>
              <c:pt idx="288">
                <c:v>28850</c:v>
              </c:pt>
              <c:pt idx="289">
                <c:v>28950</c:v>
              </c:pt>
              <c:pt idx="290">
                <c:v>29050</c:v>
              </c:pt>
              <c:pt idx="291">
                <c:v>29150</c:v>
              </c:pt>
              <c:pt idx="292">
                <c:v>29250</c:v>
              </c:pt>
              <c:pt idx="293">
                <c:v>29350</c:v>
              </c:pt>
              <c:pt idx="294">
                <c:v>29450</c:v>
              </c:pt>
              <c:pt idx="295">
                <c:v>29550</c:v>
              </c:pt>
              <c:pt idx="296">
                <c:v>29650</c:v>
              </c:pt>
              <c:pt idx="297">
                <c:v>29750</c:v>
              </c:pt>
              <c:pt idx="298">
                <c:v>29850</c:v>
              </c:pt>
              <c:pt idx="299">
                <c:v>29950</c:v>
              </c:pt>
              <c:pt idx="300">
                <c:v>30050</c:v>
              </c:pt>
              <c:pt idx="301">
                <c:v>30150</c:v>
              </c:pt>
              <c:pt idx="302">
                <c:v>30250</c:v>
              </c:pt>
              <c:pt idx="303">
                <c:v>30350</c:v>
              </c:pt>
              <c:pt idx="304">
                <c:v>30450</c:v>
              </c:pt>
              <c:pt idx="305">
                <c:v>30550</c:v>
              </c:pt>
              <c:pt idx="306">
                <c:v>30650</c:v>
              </c:pt>
              <c:pt idx="307">
                <c:v>30750</c:v>
              </c:pt>
              <c:pt idx="308">
                <c:v>30850</c:v>
              </c:pt>
              <c:pt idx="309">
                <c:v>30950</c:v>
              </c:pt>
              <c:pt idx="310">
                <c:v>31050</c:v>
              </c:pt>
              <c:pt idx="311">
                <c:v>31150</c:v>
              </c:pt>
              <c:pt idx="312">
                <c:v>31250</c:v>
              </c:pt>
              <c:pt idx="313">
                <c:v>31350</c:v>
              </c:pt>
              <c:pt idx="314">
                <c:v>31450</c:v>
              </c:pt>
              <c:pt idx="315">
                <c:v>31550</c:v>
              </c:pt>
              <c:pt idx="316">
                <c:v>31650</c:v>
              </c:pt>
              <c:pt idx="317">
                <c:v>31750</c:v>
              </c:pt>
              <c:pt idx="318">
                <c:v>31850</c:v>
              </c:pt>
              <c:pt idx="319">
                <c:v>31950</c:v>
              </c:pt>
              <c:pt idx="320">
                <c:v>32050</c:v>
              </c:pt>
              <c:pt idx="321">
                <c:v>32150</c:v>
              </c:pt>
              <c:pt idx="322">
                <c:v>32250</c:v>
              </c:pt>
              <c:pt idx="323">
                <c:v>32350</c:v>
              </c:pt>
              <c:pt idx="324">
                <c:v>32450</c:v>
              </c:pt>
              <c:pt idx="325">
                <c:v>32550</c:v>
              </c:pt>
              <c:pt idx="326">
                <c:v>32650</c:v>
              </c:pt>
              <c:pt idx="327">
                <c:v>32750</c:v>
              </c:pt>
              <c:pt idx="328">
                <c:v>32850</c:v>
              </c:pt>
              <c:pt idx="329">
                <c:v>32950</c:v>
              </c:pt>
              <c:pt idx="330">
                <c:v>33050</c:v>
              </c:pt>
              <c:pt idx="331">
                <c:v>33150</c:v>
              </c:pt>
              <c:pt idx="332">
                <c:v>33250</c:v>
              </c:pt>
              <c:pt idx="333">
                <c:v>33350</c:v>
              </c:pt>
              <c:pt idx="334">
                <c:v>33450</c:v>
              </c:pt>
              <c:pt idx="335">
                <c:v>33550</c:v>
              </c:pt>
              <c:pt idx="336">
                <c:v>33650</c:v>
              </c:pt>
              <c:pt idx="337">
                <c:v>33750</c:v>
              </c:pt>
              <c:pt idx="338">
                <c:v>33850</c:v>
              </c:pt>
              <c:pt idx="339">
                <c:v>33950</c:v>
              </c:pt>
              <c:pt idx="340">
                <c:v>34050</c:v>
              </c:pt>
              <c:pt idx="341">
                <c:v>34150</c:v>
              </c:pt>
              <c:pt idx="342">
                <c:v>34250</c:v>
              </c:pt>
              <c:pt idx="343">
                <c:v>34350</c:v>
              </c:pt>
              <c:pt idx="344">
                <c:v>34450</c:v>
              </c:pt>
              <c:pt idx="345">
                <c:v>34550</c:v>
              </c:pt>
              <c:pt idx="346">
                <c:v>34650</c:v>
              </c:pt>
              <c:pt idx="347">
                <c:v>34750</c:v>
              </c:pt>
              <c:pt idx="348">
                <c:v>34850</c:v>
              </c:pt>
              <c:pt idx="349">
                <c:v>34950</c:v>
              </c:pt>
              <c:pt idx="350">
                <c:v>35050</c:v>
              </c:pt>
              <c:pt idx="351">
                <c:v>35150</c:v>
              </c:pt>
              <c:pt idx="352">
                <c:v>35250</c:v>
              </c:pt>
              <c:pt idx="353">
                <c:v>35350</c:v>
              </c:pt>
              <c:pt idx="354">
                <c:v>35450</c:v>
              </c:pt>
              <c:pt idx="355">
                <c:v>35550</c:v>
              </c:pt>
              <c:pt idx="356">
                <c:v>35650</c:v>
              </c:pt>
              <c:pt idx="357">
                <c:v>35750</c:v>
              </c:pt>
              <c:pt idx="358">
                <c:v>35850</c:v>
              </c:pt>
              <c:pt idx="359">
                <c:v>35950</c:v>
              </c:pt>
              <c:pt idx="360">
                <c:v>36050</c:v>
              </c:pt>
              <c:pt idx="361">
                <c:v>36150</c:v>
              </c:pt>
              <c:pt idx="362">
                <c:v>36250</c:v>
              </c:pt>
              <c:pt idx="363">
                <c:v>36350</c:v>
              </c:pt>
              <c:pt idx="364">
                <c:v>36450</c:v>
              </c:pt>
              <c:pt idx="365">
                <c:v>36550</c:v>
              </c:pt>
              <c:pt idx="366">
                <c:v>36650</c:v>
              </c:pt>
              <c:pt idx="367">
                <c:v>36750</c:v>
              </c:pt>
              <c:pt idx="368">
                <c:v>36850</c:v>
              </c:pt>
              <c:pt idx="369">
                <c:v>36950</c:v>
              </c:pt>
              <c:pt idx="370">
                <c:v>37050</c:v>
              </c:pt>
              <c:pt idx="371">
                <c:v>37150</c:v>
              </c:pt>
              <c:pt idx="372">
                <c:v>37250</c:v>
              </c:pt>
              <c:pt idx="373">
                <c:v>37350</c:v>
              </c:pt>
              <c:pt idx="374">
                <c:v>37450</c:v>
              </c:pt>
              <c:pt idx="375">
                <c:v>37550</c:v>
              </c:pt>
              <c:pt idx="376">
                <c:v>37650</c:v>
              </c:pt>
              <c:pt idx="377">
                <c:v>37750</c:v>
              </c:pt>
              <c:pt idx="378">
                <c:v>37850</c:v>
              </c:pt>
              <c:pt idx="379">
                <c:v>37950</c:v>
              </c:pt>
              <c:pt idx="380">
                <c:v>38050</c:v>
              </c:pt>
              <c:pt idx="381">
                <c:v>38150</c:v>
              </c:pt>
              <c:pt idx="382">
                <c:v>38250</c:v>
              </c:pt>
              <c:pt idx="383">
                <c:v>38350</c:v>
              </c:pt>
              <c:pt idx="384">
                <c:v>38450</c:v>
              </c:pt>
              <c:pt idx="385">
                <c:v>38550</c:v>
              </c:pt>
              <c:pt idx="386">
                <c:v>38650</c:v>
              </c:pt>
              <c:pt idx="387">
                <c:v>38750</c:v>
              </c:pt>
              <c:pt idx="388">
                <c:v>38850</c:v>
              </c:pt>
              <c:pt idx="389">
                <c:v>38950</c:v>
              </c:pt>
              <c:pt idx="390">
                <c:v>39050</c:v>
              </c:pt>
              <c:pt idx="391">
                <c:v>39150</c:v>
              </c:pt>
              <c:pt idx="392">
                <c:v>39250</c:v>
              </c:pt>
              <c:pt idx="393">
                <c:v>39350</c:v>
              </c:pt>
              <c:pt idx="394">
                <c:v>39450</c:v>
              </c:pt>
              <c:pt idx="395">
                <c:v>39550</c:v>
              </c:pt>
              <c:pt idx="396">
                <c:v>39650</c:v>
              </c:pt>
              <c:pt idx="397">
                <c:v>39750</c:v>
              </c:pt>
              <c:pt idx="398">
                <c:v>39850</c:v>
              </c:pt>
              <c:pt idx="399">
                <c:v>39950</c:v>
              </c:pt>
              <c:pt idx="400">
                <c:v>40050</c:v>
              </c:pt>
              <c:pt idx="401">
                <c:v>40150</c:v>
              </c:pt>
              <c:pt idx="402">
                <c:v>40250</c:v>
              </c:pt>
              <c:pt idx="403">
                <c:v>40350</c:v>
              </c:pt>
              <c:pt idx="404">
                <c:v>40450</c:v>
              </c:pt>
              <c:pt idx="405">
                <c:v>40550</c:v>
              </c:pt>
              <c:pt idx="406">
                <c:v>40650</c:v>
              </c:pt>
              <c:pt idx="407">
                <c:v>40750</c:v>
              </c:pt>
              <c:pt idx="408">
                <c:v>40850</c:v>
              </c:pt>
              <c:pt idx="409">
                <c:v>40950</c:v>
              </c:pt>
              <c:pt idx="410">
                <c:v>41050</c:v>
              </c:pt>
              <c:pt idx="411">
                <c:v>41150</c:v>
              </c:pt>
              <c:pt idx="412">
                <c:v>41250</c:v>
              </c:pt>
              <c:pt idx="413">
                <c:v>41350</c:v>
              </c:pt>
              <c:pt idx="414">
                <c:v>41450</c:v>
              </c:pt>
              <c:pt idx="415">
                <c:v>41550</c:v>
              </c:pt>
              <c:pt idx="416">
                <c:v>41650</c:v>
              </c:pt>
              <c:pt idx="417">
                <c:v>41750</c:v>
              </c:pt>
              <c:pt idx="418">
                <c:v>41850</c:v>
              </c:pt>
              <c:pt idx="419">
                <c:v>41950</c:v>
              </c:pt>
              <c:pt idx="420">
                <c:v>42050</c:v>
              </c:pt>
              <c:pt idx="421">
                <c:v>42150</c:v>
              </c:pt>
              <c:pt idx="422">
                <c:v>42250</c:v>
              </c:pt>
              <c:pt idx="423">
                <c:v>42350</c:v>
              </c:pt>
              <c:pt idx="424">
                <c:v>42450</c:v>
              </c:pt>
              <c:pt idx="425">
                <c:v>42550</c:v>
              </c:pt>
              <c:pt idx="426">
                <c:v>42650</c:v>
              </c:pt>
              <c:pt idx="427">
                <c:v>42750</c:v>
              </c:pt>
              <c:pt idx="428">
                <c:v>42850</c:v>
              </c:pt>
              <c:pt idx="429">
                <c:v>42950</c:v>
              </c:pt>
              <c:pt idx="430">
                <c:v>43050</c:v>
              </c:pt>
              <c:pt idx="431">
                <c:v>43150</c:v>
              </c:pt>
              <c:pt idx="432">
                <c:v>43250</c:v>
              </c:pt>
              <c:pt idx="433">
                <c:v>43350</c:v>
              </c:pt>
              <c:pt idx="434">
                <c:v>43450</c:v>
              </c:pt>
              <c:pt idx="435">
                <c:v>43550</c:v>
              </c:pt>
              <c:pt idx="436">
                <c:v>43650</c:v>
              </c:pt>
              <c:pt idx="437">
                <c:v>43750</c:v>
              </c:pt>
              <c:pt idx="438">
                <c:v>43850</c:v>
              </c:pt>
              <c:pt idx="439">
                <c:v>43950</c:v>
              </c:pt>
              <c:pt idx="440">
                <c:v>44050</c:v>
              </c:pt>
              <c:pt idx="441">
                <c:v>44150</c:v>
              </c:pt>
              <c:pt idx="442">
                <c:v>44250</c:v>
              </c:pt>
              <c:pt idx="443">
                <c:v>44350</c:v>
              </c:pt>
              <c:pt idx="444">
                <c:v>44450</c:v>
              </c:pt>
              <c:pt idx="445">
                <c:v>44550</c:v>
              </c:pt>
              <c:pt idx="446">
                <c:v>44650</c:v>
              </c:pt>
              <c:pt idx="447">
                <c:v>44750</c:v>
              </c:pt>
              <c:pt idx="448">
                <c:v>44850</c:v>
              </c:pt>
              <c:pt idx="449">
                <c:v>44950</c:v>
              </c:pt>
              <c:pt idx="450">
                <c:v>45050</c:v>
              </c:pt>
              <c:pt idx="451">
                <c:v>45150</c:v>
              </c:pt>
              <c:pt idx="452">
                <c:v>45250</c:v>
              </c:pt>
              <c:pt idx="453">
                <c:v>45350</c:v>
              </c:pt>
              <c:pt idx="454">
                <c:v>45450</c:v>
              </c:pt>
              <c:pt idx="455">
                <c:v>45550</c:v>
              </c:pt>
              <c:pt idx="456">
                <c:v>45650</c:v>
              </c:pt>
              <c:pt idx="457">
                <c:v>45750</c:v>
              </c:pt>
              <c:pt idx="458">
                <c:v>45850</c:v>
              </c:pt>
              <c:pt idx="459">
                <c:v>45950</c:v>
              </c:pt>
              <c:pt idx="460">
                <c:v>46050</c:v>
              </c:pt>
              <c:pt idx="461">
                <c:v>46150</c:v>
              </c:pt>
              <c:pt idx="462">
                <c:v>46250</c:v>
              </c:pt>
              <c:pt idx="463">
                <c:v>46350</c:v>
              </c:pt>
              <c:pt idx="464">
                <c:v>46450</c:v>
              </c:pt>
              <c:pt idx="465">
                <c:v>46550</c:v>
              </c:pt>
              <c:pt idx="466">
                <c:v>46650</c:v>
              </c:pt>
              <c:pt idx="467">
                <c:v>46750</c:v>
              </c:pt>
              <c:pt idx="468">
                <c:v>46850</c:v>
              </c:pt>
              <c:pt idx="469">
                <c:v>46950</c:v>
              </c:pt>
              <c:pt idx="470">
                <c:v>47050</c:v>
              </c:pt>
              <c:pt idx="471">
                <c:v>47150</c:v>
              </c:pt>
              <c:pt idx="472">
                <c:v>47250</c:v>
              </c:pt>
              <c:pt idx="473">
                <c:v>47350</c:v>
              </c:pt>
              <c:pt idx="474">
                <c:v>47450</c:v>
              </c:pt>
              <c:pt idx="475">
                <c:v>47550</c:v>
              </c:pt>
              <c:pt idx="476">
                <c:v>47650</c:v>
              </c:pt>
              <c:pt idx="477">
                <c:v>47750</c:v>
              </c:pt>
              <c:pt idx="478">
                <c:v>47850</c:v>
              </c:pt>
              <c:pt idx="479">
                <c:v>47950</c:v>
              </c:pt>
              <c:pt idx="480">
                <c:v>48050</c:v>
              </c:pt>
              <c:pt idx="481">
                <c:v>48150</c:v>
              </c:pt>
              <c:pt idx="482">
                <c:v>48250</c:v>
              </c:pt>
              <c:pt idx="483">
                <c:v>48350</c:v>
              </c:pt>
              <c:pt idx="484">
                <c:v>48450</c:v>
              </c:pt>
              <c:pt idx="485">
                <c:v>48550</c:v>
              </c:pt>
              <c:pt idx="486">
                <c:v>48650</c:v>
              </c:pt>
              <c:pt idx="487">
                <c:v>48750</c:v>
              </c:pt>
              <c:pt idx="488">
                <c:v>48850</c:v>
              </c:pt>
              <c:pt idx="489">
                <c:v>48950</c:v>
              </c:pt>
              <c:pt idx="490">
                <c:v>49050</c:v>
              </c:pt>
              <c:pt idx="491">
                <c:v>49150</c:v>
              </c:pt>
              <c:pt idx="492">
                <c:v>49250</c:v>
              </c:pt>
              <c:pt idx="493">
                <c:v>49350</c:v>
              </c:pt>
              <c:pt idx="494">
                <c:v>49450</c:v>
              </c:pt>
              <c:pt idx="495">
                <c:v>49550</c:v>
              </c:pt>
              <c:pt idx="496">
                <c:v>49650</c:v>
              </c:pt>
              <c:pt idx="497">
                <c:v>49750</c:v>
              </c:pt>
              <c:pt idx="498">
                <c:v>49850</c:v>
              </c:pt>
              <c:pt idx="499">
                <c:v>49950</c:v>
              </c:pt>
              <c:pt idx="500">
                <c:v>50050</c:v>
              </c:pt>
              <c:pt idx="501">
                <c:v>50150</c:v>
              </c:pt>
              <c:pt idx="502">
                <c:v>50250</c:v>
              </c:pt>
              <c:pt idx="503">
                <c:v>50350</c:v>
              </c:pt>
              <c:pt idx="504">
                <c:v>50450</c:v>
              </c:pt>
              <c:pt idx="505">
                <c:v>50550</c:v>
              </c:pt>
              <c:pt idx="506">
                <c:v>50650</c:v>
              </c:pt>
              <c:pt idx="507">
                <c:v>50750</c:v>
              </c:pt>
              <c:pt idx="508">
                <c:v>50850</c:v>
              </c:pt>
              <c:pt idx="509">
                <c:v>50950</c:v>
              </c:pt>
              <c:pt idx="510">
                <c:v>51050</c:v>
              </c:pt>
              <c:pt idx="511">
                <c:v>51150</c:v>
              </c:pt>
              <c:pt idx="512">
                <c:v>51250</c:v>
              </c:pt>
              <c:pt idx="513">
                <c:v>51350</c:v>
              </c:pt>
              <c:pt idx="514">
                <c:v>51450</c:v>
              </c:pt>
              <c:pt idx="515">
                <c:v>51550</c:v>
              </c:pt>
              <c:pt idx="516">
                <c:v>51650</c:v>
              </c:pt>
              <c:pt idx="517">
                <c:v>51750</c:v>
              </c:pt>
              <c:pt idx="518">
                <c:v>51850</c:v>
              </c:pt>
              <c:pt idx="519">
                <c:v>51950</c:v>
              </c:pt>
              <c:pt idx="520">
                <c:v>52050</c:v>
              </c:pt>
              <c:pt idx="521">
                <c:v>52150</c:v>
              </c:pt>
              <c:pt idx="522">
                <c:v>52250</c:v>
              </c:pt>
              <c:pt idx="523">
                <c:v>52350</c:v>
              </c:pt>
              <c:pt idx="524">
                <c:v>52450</c:v>
              </c:pt>
              <c:pt idx="525">
                <c:v>52550</c:v>
              </c:pt>
              <c:pt idx="526">
                <c:v>52650</c:v>
              </c:pt>
              <c:pt idx="527">
                <c:v>52750</c:v>
              </c:pt>
              <c:pt idx="528">
                <c:v>52850</c:v>
              </c:pt>
              <c:pt idx="529">
                <c:v>52950</c:v>
              </c:pt>
              <c:pt idx="530">
                <c:v>53050</c:v>
              </c:pt>
              <c:pt idx="531">
                <c:v>53150</c:v>
              </c:pt>
              <c:pt idx="532">
                <c:v>53250</c:v>
              </c:pt>
              <c:pt idx="533">
                <c:v>53350</c:v>
              </c:pt>
              <c:pt idx="534">
                <c:v>53450</c:v>
              </c:pt>
              <c:pt idx="535">
                <c:v>53550</c:v>
              </c:pt>
              <c:pt idx="536">
                <c:v>53650</c:v>
              </c:pt>
              <c:pt idx="537">
                <c:v>53750</c:v>
              </c:pt>
              <c:pt idx="538">
                <c:v>53850</c:v>
              </c:pt>
              <c:pt idx="539">
                <c:v>53950</c:v>
              </c:pt>
            </c:numLit>
          </c:cat>
          <c:val>
            <c:numRef>
              <c:f>CEASimulation!$R$11:$R$611</c:f>
              <c:numCache>
                <c:formatCode>General</c:formatCode>
                <c:ptCount val="601"/>
                <c:pt idx="0">
                  <c:v>1</c:v>
                </c:pt>
                <c:pt idx="1">
                  <c:v>1</c:v>
                </c:pt>
                <c:pt idx="2">
                  <c:v>1</c:v>
                </c:pt>
                <c:pt idx="3">
                  <c:v>1</c:v>
                </c:pt>
                <c:pt idx="4">
                  <c:v>1</c:v>
                </c:pt>
                <c:pt idx="5">
                  <c:v>1</c:v>
                </c:pt>
                <c:pt idx="6">
                  <c:v>1</c:v>
                </c:pt>
                <c:pt idx="7">
                  <c:v>1</c:v>
                </c:pt>
                <c:pt idx="8">
                  <c:v>1</c:v>
                </c:pt>
                <c:pt idx="9">
                  <c:v>1</c:v>
                </c:pt>
                <c:pt idx="10">
                  <c:v>1</c:v>
                </c:pt>
                <c:pt idx="11">
                  <c:v>1</c:v>
                </c:pt>
                <c:pt idx="12">
                  <c:v>1</c:v>
                </c:pt>
                <c:pt idx="13">
                  <c:v>1</c:v>
                </c:pt>
                <c:pt idx="14">
                  <c:v>1</c:v>
                </c:pt>
                <c:pt idx="15">
                  <c:v>1</c:v>
                </c:pt>
                <c:pt idx="16">
                  <c:v>1</c:v>
                </c:pt>
                <c:pt idx="17">
                  <c:v>1</c:v>
                </c:pt>
                <c:pt idx="18">
                  <c:v>1</c:v>
                </c:pt>
                <c:pt idx="19">
                  <c:v>1</c:v>
                </c:pt>
                <c:pt idx="20">
                  <c:v>1</c:v>
                </c:pt>
                <c:pt idx="21">
                  <c:v>1</c:v>
                </c:pt>
                <c:pt idx="22">
                  <c:v>1</c:v>
                </c:pt>
                <c:pt idx="23">
                  <c:v>1</c:v>
                </c:pt>
                <c:pt idx="24">
                  <c:v>1</c:v>
                </c:pt>
                <c:pt idx="25">
                  <c:v>1</c:v>
                </c:pt>
                <c:pt idx="26">
                  <c:v>1</c:v>
                </c:pt>
                <c:pt idx="27">
                  <c:v>1</c:v>
                </c:pt>
                <c:pt idx="28">
                  <c:v>1</c:v>
                </c:pt>
                <c:pt idx="29">
                  <c:v>1</c:v>
                </c:pt>
                <c:pt idx="30">
                  <c:v>1</c:v>
                </c:pt>
                <c:pt idx="31">
                  <c:v>1</c:v>
                </c:pt>
                <c:pt idx="32">
                  <c:v>1</c:v>
                </c:pt>
                <c:pt idx="33">
                  <c:v>1</c:v>
                </c:pt>
                <c:pt idx="34">
                  <c:v>1</c:v>
                </c:pt>
                <c:pt idx="35">
                  <c:v>1</c:v>
                </c:pt>
                <c:pt idx="36">
                  <c:v>1</c:v>
                </c:pt>
                <c:pt idx="37">
                  <c:v>1</c:v>
                </c:pt>
                <c:pt idx="38">
                  <c:v>1</c:v>
                </c:pt>
                <c:pt idx="39">
                  <c:v>1</c:v>
                </c:pt>
                <c:pt idx="40">
                  <c:v>1</c:v>
                </c:pt>
                <c:pt idx="41">
                  <c:v>1</c:v>
                </c:pt>
                <c:pt idx="42">
                  <c:v>1</c:v>
                </c:pt>
                <c:pt idx="43">
                  <c:v>1</c:v>
                </c:pt>
                <c:pt idx="44">
                  <c:v>1</c:v>
                </c:pt>
                <c:pt idx="45">
                  <c:v>1</c:v>
                </c:pt>
                <c:pt idx="46">
                  <c:v>1</c:v>
                </c:pt>
                <c:pt idx="47">
                  <c:v>1</c:v>
                </c:pt>
                <c:pt idx="48">
                  <c:v>1</c:v>
                </c:pt>
                <c:pt idx="49">
                  <c:v>1</c:v>
                </c:pt>
                <c:pt idx="50">
                  <c:v>1</c:v>
                </c:pt>
                <c:pt idx="51">
                  <c:v>1</c:v>
                </c:pt>
                <c:pt idx="52">
                  <c:v>1</c:v>
                </c:pt>
                <c:pt idx="53">
                  <c:v>1</c:v>
                </c:pt>
                <c:pt idx="54">
                  <c:v>1</c:v>
                </c:pt>
                <c:pt idx="55">
                  <c:v>1</c:v>
                </c:pt>
                <c:pt idx="56">
                  <c:v>1</c:v>
                </c:pt>
                <c:pt idx="57">
                  <c:v>1</c:v>
                </c:pt>
                <c:pt idx="58">
                  <c:v>1</c:v>
                </c:pt>
                <c:pt idx="59">
                  <c:v>1</c:v>
                </c:pt>
                <c:pt idx="60">
                  <c:v>1</c:v>
                </c:pt>
                <c:pt idx="61">
                  <c:v>1</c:v>
                </c:pt>
                <c:pt idx="62">
                  <c:v>1</c:v>
                </c:pt>
                <c:pt idx="63">
                  <c:v>1</c:v>
                </c:pt>
                <c:pt idx="64">
                  <c:v>1</c:v>
                </c:pt>
                <c:pt idx="65">
                  <c:v>1</c:v>
                </c:pt>
                <c:pt idx="66">
                  <c:v>1</c:v>
                </c:pt>
                <c:pt idx="67">
                  <c:v>1</c:v>
                </c:pt>
                <c:pt idx="68">
                  <c:v>1</c:v>
                </c:pt>
                <c:pt idx="69">
                  <c:v>1</c:v>
                </c:pt>
                <c:pt idx="70">
                  <c:v>1</c:v>
                </c:pt>
                <c:pt idx="71">
                  <c:v>1</c:v>
                </c:pt>
                <c:pt idx="72">
                  <c:v>1</c:v>
                </c:pt>
                <c:pt idx="73">
                  <c:v>1</c:v>
                </c:pt>
                <c:pt idx="74">
                  <c:v>1</c:v>
                </c:pt>
                <c:pt idx="75">
                  <c:v>1</c:v>
                </c:pt>
                <c:pt idx="76">
                  <c:v>1</c:v>
                </c:pt>
                <c:pt idx="77">
                  <c:v>1</c:v>
                </c:pt>
                <c:pt idx="78">
                  <c:v>1</c:v>
                </c:pt>
                <c:pt idx="79">
                  <c:v>1</c:v>
                </c:pt>
                <c:pt idx="80">
                  <c:v>1</c:v>
                </c:pt>
                <c:pt idx="81">
                  <c:v>1</c:v>
                </c:pt>
                <c:pt idx="82">
                  <c:v>1</c:v>
                </c:pt>
                <c:pt idx="83">
                  <c:v>1</c:v>
                </c:pt>
                <c:pt idx="84">
                  <c:v>1</c:v>
                </c:pt>
                <c:pt idx="85">
                  <c:v>1</c:v>
                </c:pt>
                <c:pt idx="86">
                  <c:v>1</c:v>
                </c:pt>
                <c:pt idx="87">
                  <c:v>1</c:v>
                </c:pt>
                <c:pt idx="88">
                  <c:v>1</c:v>
                </c:pt>
                <c:pt idx="89">
                  <c:v>1</c:v>
                </c:pt>
                <c:pt idx="90">
                  <c:v>1</c:v>
                </c:pt>
                <c:pt idx="91">
                  <c:v>1</c:v>
                </c:pt>
                <c:pt idx="92">
                  <c:v>1</c:v>
                </c:pt>
                <c:pt idx="93">
                  <c:v>1</c:v>
                </c:pt>
                <c:pt idx="94">
                  <c:v>1</c:v>
                </c:pt>
                <c:pt idx="95">
                  <c:v>1</c:v>
                </c:pt>
                <c:pt idx="96">
                  <c:v>1</c:v>
                </c:pt>
                <c:pt idx="97">
                  <c:v>1</c:v>
                </c:pt>
                <c:pt idx="98">
                  <c:v>1</c:v>
                </c:pt>
                <c:pt idx="99">
                  <c:v>1</c:v>
                </c:pt>
                <c:pt idx="100">
                  <c:v>1</c:v>
                </c:pt>
                <c:pt idx="101">
                  <c:v>1</c:v>
                </c:pt>
                <c:pt idx="102">
                  <c:v>1</c:v>
                </c:pt>
                <c:pt idx="103">
                  <c:v>1</c:v>
                </c:pt>
                <c:pt idx="104">
                  <c:v>1</c:v>
                </c:pt>
                <c:pt idx="105">
                  <c:v>1</c:v>
                </c:pt>
                <c:pt idx="106">
                  <c:v>1</c:v>
                </c:pt>
                <c:pt idx="107">
                  <c:v>1</c:v>
                </c:pt>
                <c:pt idx="108">
                  <c:v>1</c:v>
                </c:pt>
                <c:pt idx="109">
                  <c:v>1</c:v>
                </c:pt>
                <c:pt idx="110">
                  <c:v>1</c:v>
                </c:pt>
                <c:pt idx="111">
                  <c:v>1</c:v>
                </c:pt>
                <c:pt idx="112">
                  <c:v>1</c:v>
                </c:pt>
                <c:pt idx="113">
                  <c:v>1</c:v>
                </c:pt>
                <c:pt idx="114">
                  <c:v>1</c:v>
                </c:pt>
                <c:pt idx="115">
                  <c:v>1</c:v>
                </c:pt>
                <c:pt idx="116">
                  <c:v>1</c:v>
                </c:pt>
                <c:pt idx="117">
                  <c:v>1</c:v>
                </c:pt>
                <c:pt idx="118">
                  <c:v>1</c:v>
                </c:pt>
                <c:pt idx="119">
                  <c:v>1</c:v>
                </c:pt>
                <c:pt idx="120">
                  <c:v>1</c:v>
                </c:pt>
                <c:pt idx="121">
                  <c:v>1</c:v>
                </c:pt>
                <c:pt idx="122">
                  <c:v>1</c:v>
                </c:pt>
                <c:pt idx="123">
                  <c:v>1</c:v>
                </c:pt>
                <c:pt idx="124">
                  <c:v>1</c:v>
                </c:pt>
                <c:pt idx="125">
                  <c:v>1</c:v>
                </c:pt>
                <c:pt idx="126">
                  <c:v>1</c:v>
                </c:pt>
                <c:pt idx="127">
                  <c:v>1</c:v>
                </c:pt>
                <c:pt idx="128">
                  <c:v>1</c:v>
                </c:pt>
                <c:pt idx="129">
                  <c:v>1</c:v>
                </c:pt>
                <c:pt idx="130">
                  <c:v>1</c:v>
                </c:pt>
                <c:pt idx="131">
                  <c:v>1</c:v>
                </c:pt>
                <c:pt idx="132">
                  <c:v>1</c:v>
                </c:pt>
                <c:pt idx="133">
                  <c:v>1</c:v>
                </c:pt>
                <c:pt idx="134">
                  <c:v>1</c:v>
                </c:pt>
                <c:pt idx="135">
                  <c:v>1</c:v>
                </c:pt>
                <c:pt idx="136">
                  <c:v>1</c:v>
                </c:pt>
                <c:pt idx="137">
                  <c:v>1</c:v>
                </c:pt>
                <c:pt idx="138">
                  <c:v>1</c:v>
                </c:pt>
                <c:pt idx="139">
                  <c:v>1</c:v>
                </c:pt>
                <c:pt idx="140">
                  <c:v>1</c:v>
                </c:pt>
                <c:pt idx="141">
                  <c:v>1</c:v>
                </c:pt>
                <c:pt idx="142">
                  <c:v>1</c:v>
                </c:pt>
                <c:pt idx="143">
                  <c:v>1</c:v>
                </c:pt>
                <c:pt idx="144">
                  <c:v>1</c:v>
                </c:pt>
                <c:pt idx="145">
                  <c:v>1</c:v>
                </c:pt>
                <c:pt idx="146">
                  <c:v>1</c:v>
                </c:pt>
                <c:pt idx="147">
                  <c:v>1</c:v>
                </c:pt>
                <c:pt idx="148">
                  <c:v>1</c:v>
                </c:pt>
                <c:pt idx="149">
                  <c:v>1</c:v>
                </c:pt>
                <c:pt idx="150">
                  <c:v>1</c:v>
                </c:pt>
                <c:pt idx="151">
                  <c:v>1</c:v>
                </c:pt>
                <c:pt idx="152">
                  <c:v>1</c:v>
                </c:pt>
                <c:pt idx="153">
                  <c:v>1</c:v>
                </c:pt>
                <c:pt idx="154">
                  <c:v>1</c:v>
                </c:pt>
                <c:pt idx="155">
                  <c:v>1</c:v>
                </c:pt>
                <c:pt idx="156">
                  <c:v>1</c:v>
                </c:pt>
                <c:pt idx="157">
                  <c:v>1</c:v>
                </c:pt>
                <c:pt idx="158">
                  <c:v>1</c:v>
                </c:pt>
                <c:pt idx="159">
                  <c:v>1</c:v>
                </c:pt>
                <c:pt idx="160">
                  <c:v>1</c:v>
                </c:pt>
                <c:pt idx="161">
                  <c:v>1</c:v>
                </c:pt>
                <c:pt idx="162">
                  <c:v>1</c:v>
                </c:pt>
                <c:pt idx="163">
                  <c:v>1</c:v>
                </c:pt>
                <c:pt idx="164">
                  <c:v>1</c:v>
                </c:pt>
                <c:pt idx="165">
                  <c:v>1</c:v>
                </c:pt>
                <c:pt idx="166">
                  <c:v>1</c:v>
                </c:pt>
                <c:pt idx="167">
                  <c:v>1</c:v>
                </c:pt>
                <c:pt idx="168">
                  <c:v>1</c:v>
                </c:pt>
                <c:pt idx="169">
                  <c:v>1</c:v>
                </c:pt>
                <c:pt idx="170">
                  <c:v>1</c:v>
                </c:pt>
                <c:pt idx="171">
                  <c:v>1</c:v>
                </c:pt>
                <c:pt idx="172">
                  <c:v>1</c:v>
                </c:pt>
                <c:pt idx="173">
                  <c:v>1</c:v>
                </c:pt>
                <c:pt idx="174">
                  <c:v>1</c:v>
                </c:pt>
                <c:pt idx="175">
                  <c:v>1</c:v>
                </c:pt>
                <c:pt idx="176">
                  <c:v>1</c:v>
                </c:pt>
                <c:pt idx="177">
                  <c:v>1</c:v>
                </c:pt>
                <c:pt idx="178">
                  <c:v>1</c:v>
                </c:pt>
                <c:pt idx="179">
                  <c:v>1</c:v>
                </c:pt>
                <c:pt idx="180">
                  <c:v>1</c:v>
                </c:pt>
                <c:pt idx="181">
                  <c:v>1</c:v>
                </c:pt>
                <c:pt idx="182">
                  <c:v>1</c:v>
                </c:pt>
                <c:pt idx="183">
                  <c:v>1</c:v>
                </c:pt>
                <c:pt idx="184">
                  <c:v>1</c:v>
                </c:pt>
                <c:pt idx="185">
                  <c:v>1</c:v>
                </c:pt>
                <c:pt idx="186">
                  <c:v>1</c:v>
                </c:pt>
                <c:pt idx="187">
                  <c:v>1</c:v>
                </c:pt>
                <c:pt idx="188">
                  <c:v>1</c:v>
                </c:pt>
                <c:pt idx="189">
                  <c:v>1</c:v>
                </c:pt>
                <c:pt idx="190">
                  <c:v>1</c:v>
                </c:pt>
                <c:pt idx="191">
                  <c:v>1</c:v>
                </c:pt>
                <c:pt idx="192">
                  <c:v>1</c:v>
                </c:pt>
                <c:pt idx="193">
                  <c:v>1</c:v>
                </c:pt>
                <c:pt idx="194">
                  <c:v>1</c:v>
                </c:pt>
                <c:pt idx="195">
                  <c:v>1</c:v>
                </c:pt>
                <c:pt idx="196">
                  <c:v>1</c:v>
                </c:pt>
                <c:pt idx="197">
                  <c:v>1</c:v>
                </c:pt>
                <c:pt idx="198">
                  <c:v>1</c:v>
                </c:pt>
                <c:pt idx="199">
                  <c:v>1</c:v>
                </c:pt>
                <c:pt idx="200">
                  <c:v>1</c:v>
                </c:pt>
                <c:pt idx="201">
                  <c:v>1</c:v>
                </c:pt>
                <c:pt idx="202">
                  <c:v>1</c:v>
                </c:pt>
                <c:pt idx="203">
                  <c:v>1</c:v>
                </c:pt>
                <c:pt idx="204">
                  <c:v>1</c:v>
                </c:pt>
                <c:pt idx="205">
                  <c:v>1</c:v>
                </c:pt>
                <c:pt idx="206">
                  <c:v>1</c:v>
                </c:pt>
                <c:pt idx="207">
                  <c:v>1</c:v>
                </c:pt>
                <c:pt idx="208">
                  <c:v>1</c:v>
                </c:pt>
                <c:pt idx="209">
                  <c:v>1</c:v>
                </c:pt>
                <c:pt idx="210">
                  <c:v>1</c:v>
                </c:pt>
                <c:pt idx="211">
                  <c:v>1</c:v>
                </c:pt>
                <c:pt idx="212">
                  <c:v>1</c:v>
                </c:pt>
                <c:pt idx="213">
                  <c:v>1</c:v>
                </c:pt>
                <c:pt idx="214">
                  <c:v>1</c:v>
                </c:pt>
                <c:pt idx="215">
                  <c:v>1</c:v>
                </c:pt>
                <c:pt idx="216">
                  <c:v>1</c:v>
                </c:pt>
                <c:pt idx="217">
                  <c:v>1</c:v>
                </c:pt>
                <c:pt idx="218">
                  <c:v>1</c:v>
                </c:pt>
                <c:pt idx="219">
                  <c:v>1</c:v>
                </c:pt>
                <c:pt idx="220">
                  <c:v>1</c:v>
                </c:pt>
                <c:pt idx="221">
                  <c:v>1</c:v>
                </c:pt>
                <c:pt idx="222">
                  <c:v>1</c:v>
                </c:pt>
                <c:pt idx="223">
                  <c:v>1</c:v>
                </c:pt>
                <c:pt idx="224">
                  <c:v>1</c:v>
                </c:pt>
                <c:pt idx="225">
                  <c:v>1</c:v>
                </c:pt>
                <c:pt idx="226">
                  <c:v>1</c:v>
                </c:pt>
                <c:pt idx="227">
                  <c:v>1</c:v>
                </c:pt>
                <c:pt idx="228">
                  <c:v>1</c:v>
                </c:pt>
                <c:pt idx="229">
                  <c:v>1</c:v>
                </c:pt>
                <c:pt idx="230">
                  <c:v>1</c:v>
                </c:pt>
                <c:pt idx="231">
                  <c:v>1</c:v>
                </c:pt>
                <c:pt idx="232">
                  <c:v>1</c:v>
                </c:pt>
                <c:pt idx="233">
                  <c:v>1</c:v>
                </c:pt>
                <c:pt idx="234">
                  <c:v>1</c:v>
                </c:pt>
                <c:pt idx="235">
                  <c:v>1</c:v>
                </c:pt>
                <c:pt idx="236">
                  <c:v>1</c:v>
                </c:pt>
                <c:pt idx="237">
                  <c:v>1</c:v>
                </c:pt>
                <c:pt idx="238">
                  <c:v>1</c:v>
                </c:pt>
                <c:pt idx="239">
                  <c:v>1</c:v>
                </c:pt>
                <c:pt idx="240">
                  <c:v>1</c:v>
                </c:pt>
                <c:pt idx="241">
                  <c:v>1</c:v>
                </c:pt>
                <c:pt idx="242">
                  <c:v>1</c:v>
                </c:pt>
                <c:pt idx="243">
                  <c:v>1</c:v>
                </c:pt>
                <c:pt idx="244">
                  <c:v>1</c:v>
                </c:pt>
                <c:pt idx="245">
                  <c:v>1</c:v>
                </c:pt>
                <c:pt idx="246">
                  <c:v>1</c:v>
                </c:pt>
                <c:pt idx="247">
                  <c:v>1</c:v>
                </c:pt>
                <c:pt idx="248">
                  <c:v>1</c:v>
                </c:pt>
                <c:pt idx="249">
                  <c:v>1</c:v>
                </c:pt>
                <c:pt idx="250">
                  <c:v>1</c:v>
                </c:pt>
                <c:pt idx="251">
                  <c:v>1</c:v>
                </c:pt>
                <c:pt idx="252">
                  <c:v>1</c:v>
                </c:pt>
                <c:pt idx="253">
                  <c:v>1</c:v>
                </c:pt>
                <c:pt idx="254">
                  <c:v>1</c:v>
                </c:pt>
                <c:pt idx="255">
                  <c:v>1</c:v>
                </c:pt>
                <c:pt idx="256">
                  <c:v>1</c:v>
                </c:pt>
                <c:pt idx="257">
                  <c:v>1</c:v>
                </c:pt>
                <c:pt idx="258">
                  <c:v>1</c:v>
                </c:pt>
                <c:pt idx="259">
                  <c:v>1</c:v>
                </c:pt>
                <c:pt idx="260">
                  <c:v>1</c:v>
                </c:pt>
                <c:pt idx="261">
                  <c:v>1</c:v>
                </c:pt>
                <c:pt idx="262">
                  <c:v>1</c:v>
                </c:pt>
                <c:pt idx="263">
                  <c:v>1</c:v>
                </c:pt>
                <c:pt idx="264">
                  <c:v>1</c:v>
                </c:pt>
                <c:pt idx="265">
                  <c:v>1</c:v>
                </c:pt>
                <c:pt idx="266">
                  <c:v>1</c:v>
                </c:pt>
                <c:pt idx="267">
                  <c:v>1</c:v>
                </c:pt>
                <c:pt idx="268">
                  <c:v>1</c:v>
                </c:pt>
                <c:pt idx="269">
                  <c:v>1</c:v>
                </c:pt>
                <c:pt idx="270">
                  <c:v>1</c:v>
                </c:pt>
                <c:pt idx="271">
                  <c:v>1</c:v>
                </c:pt>
                <c:pt idx="272">
                  <c:v>1</c:v>
                </c:pt>
                <c:pt idx="273">
                  <c:v>1</c:v>
                </c:pt>
                <c:pt idx="274">
                  <c:v>1</c:v>
                </c:pt>
                <c:pt idx="275">
                  <c:v>1</c:v>
                </c:pt>
                <c:pt idx="276">
                  <c:v>1</c:v>
                </c:pt>
                <c:pt idx="277">
                  <c:v>1</c:v>
                </c:pt>
                <c:pt idx="278">
                  <c:v>1</c:v>
                </c:pt>
                <c:pt idx="279">
                  <c:v>1</c:v>
                </c:pt>
                <c:pt idx="280">
                  <c:v>1</c:v>
                </c:pt>
                <c:pt idx="281">
                  <c:v>1</c:v>
                </c:pt>
                <c:pt idx="282">
                  <c:v>1</c:v>
                </c:pt>
                <c:pt idx="283">
                  <c:v>1</c:v>
                </c:pt>
                <c:pt idx="284">
                  <c:v>1</c:v>
                </c:pt>
                <c:pt idx="285">
                  <c:v>1</c:v>
                </c:pt>
                <c:pt idx="286">
                  <c:v>1</c:v>
                </c:pt>
                <c:pt idx="287">
                  <c:v>1</c:v>
                </c:pt>
                <c:pt idx="288">
                  <c:v>1</c:v>
                </c:pt>
                <c:pt idx="289">
                  <c:v>1</c:v>
                </c:pt>
                <c:pt idx="290">
                  <c:v>1</c:v>
                </c:pt>
                <c:pt idx="291">
                  <c:v>1</c:v>
                </c:pt>
                <c:pt idx="292">
                  <c:v>1</c:v>
                </c:pt>
                <c:pt idx="293">
                  <c:v>1</c:v>
                </c:pt>
                <c:pt idx="294">
                  <c:v>1</c:v>
                </c:pt>
                <c:pt idx="295">
                  <c:v>1</c:v>
                </c:pt>
                <c:pt idx="296">
                  <c:v>1</c:v>
                </c:pt>
                <c:pt idx="297">
                  <c:v>1</c:v>
                </c:pt>
                <c:pt idx="298">
                  <c:v>1</c:v>
                </c:pt>
                <c:pt idx="299">
                  <c:v>1</c:v>
                </c:pt>
                <c:pt idx="300">
                  <c:v>1</c:v>
                </c:pt>
                <c:pt idx="301">
                  <c:v>1</c:v>
                </c:pt>
                <c:pt idx="302">
                  <c:v>1</c:v>
                </c:pt>
                <c:pt idx="303">
                  <c:v>1</c:v>
                </c:pt>
                <c:pt idx="304">
                  <c:v>1</c:v>
                </c:pt>
                <c:pt idx="305">
                  <c:v>1</c:v>
                </c:pt>
                <c:pt idx="306">
                  <c:v>1</c:v>
                </c:pt>
                <c:pt idx="307">
                  <c:v>1</c:v>
                </c:pt>
                <c:pt idx="308">
                  <c:v>1</c:v>
                </c:pt>
                <c:pt idx="309">
                  <c:v>1</c:v>
                </c:pt>
                <c:pt idx="310">
                  <c:v>1</c:v>
                </c:pt>
                <c:pt idx="311">
                  <c:v>1</c:v>
                </c:pt>
                <c:pt idx="312">
                  <c:v>1</c:v>
                </c:pt>
                <c:pt idx="313">
                  <c:v>1</c:v>
                </c:pt>
                <c:pt idx="314">
                  <c:v>1</c:v>
                </c:pt>
                <c:pt idx="315">
                  <c:v>1</c:v>
                </c:pt>
                <c:pt idx="316">
                  <c:v>1</c:v>
                </c:pt>
                <c:pt idx="317">
                  <c:v>1</c:v>
                </c:pt>
                <c:pt idx="318">
                  <c:v>1</c:v>
                </c:pt>
                <c:pt idx="319">
                  <c:v>1</c:v>
                </c:pt>
                <c:pt idx="320">
                  <c:v>1</c:v>
                </c:pt>
                <c:pt idx="321">
                  <c:v>1</c:v>
                </c:pt>
                <c:pt idx="322">
                  <c:v>1</c:v>
                </c:pt>
                <c:pt idx="323">
                  <c:v>1</c:v>
                </c:pt>
                <c:pt idx="324">
                  <c:v>1</c:v>
                </c:pt>
                <c:pt idx="325">
                  <c:v>1</c:v>
                </c:pt>
                <c:pt idx="326">
                  <c:v>1</c:v>
                </c:pt>
                <c:pt idx="327">
                  <c:v>1</c:v>
                </c:pt>
                <c:pt idx="328">
                  <c:v>1</c:v>
                </c:pt>
                <c:pt idx="329">
                  <c:v>1</c:v>
                </c:pt>
                <c:pt idx="330">
                  <c:v>1</c:v>
                </c:pt>
                <c:pt idx="331">
                  <c:v>1</c:v>
                </c:pt>
                <c:pt idx="332">
                  <c:v>1</c:v>
                </c:pt>
                <c:pt idx="333">
                  <c:v>1</c:v>
                </c:pt>
                <c:pt idx="334">
                  <c:v>1</c:v>
                </c:pt>
                <c:pt idx="335">
                  <c:v>1</c:v>
                </c:pt>
                <c:pt idx="336">
                  <c:v>1</c:v>
                </c:pt>
                <c:pt idx="337">
                  <c:v>1</c:v>
                </c:pt>
                <c:pt idx="338">
                  <c:v>1</c:v>
                </c:pt>
                <c:pt idx="339">
                  <c:v>1</c:v>
                </c:pt>
                <c:pt idx="340">
                  <c:v>1</c:v>
                </c:pt>
                <c:pt idx="341">
                  <c:v>1</c:v>
                </c:pt>
                <c:pt idx="342">
                  <c:v>1</c:v>
                </c:pt>
                <c:pt idx="343">
                  <c:v>1</c:v>
                </c:pt>
                <c:pt idx="344">
                  <c:v>1</c:v>
                </c:pt>
                <c:pt idx="345">
                  <c:v>1</c:v>
                </c:pt>
                <c:pt idx="346">
                  <c:v>1</c:v>
                </c:pt>
                <c:pt idx="347">
                  <c:v>1</c:v>
                </c:pt>
                <c:pt idx="348">
                  <c:v>1</c:v>
                </c:pt>
                <c:pt idx="349">
                  <c:v>1</c:v>
                </c:pt>
                <c:pt idx="350">
                  <c:v>1</c:v>
                </c:pt>
                <c:pt idx="351">
                  <c:v>1</c:v>
                </c:pt>
                <c:pt idx="352">
                  <c:v>1</c:v>
                </c:pt>
                <c:pt idx="353">
                  <c:v>1</c:v>
                </c:pt>
                <c:pt idx="354">
                  <c:v>1</c:v>
                </c:pt>
                <c:pt idx="355">
                  <c:v>1</c:v>
                </c:pt>
                <c:pt idx="356">
                  <c:v>1</c:v>
                </c:pt>
                <c:pt idx="357">
                  <c:v>1</c:v>
                </c:pt>
                <c:pt idx="358">
                  <c:v>1</c:v>
                </c:pt>
                <c:pt idx="359">
                  <c:v>1</c:v>
                </c:pt>
                <c:pt idx="360">
                  <c:v>1</c:v>
                </c:pt>
                <c:pt idx="361">
                  <c:v>1</c:v>
                </c:pt>
                <c:pt idx="362">
                  <c:v>1</c:v>
                </c:pt>
                <c:pt idx="363">
                  <c:v>1</c:v>
                </c:pt>
                <c:pt idx="364">
                  <c:v>1</c:v>
                </c:pt>
                <c:pt idx="365">
                  <c:v>1</c:v>
                </c:pt>
                <c:pt idx="366">
                  <c:v>1</c:v>
                </c:pt>
                <c:pt idx="367">
                  <c:v>1</c:v>
                </c:pt>
                <c:pt idx="368">
                  <c:v>1</c:v>
                </c:pt>
                <c:pt idx="369">
                  <c:v>1</c:v>
                </c:pt>
                <c:pt idx="370">
                  <c:v>1</c:v>
                </c:pt>
                <c:pt idx="371">
                  <c:v>1</c:v>
                </c:pt>
                <c:pt idx="372">
                  <c:v>1</c:v>
                </c:pt>
                <c:pt idx="373">
                  <c:v>1</c:v>
                </c:pt>
                <c:pt idx="374">
                  <c:v>1</c:v>
                </c:pt>
                <c:pt idx="375">
                  <c:v>1</c:v>
                </c:pt>
                <c:pt idx="376">
                  <c:v>1</c:v>
                </c:pt>
                <c:pt idx="377">
                  <c:v>1</c:v>
                </c:pt>
                <c:pt idx="378">
                  <c:v>1</c:v>
                </c:pt>
                <c:pt idx="379">
                  <c:v>1</c:v>
                </c:pt>
                <c:pt idx="380">
                  <c:v>1</c:v>
                </c:pt>
                <c:pt idx="381">
                  <c:v>1</c:v>
                </c:pt>
                <c:pt idx="382">
                  <c:v>1</c:v>
                </c:pt>
                <c:pt idx="383">
                  <c:v>1</c:v>
                </c:pt>
                <c:pt idx="384">
                  <c:v>1</c:v>
                </c:pt>
                <c:pt idx="385">
                  <c:v>1</c:v>
                </c:pt>
                <c:pt idx="386">
                  <c:v>1</c:v>
                </c:pt>
                <c:pt idx="387">
                  <c:v>1</c:v>
                </c:pt>
                <c:pt idx="388">
                  <c:v>1</c:v>
                </c:pt>
                <c:pt idx="389">
                  <c:v>1</c:v>
                </c:pt>
                <c:pt idx="390">
                  <c:v>1</c:v>
                </c:pt>
                <c:pt idx="391">
                  <c:v>1</c:v>
                </c:pt>
                <c:pt idx="392">
                  <c:v>1</c:v>
                </c:pt>
                <c:pt idx="393">
                  <c:v>1</c:v>
                </c:pt>
                <c:pt idx="394">
                  <c:v>1</c:v>
                </c:pt>
                <c:pt idx="395">
                  <c:v>1</c:v>
                </c:pt>
                <c:pt idx="396">
                  <c:v>1</c:v>
                </c:pt>
                <c:pt idx="397">
                  <c:v>1</c:v>
                </c:pt>
                <c:pt idx="398">
                  <c:v>1</c:v>
                </c:pt>
                <c:pt idx="399">
                  <c:v>1</c:v>
                </c:pt>
                <c:pt idx="400">
                  <c:v>1</c:v>
                </c:pt>
                <c:pt idx="401">
                  <c:v>1</c:v>
                </c:pt>
                <c:pt idx="402">
                  <c:v>1</c:v>
                </c:pt>
                <c:pt idx="403">
                  <c:v>1</c:v>
                </c:pt>
                <c:pt idx="404">
                  <c:v>1</c:v>
                </c:pt>
                <c:pt idx="405">
                  <c:v>1</c:v>
                </c:pt>
                <c:pt idx="406">
                  <c:v>1</c:v>
                </c:pt>
                <c:pt idx="407">
                  <c:v>1</c:v>
                </c:pt>
                <c:pt idx="408">
                  <c:v>1</c:v>
                </c:pt>
                <c:pt idx="409">
                  <c:v>1</c:v>
                </c:pt>
                <c:pt idx="410">
                  <c:v>1</c:v>
                </c:pt>
                <c:pt idx="411">
                  <c:v>1</c:v>
                </c:pt>
                <c:pt idx="412">
                  <c:v>1</c:v>
                </c:pt>
                <c:pt idx="413">
                  <c:v>1</c:v>
                </c:pt>
                <c:pt idx="414">
                  <c:v>1</c:v>
                </c:pt>
                <c:pt idx="415">
                  <c:v>1</c:v>
                </c:pt>
                <c:pt idx="416">
                  <c:v>1</c:v>
                </c:pt>
                <c:pt idx="417">
                  <c:v>1</c:v>
                </c:pt>
                <c:pt idx="418">
                  <c:v>1</c:v>
                </c:pt>
                <c:pt idx="419">
                  <c:v>1</c:v>
                </c:pt>
                <c:pt idx="420">
                  <c:v>1</c:v>
                </c:pt>
                <c:pt idx="421">
                  <c:v>1</c:v>
                </c:pt>
                <c:pt idx="422">
                  <c:v>1</c:v>
                </c:pt>
                <c:pt idx="423">
                  <c:v>1</c:v>
                </c:pt>
                <c:pt idx="424">
                  <c:v>1</c:v>
                </c:pt>
                <c:pt idx="425">
                  <c:v>1</c:v>
                </c:pt>
                <c:pt idx="426">
                  <c:v>1</c:v>
                </c:pt>
                <c:pt idx="427">
                  <c:v>1</c:v>
                </c:pt>
                <c:pt idx="428">
                  <c:v>1</c:v>
                </c:pt>
                <c:pt idx="429">
                  <c:v>1</c:v>
                </c:pt>
                <c:pt idx="430">
                  <c:v>1</c:v>
                </c:pt>
                <c:pt idx="431">
                  <c:v>1</c:v>
                </c:pt>
                <c:pt idx="432">
                  <c:v>1</c:v>
                </c:pt>
                <c:pt idx="433">
                  <c:v>1</c:v>
                </c:pt>
                <c:pt idx="434">
                  <c:v>1</c:v>
                </c:pt>
                <c:pt idx="435">
                  <c:v>1</c:v>
                </c:pt>
                <c:pt idx="436">
                  <c:v>1</c:v>
                </c:pt>
                <c:pt idx="437">
                  <c:v>1</c:v>
                </c:pt>
                <c:pt idx="438">
                  <c:v>1</c:v>
                </c:pt>
                <c:pt idx="439">
                  <c:v>1</c:v>
                </c:pt>
                <c:pt idx="440">
                  <c:v>1</c:v>
                </c:pt>
                <c:pt idx="441">
                  <c:v>1</c:v>
                </c:pt>
                <c:pt idx="442">
                  <c:v>1</c:v>
                </c:pt>
                <c:pt idx="443">
                  <c:v>1</c:v>
                </c:pt>
                <c:pt idx="444">
                  <c:v>1</c:v>
                </c:pt>
                <c:pt idx="445">
                  <c:v>1</c:v>
                </c:pt>
                <c:pt idx="446">
                  <c:v>1</c:v>
                </c:pt>
                <c:pt idx="447">
                  <c:v>1</c:v>
                </c:pt>
                <c:pt idx="448">
                  <c:v>1</c:v>
                </c:pt>
                <c:pt idx="449">
                  <c:v>1</c:v>
                </c:pt>
                <c:pt idx="450">
                  <c:v>1</c:v>
                </c:pt>
                <c:pt idx="451">
                  <c:v>1</c:v>
                </c:pt>
                <c:pt idx="452">
                  <c:v>1</c:v>
                </c:pt>
                <c:pt idx="453">
                  <c:v>1</c:v>
                </c:pt>
                <c:pt idx="454">
                  <c:v>1</c:v>
                </c:pt>
                <c:pt idx="455">
                  <c:v>1</c:v>
                </c:pt>
                <c:pt idx="456">
                  <c:v>1</c:v>
                </c:pt>
                <c:pt idx="457">
                  <c:v>1</c:v>
                </c:pt>
                <c:pt idx="458">
                  <c:v>1</c:v>
                </c:pt>
                <c:pt idx="459">
                  <c:v>1</c:v>
                </c:pt>
                <c:pt idx="460">
                  <c:v>1</c:v>
                </c:pt>
                <c:pt idx="461">
                  <c:v>1</c:v>
                </c:pt>
                <c:pt idx="462">
                  <c:v>1</c:v>
                </c:pt>
                <c:pt idx="463">
                  <c:v>1</c:v>
                </c:pt>
                <c:pt idx="464">
                  <c:v>1</c:v>
                </c:pt>
                <c:pt idx="465">
                  <c:v>1</c:v>
                </c:pt>
                <c:pt idx="466">
                  <c:v>1</c:v>
                </c:pt>
                <c:pt idx="467">
                  <c:v>1</c:v>
                </c:pt>
                <c:pt idx="468">
                  <c:v>1</c:v>
                </c:pt>
                <c:pt idx="469">
                  <c:v>1</c:v>
                </c:pt>
                <c:pt idx="470">
                  <c:v>1</c:v>
                </c:pt>
                <c:pt idx="471">
                  <c:v>1</c:v>
                </c:pt>
                <c:pt idx="472">
                  <c:v>1</c:v>
                </c:pt>
                <c:pt idx="473">
                  <c:v>1</c:v>
                </c:pt>
                <c:pt idx="474">
                  <c:v>1</c:v>
                </c:pt>
                <c:pt idx="475">
                  <c:v>1</c:v>
                </c:pt>
                <c:pt idx="476">
                  <c:v>1</c:v>
                </c:pt>
                <c:pt idx="477">
                  <c:v>1</c:v>
                </c:pt>
                <c:pt idx="478">
                  <c:v>1</c:v>
                </c:pt>
                <c:pt idx="479">
                  <c:v>1</c:v>
                </c:pt>
                <c:pt idx="480">
                  <c:v>1</c:v>
                </c:pt>
                <c:pt idx="481">
                  <c:v>1</c:v>
                </c:pt>
                <c:pt idx="482">
                  <c:v>1</c:v>
                </c:pt>
                <c:pt idx="483">
                  <c:v>1</c:v>
                </c:pt>
                <c:pt idx="484">
                  <c:v>1</c:v>
                </c:pt>
                <c:pt idx="485">
                  <c:v>1</c:v>
                </c:pt>
                <c:pt idx="486">
                  <c:v>1</c:v>
                </c:pt>
                <c:pt idx="487">
                  <c:v>1</c:v>
                </c:pt>
                <c:pt idx="488">
                  <c:v>1</c:v>
                </c:pt>
                <c:pt idx="489">
                  <c:v>1</c:v>
                </c:pt>
                <c:pt idx="490">
                  <c:v>1</c:v>
                </c:pt>
                <c:pt idx="491">
                  <c:v>1</c:v>
                </c:pt>
                <c:pt idx="492">
                  <c:v>1</c:v>
                </c:pt>
                <c:pt idx="493">
                  <c:v>1</c:v>
                </c:pt>
                <c:pt idx="494">
                  <c:v>1</c:v>
                </c:pt>
                <c:pt idx="495">
                  <c:v>1</c:v>
                </c:pt>
                <c:pt idx="496">
                  <c:v>1</c:v>
                </c:pt>
                <c:pt idx="497">
                  <c:v>1</c:v>
                </c:pt>
                <c:pt idx="498">
                  <c:v>1</c:v>
                </c:pt>
                <c:pt idx="499">
                  <c:v>1</c:v>
                </c:pt>
                <c:pt idx="500">
                  <c:v>1</c:v>
                </c:pt>
                <c:pt idx="501">
                  <c:v>1</c:v>
                </c:pt>
                <c:pt idx="502">
                  <c:v>1</c:v>
                </c:pt>
                <c:pt idx="503">
                  <c:v>1</c:v>
                </c:pt>
                <c:pt idx="504">
                  <c:v>1</c:v>
                </c:pt>
                <c:pt idx="505">
                  <c:v>1</c:v>
                </c:pt>
                <c:pt idx="506">
                  <c:v>1</c:v>
                </c:pt>
                <c:pt idx="507">
                  <c:v>1</c:v>
                </c:pt>
                <c:pt idx="508">
                  <c:v>1</c:v>
                </c:pt>
                <c:pt idx="509">
                  <c:v>1</c:v>
                </c:pt>
                <c:pt idx="510">
                  <c:v>1</c:v>
                </c:pt>
                <c:pt idx="511">
                  <c:v>1</c:v>
                </c:pt>
                <c:pt idx="512">
                  <c:v>1</c:v>
                </c:pt>
                <c:pt idx="513">
                  <c:v>1</c:v>
                </c:pt>
                <c:pt idx="514">
                  <c:v>1</c:v>
                </c:pt>
                <c:pt idx="515">
                  <c:v>1</c:v>
                </c:pt>
                <c:pt idx="516">
                  <c:v>1</c:v>
                </c:pt>
                <c:pt idx="517">
                  <c:v>1</c:v>
                </c:pt>
                <c:pt idx="518">
                  <c:v>1</c:v>
                </c:pt>
                <c:pt idx="519">
                  <c:v>1</c:v>
                </c:pt>
                <c:pt idx="520">
                  <c:v>1</c:v>
                </c:pt>
                <c:pt idx="521">
                  <c:v>1</c:v>
                </c:pt>
                <c:pt idx="522">
                  <c:v>1</c:v>
                </c:pt>
                <c:pt idx="523">
                  <c:v>1</c:v>
                </c:pt>
                <c:pt idx="524">
                  <c:v>1</c:v>
                </c:pt>
                <c:pt idx="525">
                  <c:v>1</c:v>
                </c:pt>
                <c:pt idx="526">
                  <c:v>1</c:v>
                </c:pt>
                <c:pt idx="527">
                  <c:v>1</c:v>
                </c:pt>
                <c:pt idx="528">
                  <c:v>1</c:v>
                </c:pt>
                <c:pt idx="529">
                  <c:v>1</c:v>
                </c:pt>
                <c:pt idx="530">
                  <c:v>1</c:v>
                </c:pt>
                <c:pt idx="531">
                  <c:v>1</c:v>
                </c:pt>
                <c:pt idx="532">
                  <c:v>1</c:v>
                </c:pt>
                <c:pt idx="533">
                  <c:v>1</c:v>
                </c:pt>
                <c:pt idx="534">
                  <c:v>1</c:v>
                </c:pt>
                <c:pt idx="535">
                  <c:v>1</c:v>
                </c:pt>
                <c:pt idx="536">
                  <c:v>1</c:v>
                </c:pt>
                <c:pt idx="537">
                  <c:v>1</c:v>
                </c:pt>
                <c:pt idx="538">
                  <c:v>1</c:v>
                </c:pt>
                <c:pt idx="539">
                  <c:v>1</c:v>
                </c:pt>
                <c:pt idx="540">
                  <c:v>1</c:v>
                </c:pt>
                <c:pt idx="541">
                  <c:v>1</c:v>
                </c:pt>
                <c:pt idx="542">
                  <c:v>1</c:v>
                </c:pt>
                <c:pt idx="543">
                  <c:v>1</c:v>
                </c:pt>
                <c:pt idx="544">
                  <c:v>1</c:v>
                </c:pt>
                <c:pt idx="545">
                  <c:v>1</c:v>
                </c:pt>
                <c:pt idx="546">
                  <c:v>1</c:v>
                </c:pt>
                <c:pt idx="547">
                  <c:v>1</c:v>
                </c:pt>
                <c:pt idx="548">
                  <c:v>1</c:v>
                </c:pt>
                <c:pt idx="549">
                  <c:v>1</c:v>
                </c:pt>
                <c:pt idx="550">
                  <c:v>1</c:v>
                </c:pt>
                <c:pt idx="551">
                  <c:v>1</c:v>
                </c:pt>
                <c:pt idx="552">
                  <c:v>1</c:v>
                </c:pt>
                <c:pt idx="553">
                  <c:v>1</c:v>
                </c:pt>
                <c:pt idx="554">
                  <c:v>1</c:v>
                </c:pt>
                <c:pt idx="555">
                  <c:v>1</c:v>
                </c:pt>
                <c:pt idx="556">
                  <c:v>1</c:v>
                </c:pt>
                <c:pt idx="557">
                  <c:v>1</c:v>
                </c:pt>
                <c:pt idx="558">
                  <c:v>1</c:v>
                </c:pt>
                <c:pt idx="559">
                  <c:v>1</c:v>
                </c:pt>
                <c:pt idx="560">
                  <c:v>1</c:v>
                </c:pt>
                <c:pt idx="561">
                  <c:v>1</c:v>
                </c:pt>
                <c:pt idx="562">
                  <c:v>1</c:v>
                </c:pt>
                <c:pt idx="563">
                  <c:v>1</c:v>
                </c:pt>
                <c:pt idx="564">
                  <c:v>1</c:v>
                </c:pt>
                <c:pt idx="565">
                  <c:v>1</c:v>
                </c:pt>
                <c:pt idx="566">
                  <c:v>1</c:v>
                </c:pt>
                <c:pt idx="567">
                  <c:v>1</c:v>
                </c:pt>
                <c:pt idx="568">
                  <c:v>1</c:v>
                </c:pt>
                <c:pt idx="569">
                  <c:v>1</c:v>
                </c:pt>
                <c:pt idx="570">
                  <c:v>1</c:v>
                </c:pt>
                <c:pt idx="571">
                  <c:v>1</c:v>
                </c:pt>
                <c:pt idx="572">
                  <c:v>1</c:v>
                </c:pt>
                <c:pt idx="573">
                  <c:v>1</c:v>
                </c:pt>
                <c:pt idx="574">
                  <c:v>1</c:v>
                </c:pt>
                <c:pt idx="575">
                  <c:v>1</c:v>
                </c:pt>
                <c:pt idx="576">
                  <c:v>1</c:v>
                </c:pt>
                <c:pt idx="577">
                  <c:v>1</c:v>
                </c:pt>
                <c:pt idx="578">
                  <c:v>1</c:v>
                </c:pt>
                <c:pt idx="579">
                  <c:v>1</c:v>
                </c:pt>
                <c:pt idx="580">
                  <c:v>1</c:v>
                </c:pt>
                <c:pt idx="581">
                  <c:v>1</c:v>
                </c:pt>
                <c:pt idx="582">
                  <c:v>1</c:v>
                </c:pt>
                <c:pt idx="583">
                  <c:v>1</c:v>
                </c:pt>
                <c:pt idx="584">
                  <c:v>1</c:v>
                </c:pt>
                <c:pt idx="585">
                  <c:v>1</c:v>
                </c:pt>
                <c:pt idx="586">
                  <c:v>1</c:v>
                </c:pt>
                <c:pt idx="587">
                  <c:v>1</c:v>
                </c:pt>
                <c:pt idx="588">
                  <c:v>1</c:v>
                </c:pt>
                <c:pt idx="589">
                  <c:v>1</c:v>
                </c:pt>
                <c:pt idx="590">
                  <c:v>1</c:v>
                </c:pt>
                <c:pt idx="591">
                  <c:v>1</c:v>
                </c:pt>
                <c:pt idx="592">
                  <c:v>1</c:v>
                </c:pt>
                <c:pt idx="593">
                  <c:v>1</c:v>
                </c:pt>
                <c:pt idx="594">
                  <c:v>1</c:v>
                </c:pt>
                <c:pt idx="595">
                  <c:v>1</c:v>
                </c:pt>
                <c:pt idx="596">
                  <c:v>1</c:v>
                </c:pt>
                <c:pt idx="597">
                  <c:v>1</c:v>
                </c:pt>
                <c:pt idx="598">
                  <c:v>1</c:v>
                </c:pt>
                <c:pt idx="599">
                  <c:v>1</c:v>
                </c:pt>
                <c:pt idx="600">
                  <c:v>1</c:v>
                </c:pt>
              </c:numCache>
            </c:numRef>
          </c:val>
          <c:smooth val="0"/>
          <c:extLst>
            <c:ext xmlns:c16="http://schemas.microsoft.com/office/drawing/2014/chart" uri="{C3380CC4-5D6E-409C-BE32-E72D297353CC}">
              <c16:uniqueId val="{00000000-B2D1-406A-9DD6-1EBD767F3733}"/>
            </c:ext>
          </c:extLst>
        </c:ser>
        <c:ser>
          <c:idx val="1"/>
          <c:order val="1"/>
          <c:tx>
            <c:strRef>
              <c:f>CEASimulation!$S$10</c:f>
              <c:strCache>
                <c:ptCount val="1"/>
                <c:pt idx="0">
                  <c:v>Mammography</c:v>
                </c:pt>
              </c:strCache>
            </c:strRef>
          </c:tx>
          <c:spPr>
            <a:ln w="28575" cap="rnd">
              <a:solidFill>
                <a:schemeClr val="accent2"/>
              </a:solidFill>
              <a:round/>
            </a:ln>
            <a:effectLst/>
          </c:spPr>
          <c:marker>
            <c:symbol val="none"/>
          </c:marker>
          <c:cat>
            <c:numLit>
              <c:formatCode>General</c:formatCode>
              <c:ptCount val="540"/>
              <c:pt idx="0">
                <c:v>50</c:v>
              </c:pt>
              <c:pt idx="1">
                <c:v>150</c:v>
              </c:pt>
              <c:pt idx="2">
                <c:v>250</c:v>
              </c:pt>
              <c:pt idx="3">
                <c:v>350</c:v>
              </c:pt>
              <c:pt idx="4">
                <c:v>450</c:v>
              </c:pt>
              <c:pt idx="5">
                <c:v>550</c:v>
              </c:pt>
              <c:pt idx="6">
                <c:v>650</c:v>
              </c:pt>
              <c:pt idx="7">
                <c:v>750</c:v>
              </c:pt>
              <c:pt idx="8">
                <c:v>850</c:v>
              </c:pt>
              <c:pt idx="9">
                <c:v>950</c:v>
              </c:pt>
              <c:pt idx="10">
                <c:v>1050</c:v>
              </c:pt>
              <c:pt idx="11">
                <c:v>1150</c:v>
              </c:pt>
              <c:pt idx="12">
                <c:v>1250</c:v>
              </c:pt>
              <c:pt idx="13">
                <c:v>1350</c:v>
              </c:pt>
              <c:pt idx="14">
                <c:v>1450</c:v>
              </c:pt>
              <c:pt idx="15">
                <c:v>1550</c:v>
              </c:pt>
              <c:pt idx="16">
                <c:v>1650</c:v>
              </c:pt>
              <c:pt idx="17">
                <c:v>1750</c:v>
              </c:pt>
              <c:pt idx="18">
                <c:v>1850</c:v>
              </c:pt>
              <c:pt idx="19">
                <c:v>1950</c:v>
              </c:pt>
              <c:pt idx="20">
                <c:v>2050</c:v>
              </c:pt>
              <c:pt idx="21">
                <c:v>2150</c:v>
              </c:pt>
              <c:pt idx="22">
                <c:v>2250</c:v>
              </c:pt>
              <c:pt idx="23">
                <c:v>2350</c:v>
              </c:pt>
              <c:pt idx="24">
                <c:v>2450</c:v>
              </c:pt>
              <c:pt idx="25">
                <c:v>2550</c:v>
              </c:pt>
              <c:pt idx="26">
                <c:v>2650</c:v>
              </c:pt>
              <c:pt idx="27">
                <c:v>2750</c:v>
              </c:pt>
              <c:pt idx="28">
                <c:v>2850</c:v>
              </c:pt>
              <c:pt idx="29">
                <c:v>2950</c:v>
              </c:pt>
              <c:pt idx="30">
                <c:v>3050</c:v>
              </c:pt>
              <c:pt idx="31">
                <c:v>3150</c:v>
              </c:pt>
              <c:pt idx="32">
                <c:v>3250</c:v>
              </c:pt>
              <c:pt idx="33">
                <c:v>3350</c:v>
              </c:pt>
              <c:pt idx="34">
                <c:v>3450</c:v>
              </c:pt>
              <c:pt idx="35">
                <c:v>3550</c:v>
              </c:pt>
              <c:pt idx="36">
                <c:v>3650</c:v>
              </c:pt>
              <c:pt idx="37">
                <c:v>3750</c:v>
              </c:pt>
              <c:pt idx="38">
                <c:v>3850</c:v>
              </c:pt>
              <c:pt idx="39">
                <c:v>3950</c:v>
              </c:pt>
              <c:pt idx="40">
                <c:v>4050</c:v>
              </c:pt>
              <c:pt idx="41">
                <c:v>4150</c:v>
              </c:pt>
              <c:pt idx="42">
                <c:v>4250</c:v>
              </c:pt>
              <c:pt idx="43">
                <c:v>4350</c:v>
              </c:pt>
              <c:pt idx="44">
                <c:v>4450</c:v>
              </c:pt>
              <c:pt idx="45">
                <c:v>4550</c:v>
              </c:pt>
              <c:pt idx="46">
                <c:v>4650</c:v>
              </c:pt>
              <c:pt idx="47">
                <c:v>4750</c:v>
              </c:pt>
              <c:pt idx="48">
                <c:v>4850</c:v>
              </c:pt>
              <c:pt idx="49">
                <c:v>4950</c:v>
              </c:pt>
              <c:pt idx="50">
                <c:v>5050</c:v>
              </c:pt>
              <c:pt idx="51">
                <c:v>5150</c:v>
              </c:pt>
              <c:pt idx="52">
                <c:v>5250</c:v>
              </c:pt>
              <c:pt idx="53">
                <c:v>5350</c:v>
              </c:pt>
              <c:pt idx="54">
                <c:v>5450</c:v>
              </c:pt>
              <c:pt idx="55">
                <c:v>5550</c:v>
              </c:pt>
              <c:pt idx="56">
                <c:v>5650</c:v>
              </c:pt>
              <c:pt idx="57">
                <c:v>5750</c:v>
              </c:pt>
              <c:pt idx="58">
                <c:v>5850</c:v>
              </c:pt>
              <c:pt idx="59">
                <c:v>5950</c:v>
              </c:pt>
              <c:pt idx="60">
                <c:v>6050</c:v>
              </c:pt>
              <c:pt idx="61">
                <c:v>6150</c:v>
              </c:pt>
              <c:pt idx="62">
                <c:v>6250</c:v>
              </c:pt>
              <c:pt idx="63">
                <c:v>6350</c:v>
              </c:pt>
              <c:pt idx="64">
                <c:v>6450</c:v>
              </c:pt>
              <c:pt idx="65">
                <c:v>6550</c:v>
              </c:pt>
              <c:pt idx="66">
                <c:v>6650</c:v>
              </c:pt>
              <c:pt idx="67">
                <c:v>6750</c:v>
              </c:pt>
              <c:pt idx="68">
                <c:v>6850</c:v>
              </c:pt>
              <c:pt idx="69">
                <c:v>6950</c:v>
              </c:pt>
              <c:pt idx="70">
                <c:v>7050</c:v>
              </c:pt>
              <c:pt idx="71">
                <c:v>7150</c:v>
              </c:pt>
              <c:pt idx="72">
                <c:v>7250</c:v>
              </c:pt>
              <c:pt idx="73">
                <c:v>7350</c:v>
              </c:pt>
              <c:pt idx="74">
                <c:v>7450</c:v>
              </c:pt>
              <c:pt idx="75">
                <c:v>7550</c:v>
              </c:pt>
              <c:pt idx="76">
                <c:v>7650</c:v>
              </c:pt>
              <c:pt idx="77">
                <c:v>7750</c:v>
              </c:pt>
              <c:pt idx="78">
                <c:v>7850</c:v>
              </c:pt>
              <c:pt idx="79">
                <c:v>7950</c:v>
              </c:pt>
              <c:pt idx="80">
                <c:v>8050</c:v>
              </c:pt>
              <c:pt idx="81">
                <c:v>8150</c:v>
              </c:pt>
              <c:pt idx="82">
                <c:v>8250</c:v>
              </c:pt>
              <c:pt idx="83">
                <c:v>8350</c:v>
              </c:pt>
              <c:pt idx="84">
                <c:v>8450</c:v>
              </c:pt>
              <c:pt idx="85">
                <c:v>8550</c:v>
              </c:pt>
              <c:pt idx="86">
                <c:v>8650</c:v>
              </c:pt>
              <c:pt idx="87">
                <c:v>8750</c:v>
              </c:pt>
              <c:pt idx="88">
                <c:v>8850</c:v>
              </c:pt>
              <c:pt idx="89">
                <c:v>8950</c:v>
              </c:pt>
              <c:pt idx="90">
                <c:v>9050</c:v>
              </c:pt>
              <c:pt idx="91">
                <c:v>9150</c:v>
              </c:pt>
              <c:pt idx="92">
                <c:v>9250</c:v>
              </c:pt>
              <c:pt idx="93">
                <c:v>9350</c:v>
              </c:pt>
              <c:pt idx="94">
                <c:v>9450</c:v>
              </c:pt>
              <c:pt idx="95">
                <c:v>9550</c:v>
              </c:pt>
              <c:pt idx="96">
                <c:v>9650</c:v>
              </c:pt>
              <c:pt idx="97">
                <c:v>9750</c:v>
              </c:pt>
              <c:pt idx="98">
                <c:v>9850</c:v>
              </c:pt>
              <c:pt idx="99">
                <c:v>9950</c:v>
              </c:pt>
              <c:pt idx="100">
                <c:v>10050</c:v>
              </c:pt>
              <c:pt idx="101">
                <c:v>10150</c:v>
              </c:pt>
              <c:pt idx="102">
                <c:v>10250</c:v>
              </c:pt>
              <c:pt idx="103">
                <c:v>10350</c:v>
              </c:pt>
              <c:pt idx="104">
                <c:v>10450</c:v>
              </c:pt>
              <c:pt idx="105">
                <c:v>10550</c:v>
              </c:pt>
              <c:pt idx="106">
                <c:v>10650</c:v>
              </c:pt>
              <c:pt idx="107">
                <c:v>10750</c:v>
              </c:pt>
              <c:pt idx="108">
                <c:v>10850</c:v>
              </c:pt>
              <c:pt idx="109">
                <c:v>10950</c:v>
              </c:pt>
              <c:pt idx="110">
                <c:v>11050</c:v>
              </c:pt>
              <c:pt idx="111">
                <c:v>11150</c:v>
              </c:pt>
              <c:pt idx="112">
                <c:v>11250</c:v>
              </c:pt>
              <c:pt idx="113">
                <c:v>11350</c:v>
              </c:pt>
              <c:pt idx="114">
                <c:v>11450</c:v>
              </c:pt>
              <c:pt idx="115">
                <c:v>11550</c:v>
              </c:pt>
              <c:pt idx="116">
                <c:v>11650</c:v>
              </c:pt>
              <c:pt idx="117">
                <c:v>11750</c:v>
              </c:pt>
              <c:pt idx="118">
                <c:v>11850</c:v>
              </c:pt>
              <c:pt idx="119">
                <c:v>11950</c:v>
              </c:pt>
              <c:pt idx="120">
                <c:v>12050</c:v>
              </c:pt>
              <c:pt idx="121">
                <c:v>12150</c:v>
              </c:pt>
              <c:pt idx="122">
                <c:v>12250</c:v>
              </c:pt>
              <c:pt idx="123">
                <c:v>12350</c:v>
              </c:pt>
              <c:pt idx="124">
                <c:v>12450</c:v>
              </c:pt>
              <c:pt idx="125">
                <c:v>12550</c:v>
              </c:pt>
              <c:pt idx="126">
                <c:v>12650</c:v>
              </c:pt>
              <c:pt idx="127">
                <c:v>12750</c:v>
              </c:pt>
              <c:pt idx="128">
                <c:v>12850</c:v>
              </c:pt>
              <c:pt idx="129">
                <c:v>12950</c:v>
              </c:pt>
              <c:pt idx="130">
                <c:v>13050</c:v>
              </c:pt>
              <c:pt idx="131">
                <c:v>13150</c:v>
              </c:pt>
              <c:pt idx="132">
                <c:v>13250</c:v>
              </c:pt>
              <c:pt idx="133">
                <c:v>13350</c:v>
              </c:pt>
              <c:pt idx="134">
                <c:v>13450</c:v>
              </c:pt>
              <c:pt idx="135">
                <c:v>13550</c:v>
              </c:pt>
              <c:pt idx="136">
                <c:v>13650</c:v>
              </c:pt>
              <c:pt idx="137">
                <c:v>13750</c:v>
              </c:pt>
              <c:pt idx="138">
                <c:v>13850</c:v>
              </c:pt>
              <c:pt idx="139">
                <c:v>13950</c:v>
              </c:pt>
              <c:pt idx="140">
                <c:v>14050</c:v>
              </c:pt>
              <c:pt idx="141">
                <c:v>14150</c:v>
              </c:pt>
              <c:pt idx="142">
                <c:v>14250</c:v>
              </c:pt>
              <c:pt idx="143">
                <c:v>14350</c:v>
              </c:pt>
              <c:pt idx="144">
                <c:v>14450</c:v>
              </c:pt>
              <c:pt idx="145">
                <c:v>14550</c:v>
              </c:pt>
              <c:pt idx="146">
                <c:v>14650</c:v>
              </c:pt>
              <c:pt idx="147">
                <c:v>14750</c:v>
              </c:pt>
              <c:pt idx="148">
                <c:v>14850</c:v>
              </c:pt>
              <c:pt idx="149">
                <c:v>14950</c:v>
              </c:pt>
              <c:pt idx="150">
                <c:v>15050</c:v>
              </c:pt>
              <c:pt idx="151">
                <c:v>15150</c:v>
              </c:pt>
              <c:pt idx="152">
                <c:v>15250</c:v>
              </c:pt>
              <c:pt idx="153">
                <c:v>15350</c:v>
              </c:pt>
              <c:pt idx="154">
                <c:v>15450</c:v>
              </c:pt>
              <c:pt idx="155">
                <c:v>15550</c:v>
              </c:pt>
              <c:pt idx="156">
                <c:v>15650</c:v>
              </c:pt>
              <c:pt idx="157">
                <c:v>15750</c:v>
              </c:pt>
              <c:pt idx="158">
                <c:v>15850</c:v>
              </c:pt>
              <c:pt idx="159">
                <c:v>15950</c:v>
              </c:pt>
              <c:pt idx="160">
                <c:v>16050</c:v>
              </c:pt>
              <c:pt idx="161">
                <c:v>16150</c:v>
              </c:pt>
              <c:pt idx="162">
                <c:v>16250</c:v>
              </c:pt>
              <c:pt idx="163">
                <c:v>16350</c:v>
              </c:pt>
              <c:pt idx="164">
                <c:v>16450</c:v>
              </c:pt>
              <c:pt idx="165">
                <c:v>16550</c:v>
              </c:pt>
              <c:pt idx="166">
                <c:v>16650</c:v>
              </c:pt>
              <c:pt idx="167">
                <c:v>16750</c:v>
              </c:pt>
              <c:pt idx="168">
                <c:v>16850</c:v>
              </c:pt>
              <c:pt idx="169">
                <c:v>16950</c:v>
              </c:pt>
              <c:pt idx="170">
                <c:v>17050</c:v>
              </c:pt>
              <c:pt idx="171">
                <c:v>17150</c:v>
              </c:pt>
              <c:pt idx="172">
                <c:v>17250</c:v>
              </c:pt>
              <c:pt idx="173">
                <c:v>17350</c:v>
              </c:pt>
              <c:pt idx="174">
                <c:v>17450</c:v>
              </c:pt>
              <c:pt idx="175">
                <c:v>17550</c:v>
              </c:pt>
              <c:pt idx="176">
                <c:v>17650</c:v>
              </c:pt>
              <c:pt idx="177">
                <c:v>17750</c:v>
              </c:pt>
              <c:pt idx="178">
                <c:v>17850</c:v>
              </c:pt>
              <c:pt idx="179">
                <c:v>17950</c:v>
              </c:pt>
              <c:pt idx="180">
                <c:v>18050</c:v>
              </c:pt>
              <c:pt idx="181">
                <c:v>18150</c:v>
              </c:pt>
              <c:pt idx="182">
                <c:v>18250</c:v>
              </c:pt>
              <c:pt idx="183">
                <c:v>18350</c:v>
              </c:pt>
              <c:pt idx="184">
                <c:v>18450</c:v>
              </c:pt>
              <c:pt idx="185">
                <c:v>18550</c:v>
              </c:pt>
              <c:pt idx="186">
                <c:v>18650</c:v>
              </c:pt>
              <c:pt idx="187">
                <c:v>18750</c:v>
              </c:pt>
              <c:pt idx="188">
                <c:v>18850</c:v>
              </c:pt>
              <c:pt idx="189">
                <c:v>18950</c:v>
              </c:pt>
              <c:pt idx="190">
                <c:v>19050</c:v>
              </c:pt>
              <c:pt idx="191">
                <c:v>19150</c:v>
              </c:pt>
              <c:pt idx="192">
                <c:v>19250</c:v>
              </c:pt>
              <c:pt idx="193">
                <c:v>19350</c:v>
              </c:pt>
              <c:pt idx="194">
                <c:v>19450</c:v>
              </c:pt>
              <c:pt idx="195">
                <c:v>19550</c:v>
              </c:pt>
              <c:pt idx="196">
                <c:v>19650</c:v>
              </c:pt>
              <c:pt idx="197">
                <c:v>19750</c:v>
              </c:pt>
              <c:pt idx="198">
                <c:v>19850</c:v>
              </c:pt>
              <c:pt idx="199">
                <c:v>19950</c:v>
              </c:pt>
              <c:pt idx="200">
                <c:v>20050</c:v>
              </c:pt>
              <c:pt idx="201">
                <c:v>20150</c:v>
              </c:pt>
              <c:pt idx="202">
                <c:v>20250</c:v>
              </c:pt>
              <c:pt idx="203">
                <c:v>20350</c:v>
              </c:pt>
              <c:pt idx="204">
                <c:v>20450</c:v>
              </c:pt>
              <c:pt idx="205">
                <c:v>20550</c:v>
              </c:pt>
              <c:pt idx="206">
                <c:v>20650</c:v>
              </c:pt>
              <c:pt idx="207">
                <c:v>20750</c:v>
              </c:pt>
              <c:pt idx="208">
                <c:v>20850</c:v>
              </c:pt>
              <c:pt idx="209">
                <c:v>20950</c:v>
              </c:pt>
              <c:pt idx="210">
                <c:v>21050</c:v>
              </c:pt>
              <c:pt idx="211">
                <c:v>21150</c:v>
              </c:pt>
              <c:pt idx="212">
                <c:v>21250</c:v>
              </c:pt>
              <c:pt idx="213">
                <c:v>21350</c:v>
              </c:pt>
              <c:pt idx="214">
                <c:v>21450</c:v>
              </c:pt>
              <c:pt idx="215">
                <c:v>21550</c:v>
              </c:pt>
              <c:pt idx="216">
                <c:v>21650</c:v>
              </c:pt>
              <c:pt idx="217">
                <c:v>21750</c:v>
              </c:pt>
              <c:pt idx="218">
                <c:v>21850</c:v>
              </c:pt>
              <c:pt idx="219">
                <c:v>21950</c:v>
              </c:pt>
              <c:pt idx="220">
                <c:v>22050</c:v>
              </c:pt>
              <c:pt idx="221">
                <c:v>22150</c:v>
              </c:pt>
              <c:pt idx="222">
                <c:v>22250</c:v>
              </c:pt>
              <c:pt idx="223">
                <c:v>22350</c:v>
              </c:pt>
              <c:pt idx="224">
                <c:v>22450</c:v>
              </c:pt>
              <c:pt idx="225">
                <c:v>22550</c:v>
              </c:pt>
              <c:pt idx="226">
                <c:v>22650</c:v>
              </c:pt>
              <c:pt idx="227">
                <c:v>22750</c:v>
              </c:pt>
              <c:pt idx="228">
                <c:v>22850</c:v>
              </c:pt>
              <c:pt idx="229">
                <c:v>22950</c:v>
              </c:pt>
              <c:pt idx="230">
                <c:v>23050</c:v>
              </c:pt>
              <c:pt idx="231">
                <c:v>23150</c:v>
              </c:pt>
              <c:pt idx="232">
                <c:v>23250</c:v>
              </c:pt>
              <c:pt idx="233">
                <c:v>23350</c:v>
              </c:pt>
              <c:pt idx="234">
                <c:v>23450</c:v>
              </c:pt>
              <c:pt idx="235">
                <c:v>23550</c:v>
              </c:pt>
              <c:pt idx="236">
                <c:v>23650</c:v>
              </c:pt>
              <c:pt idx="237">
                <c:v>23750</c:v>
              </c:pt>
              <c:pt idx="238">
                <c:v>23850</c:v>
              </c:pt>
              <c:pt idx="239">
                <c:v>23950</c:v>
              </c:pt>
              <c:pt idx="240">
                <c:v>24050</c:v>
              </c:pt>
              <c:pt idx="241">
                <c:v>24150</c:v>
              </c:pt>
              <c:pt idx="242">
                <c:v>24250</c:v>
              </c:pt>
              <c:pt idx="243">
                <c:v>24350</c:v>
              </c:pt>
              <c:pt idx="244">
                <c:v>24450</c:v>
              </c:pt>
              <c:pt idx="245">
                <c:v>24550</c:v>
              </c:pt>
              <c:pt idx="246">
                <c:v>24650</c:v>
              </c:pt>
              <c:pt idx="247">
                <c:v>24750</c:v>
              </c:pt>
              <c:pt idx="248">
                <c:v>24850</c:v>
              </c:pt>
              <c:pt idx="249">
                <c:v>24950</c:v>
              </c:pt>
              <c:pt idx="250">
                <c:v>25050</c:v>
              </c:pt>
              <c:pt idx="251">
                <c:v>25150</c:v>
              </c:pt>
              <c:pt idx="252">
                <c:v>25250</c:v>
              </c:pt>
              <c:pt idx="253">
                <c:v>25350</c:v>
              </c:pt>
              <c:pt idx="254">
                <c:v>25450</c:v>
              </c:pt>
              <c:pt idx="255">
                <c:v>25550</c:v>
              </c:pt>
              <c:pt idx="256">
                <c:v>25650</c:v>
              </c:pt>
              <c:pt idx="257">
                <c:v>25750</c:v>
              </c:pt>
              <c:pt idx="258">
                <c:v>25850</c:v>
              </c:pt>
              <c:pt idx="259">
                <c:v>25950</c:v>
              </c:pt>
              <c:pt idx="260">
                <c:v>26050</c:v>
              </c:pt>
              <c:pt idx="261">
                <c:v>26150</c:v>
              </c:pt>
              <c:pt idx="262">
                <c:v>26250</c:v>
              </c:pt>
              <c:pt idx="263">
                <c:v>26350</c:v>
              </c:pt>
              <c:pt idx="264">
                <c:v>26450</c:v>
              </c:pt>
              <c:pt idx="265">
                <c:v>26550</c:v>
              </c:pt>
              <c:pt idx="266">
                <c:v>26650</c:v>
              </c:pt>
              <c:pt idx="267">
                <c:v>26750</c:v>
              </c:pt>
              <c:pt idx="268">
                <c:v>26850</c:v>
              </c:pt>
              <c:pt idx="269">
                <c:v>26950</c:v>
              </c:pt>
              <c:pt idx="270">
                <c:v>27050</c:v>
              </c:pt>
              <c:pt idx="271">
                <c:v>27150</c:v>
              </c:pt>
              <c:pt idx="272">
                <c:v>27250</c:v>
              </c:pt>
              <c:pt idx="273">
                <c:v>27350</c:v>
              </c:pt>
              <c:pt idx="274">
                <c:v>27450</c:v>
              </c:pt>
              <c:pt idx="275">
                <c:v>27550</c:v>
              </c:pt>
              <c:pt idx="276">
                <c:v>27650</c:v>
              </c:pt>
              <c:pt idx="277">
                <c:v>27750</c:v>
              </c:pt>
              <c:pt idx="278">
                <c:v>27850</c:v>
              </c:pt>
              <c:pt idx="279">
                <c:v>27950</c:v>
              </c:pt>
              <c:pt idx="280">
                <c:v>28050</c:v>
              </c:pt>
              <c:pt idx="281">
                <c:v>28150</c:v>
              </c:pt>
              <c:pt idx="282">
                <c:v>28250</c:v>
              </c:pt>
              <c:pt idx="283">
                <c:v>28350</c:v>
              </c:pt>
              <c:pt idx="284">
                <c:v>28450</c:v>
              </c:pt>
              <c:pt idx="285">
                <c:v>28550</c:v>
              </c:pt>
              <c:pt idx="286">
                <c:v>28650</c:v>
              </c:pt>
              <c:pt idx="287">
                <c:v>28750</c:v>
              </c:pt>
              <c:pt idx="288">
                <c:v>28850</c:v>
              </c:pt>
              <c:pt idx="289">
                <c:v>28950</c:v>
              </c:pt>
              <c:pt idx="290">
                <c:v>29050</c:v>
              </c:pt>
              <c:pt idx="291">
                <c:v>29150</c:v>
              </c:pt>
              <c:pt idx="292">
                <c:v>29250</c:v>
              </c:pt>
              <c:pt idx="293">
                <c:v>29350</c:v>
              </c:pt>
              <c:pt idx="294">
                <c:v>29450</c:v>
              </c:pt>
              <c:pt idx="295">
                <c:v>29550</c:v>
              </c:pt>
              <c:pt idx="296">
                <c:v>29650</c:v>
              </c:pt>
              <c:pt idx="297">
                <c:v>29750</c:v>
              </c:pt>
              <c:pt idx="298">
                <c:v>29850</c:v>
              </c:pt>
              <c:pt idx="299">
                <c:v>29950</c:v>
              </c:pt>
              <c:pt idx="300">
                <c:v>30050</c:v>
              </c:pt>
              <c:pt idx="301">
                <c:v>30150</c:v>
              </c:pt>
              <c:pt idx="302">
                <c:v>30250</c:v>
              </c:pt>
              <c:pt idx="303">
                <c:v>30350</c:v>
              </c:pt>
              <c:pt idx="304">
                <c:v>30450</c:v>
              </c:pt>
              <c:pt idx="305">
                <c:v>30550</c:v>
              </c:pt>
              <c:pt idx="306">
                <c:v>30650</c:v>
              </c:pt>
              <c:pt idx="307">
                <c:v>30750</c:v>
              </c:pt>
              <c:pt idx="308">
                <c:v>30850</c:v>
              </c:pt>
              <c:pt idx="309">
                <c:v>30950</c:v>
              </c:pt>
              <c:pt idx="310">
                <c:v>31050</c:v>
              </c:pt>
              <c:pt idx="311">
                <c:v>31150</c:v>
              </c:pt>
              <c:pt idx="312">
                <c:v>31250</c:v>
              </c:pt>
              <c:pt idx="313">
                <c:v>31350</c:v>
              </c:pt>
              <c:pt idx="314">
                <c:v>31450</c:v>
              </c:pt>
              <c:pt idx="315">
                <c:v>31550</c:v>
              </c:pt>
              <c:pt idx="316">
                <c:v>31650</c:v>
              </c:pt>
              <c:pt idx="317">
                <c:v>31750</c:v>
              </c:pt>
              <c:pt idx="318">
                <c:v>31850</c:v>
              </c:pt>
              <c:pt idx="319">
                <c:v>31950</c:v>
              </c:pt>
              <c:pt idx="320">
                <c:v>32050</c:v>
              </c:pt>
              <c:pt idx="321">
                <c:v>32150</c:v>
              </c:pt>
              <c:pt idx="322">
                <c:v>32250</c:v>
              </c:pt>
              <c:pt idx="323">
                <c:v>32350</c:v>
              </c:pt>
              <c:pt idx="324">
                <c:v>32450</c:v>
              </c:pt>
              <c:pt idx="325">
                <c:v>32550</c:v>
              </c:pt>
              <c:pt idx="326">
                <c:v>32650</c:v>
              </c:pt>
              <c:pt idx="327">
                <c:v>32750</c:v>
              </c:pt>
              <c:pt idx="328">
                <c:v>32850</c:v>
              </c:pt>
              <c:pt idx="329">
                <c:v>32950</c:v>
              </c:pt>
              <c:pt idx="330">
                <c:v>33050</c:v>
              </c:pt>
              <c:pt idx="331">
                <c:v>33150</c:v>
              </c:pt>
              <c:pt idx="332">
                <c:v>33250</c:v>
              </c:pt>
              <c:pt idx="333">
                <c:v>33350</c:v>
              </c:pt>
              <c:pt idx="334">
                <c:v>33450</c:v>
              </c:pt>
              <c:pt idx="335">
                <c:v>33550</c:v>
              </c:pt>
              <c:pt idx="336">
                <c:v>33650</c:v>
              </c:pt>
              <c:pt idx="337">
                <c:v>33750</c:v>
              </c:pt>
              <c:pt idx="338">
                <c:v>33850</c:v>
              </c:pt>
              <c:pt idx="339">
                <c:v>33950</c:v>
              </c:pt>
              <c:pt idx="340">
                <c:v>34050</c:v>
              </c:pt>
              <c:pt idx="341">
                <c:v>34150</c:v>
              </c:pt>
              <c:pt idx="342">
                <c:v>34250</c:v>
              </c:pt>
              <c:pt idx="343">
                <c:v>34350</c:v>
              </c:pt>
              <c:pt idx="344">
                <c:v>34450</c:v>
              </c:pt>
              <c:pt idx="345">
                <c:v>34550</c:v>
              </c:pt>
              <c:pt idx="346">
                <c:v>34650</c:v>
              </c:pt>
              <c:pt idx="347">
                <c:v>34750</c:v>
              </c:pt>
              <c:pt idx="348">
                <c:v>34850</c:v>
              </c:pt>
              <c:pt idx="349">
                <c:v>34950</c:v>
              </c:pt>
              <c:pt idx="350">
                <c:v>35050</c:v>
              </c:pt>
              <c:pt idx="351">
                <c:v>35150</c:v>
              </c:pt>
              <c:pt idx="352">
                <c:v>35250</c:v>
              </c:pt>
              <c:pt idx="353">
                <c:v>35350</c:v>
              </c:pt>
              <c:pt idx="354">
                <c:v>35450</c:v>
              </c:pt>
              <c:pt idx="355">
                <c:v>35550</c:v>
              </c:pt>
              <c:pt idx="356">
                <c:v>35650</c:v>
              </c:pt>
              <c:pt idx="357">
                <c:v>35750</c:v>
              </c:pt>
              <c:pt idx="358">
                <c:v>35850</c:v>
              </c:pt>
              <c:pt idx="359">
                <c:v>35950</c:v>
              </c:pt>
              <c:pt idx="360">
                <c:v>36050</c:v>
              </c:pt>
              <c:pt idx="361">
                <c:v>36150</c:v>
              </c:pt>
              <c:pt idx="362">
                <c:v>36250</c:v>
              </c:pt>
              <c:pt idx="363">
                <c:v>36350</c:v>
              </c:pt>
              <c:pt idx="364">
                <c:v>36450</c:v>
              </c:pt>
              <c:pt idx="365">
                <c:v>36550</c:v>
              </c:pt>
              <c:pt idx="366">
                <c:v>36650</c:v>
              </c:pt>
              <c:pt idx="367">
                <c:v>36750</c:v>
              </c:pt>
              <c:pt idx="368">
                <c:v>36850</c:v>
              </c:pt>
              <c:pt idx="369">
                <c:v>36950</c:v>
              </c:pt>
              <c:pt idx="370">
                <c:v>37050</c:v>
              </c:pt>
              <c:pt idx="371">
                <c:v>37150</c:v>
              </c:pt>
              <c:pt idx="372">
                <c:v>37250</c:v>
              </c:pt>
              <c:pt idx="373">
                <c:v>37350</c:v>
              </c:pt>
              <c:pt idx="374">
                <c:v>37450</c:v>
              </c:pt>
              <c:pt idx="375">
                <c:v>37550</c:v>
              </c:pt>
              <c:pt idx="376">
                <c:v>37650</c:v>
              </c:pt>
              <c:pt idx="377">
                <c:v>37750</c:v>
              </c:pt>
              <c:pt idx="378">
                <c:v>37850</c:v>
              </c:pt>
              <c:pt idx="379">
                <c:v>37950</c:v>
              </c:pt>
              <c:pt idx="380">
                <c:v>38050</c:v>
              </c:pt>
              <c:pt idx="381">
                <c:v>38150</c:v>
              </c:pt>
              <c:pt idx="382">
                <c:v>38250</c:v>
              </c:pt>
              <c:pt idx="383">
                <c:v>38350</c:v>
              </c:pt>
              <c:pt idx="384">
                <c:v>38450</c:v>
              </c:pt>
              <c:pt idx="385">
                <c:v>38550</c:v>
              </c:pt>
              <c:pt idx="386">
                <c:v>38650</c:v>
              </c:pt>
              <c:pt idx="387">
                <c:v>38750</c:v>
              </c:pt>
              <c:pt idx="388">
                <c:v>38850</c:v>
              </c:pt>
              <c:pt idx="389">
                <c:v>38950</c:v>
              </c:pt>
              <c:pt idx="390">
                <c:v>39050</c:v>
              </c:pt>
              <c:pt idx="391">
                <c:v>39150</c:v>
              </c:pt>
              <c:pt idx="392">
                <c:v>39250</c:v>
              </c:pt>
              <c:pt idx="393">
                <c:v>39350</c:v>
              </c:pt>
              <c:pt idx="394">
                <c:v>39450</c:v>
              </c:pt>
              <c:pt idx="395">
                <c:v>39550</c:v>
              </c:pt>
              <c:pt idx="396">
                <c:v>39650</c:v>
              </c:pt>
              <c:pt idx="397">
                <c:v>39750</c:v>
              </c:pt>
              <c:pt idx="398">
                <c:v>39850</c:v>
              </c:pt>
              <c:pt idx="399">
                <c:v>39950</c:v>
              </c:pt>
              <c:pt idx="400">
                <c:v>40050</c:v>
              </c:pt>
              <c:pt idx="401">
                <c:v>40150</c:v>
              </c:pt>
              <c:pt idx="402">
                <c:v>40250</c:v>
              </c:pt>
              <c:pt idx="403">
                <c:v>40350</c:v>
              </c:pt>
              <c:pt idx="404">
                <c:v>40450</c:v>
              </c:pt>
              <c:pt idx="405">
                <c:v>40550</c:v>
              </c:pt>
              <c:pt idx="406">
                <c:v>40650</c:v>
              </c:pt>
              <c:pt idx="407">
                <c:v>40750</c:v>
              </c:pt>
              <c:pt idx="408">
                <c:v>40850</c:v>
              </c:pt>
              <c:pt idx="409">
                <c:v>40950</c:v>
              </c:pt>
              <c:pt idx="410">
                <c:v>41050</c:v>
              </c:pt>
              <c:pt idx="411">
                <c:v>41150</c:v>
              </c:pt>
              <c:pt idx="412">
                <c:v>41250</c:v>
              </c:pt>
              <c:pt idx="413">
                <c:v>41350</c:v>
              </c:pt>
              <c:pt idx="414">
                <c:v>41450</c:v>
              </c:pt>
              <c:pt idx="415">
                <c:v>41550</c:v>
              </c:pt>
              <c:pt idx="416">
                <c:v>41650</c:v>
              </c:pt>
              <c:pt idx="417">
                <c:v>41750</c:v>
              </c:pt>
              <c:pt idx="418">
                <c:v>41850</c:v>
              </c:pt>
              <c:pt idx="419">
                <c:v>41950</c:v>
              </c:pt>
              <c:pt idx="420">
                <c:v>42050</c:v>
              </c:pt>
              <c:pt idx="421">
                <c:v>42150</c:v>
              </c:pt>
              <c:pt idx="422">
                <c:v>42250</c:v>
              </c:pt>
              <c:pt idx="423">
                <c:v>42350</c:v>
              </c:pt>
              <c:pt idx="424">
                <c:v>42450</c:v>
              </c:pt>
              <c:pt idx="425">
                <c:v>42550</c:v>
              </c:pt>
              <c:pt idx="426">
                <c:v>42650</c:v>
              </c:pt>
              <c:pt idx="427">
                <c:v>42750</c:v>
              </c:pt>
              <c:pt idx="428">
                <c:v>42850</c:v>
              </c:pt>
              <c:pt idx="429">
                <c:v>42950</c:v>
              </c:pt>
              <c:pt idx="430">
                <c:v>43050</c:v>
              </c:pt>
              <c:pt idx="431">
                <c:v>43150</c:v>
              </c:pt>
              <c:pt idx="432">
                <c:v>43250</c:v>
              </c:pt>
              <c:pt idx="433">
                <c:v>43350</c:v>
              </c:pt>
              <c:pt idx="434">
                <c:v>43450</c:v>
              </c:pt>
              <c:pt idx="435">
                <c:v>43550</c:v>
              </c:pt>
              <c:pt idx="436">
                <c:v>43650</c:v>
              </c:pt>
              <c:pt idx="437">
                <c:v>43750</c:v>
              </c:pt>
              <c:pt idx="438">
                <c:v>43850</c:v>
              </c:pt>
              <c:pt idx="439">
                <c:v>43950</c:v>
              </c:pt>
              <c:pt idx="440">
                <c:v>44050</c:v>
              </c:pt>
              <c:pt idx="441">
                <c:v>44150</c:v>
              </c:pt>
              <c:pt idx="442">
                <c:v>44250</c:v>
              </c:pt>
              <c:pt idx="443">
                <c:v>44350</c:v>
              </c:pt>
              <c:pt idx="444">
                <c:v>44450</c:v>
              </c:pt>
              <c:pt idx="445">
                <c:v>44550</c:v>
              </c:pt>
              <c:pt idx="446">
                <c:v>44650</c:v>
              </c:pt>
              <c:pt idx="447">
                <c:v>44750</c:v>
              </c:pt>
              <c:pt idx="448">
                <c:v>44850</c:v>
              </c:pt>
              <c:pt idx="449">
                <c:v>44950</c:v>
              </c:pt>
              <c:pt idx="450">
                <c:v>45050</c:v>
              </c:pt>
              <c:pt idx="451">
                <c:v>45150</c:v>
              </c:pt>
              <c:pt idx="452">
                <c:v>45250</c:v>
              </c:pt>
              <c:pt idx="453">
                <c:v>45350</c:v>
              </c:pt>
              <c:pt idx="454">
                <c:v>45450</c:v>
              </c:pt>
              <c:pt idx="455">
                <c:v>45550</c:v>
              </c:pt>
              <c:pt idx="456">
                <c:v>45650</c:v>
              </c:pt>
              <c:pt idx="457">
                <c:v>45750</c:v>
              </c:pt>
              <c:pt idx="458">
                <c:v>45850</c:v>
              </c:pt>
              <c:pt idx="459">
                <c:v>45950</c:v>
              </c:pt>
              <c:pt idx="460">
                <c:v>46050</c:v>
              </c:pt>
              <c:pt idx="461">
                <c:v>46150</c:v>
              </c:pt>
              <c:pt idx="462">
                <c:v>46250</c:v>
              </c:pt>
              <c:pt idx="463">
                <c:v>46350</c:v>
              </c:pt>
              <c:pt idx="464">
                <c:v>46450</c:v>
              </c:pt>
              <c:pt idx="465">
                <c:v>46550</c:v>
              </c:pt>
              <c:pt idx="466">
                <c:v>46650</c:v>
              </c:pt>
              <c:pt idx="467">
                <c:v>46750</c:v>
              </c:pt>
              <c:pt idx="468">
                <c:v>46850</c:v>
              </c:pt>
              <c:pt idx="469">
                <c:v>46950</c:v>
              </c:pt>
              <c:pt idx="470">
                <c:v>47050</c:v>
              </c:pt>
              <c:pt idx="471">
                <c:v>47150</c:v>
              </c:pt>
              <c:pt idx="472">
                <c:v>47250</c:v>
              </c:pt>
              <c:pt idx="473">
                <c:v>47350</c:v>
              </c:pt>
              <c:pt idx="474">
                <c:v>47450</c:v>
              </c:pt>
              <c:pt idx="475">
                <c:v>47550</c:v>
              </c:pt>
              <c:pt idx="476">
                <c:v>47650</c:v>
              </c:pt>
              <c:pt idx="477">
                <c:v>47750</c:v>
              </c:pt>
              <c:pt idx="478">
                <c:v>47850</c:v>
              </c:pt>
              <c:pt idx="479">
                <c:v>47950</c:v>
              </c:pt>
              <c:pt idx="480">
                <c:v>48050</c:v>
              </c:pt>
              <c:pt idx="481">
                <c:v>48150</c:v>
              </c:pt>
              <c:pt idx="482">
                <c:v>48250</c:v>
              </c:pt>
              <c:pt idx="483">
                <c:v>48350</c:v>
              </c:pt>
              <c:pt idx="484">
                <c:v>48450</c:v>
              </c:pt>
              <c:pt idx="485">
                <c:v>48550</c:v>
              </c:pt>
              <c:pt idx="486">
                <c:v>48650</c:v>
              </c:pt>
              <c:pt idx="487">
                <c:v>48750</c:v>
              </c:pt>
              <c:pt idx="488">
                <c:v>48850</c:v>
              </c:pt>
              <c:pt idx="489">
                <c:v>48950</c:v>
              </c:pt>
              <c:pt idx="490">
                <c:v>49050</c:v>
              </c:pt>
              <c:pt idx="491">
                <c:v>49150</c:v>
              </c:pt>
              <c:pt idx="492">
                <c:v>49250</c:v>
              </c:pt>
              <c:pt idx="493">
                <c:v>49350</c:v>
              </c:pt>
              <c:pt idx="494">
                <c:v>49450</c:v>
              </c:pt>
              <c:pt idx="495">
                <c:v>49550</c:v>
              </c:pt>
              <c:pt idx="496">
                <c:v>49650</c:v>
              </c:pt>
              <c:pt idx="497">
                <c:v>49750</c:v>
              </c:pt>
              <c:pt idx="498">
                <c:v>49850</c:v>
              </c:pt>
              <c:pt idx="499">
                <c:v>49950</c:v>
              </c:pt>
              <c:pt idx="500">
                <c:v>50050</c:v>
              </c:pt>
              <c:pt idx="501">
                <c:v>50150</c:v>
              </c:pt>
              <c:pt idx="502">
                <c:v>50250</c:v>
              </c:pt>
              <c:pt idx="503">
                <c:v>50350</c:v>
              </c:pt>
              <c:pt idx="504">
                <c:v>50450</c:v>
              </c:pt>
              <c:pt idx="505">
                <c:v>50550</c:v>
              </c:pt>
              <c:pt idx="506">
                <c:v>50650</c:v>
              </c:pt>
              <c:pt idx="507">
                <c:v>50750</c:v>
              </c:pt>
              <c:pt idx="508">
                <c:v>50850</c:v>
              </c:pt>
              <c:pt idx="509">
                <c:v>50950</c:v>
              </c:pt>
              <c:pt idx="510">
                <c:v>51050</c:v>
              </c:pt>
              <c:pt idx="511">
                <c:v>51150</c:v>
              </c:pt>
              <c:pt idx="512">
                <c:v>51250</c:v>
              </c:pt>
              <c:pt idx="513">
                <c:v>51350</c:v>
              </c:pt>
              <c:pt idx="514">
                <c:v>51450</c:v>
              </c:pt>
              <c:pt idx="515">
                <c:v>51550</c:v>
              </c:pt>
              <c:pt idx="516">
                <c:v>51650</c:v>
              </c:pt>
              <c:pt idx="517">
                <c:v>51750</c:v>
              </c:pt>
              <c:pt idx="518">
                <c:v>51850</c:v>
              </c:pt>
              <c:pt idx="519">
                <c:v>51950</c:v>
              </c:pt>
              <c:pt idx="520">
                <c:v>52050</c:v>
              </c:pt>
              <c:pt idx="521">
                <c:v>52150</c:v>
              </c:pt>
              <c:pt idx="522">
                <c:v>52250</c:v>
              </c:pt>
              <c:pt idx="523">
                <c:v>52350</c:v>
              </c:pt>
              <c:pt idx="524">
                <c:v>52450</c:v>
              </c:pt>
              <c:pt idx="525">
                <c:v>52550</c:v>
              </c:pt>
              <c:pt idx="526">
                <c:v>52650</c:v>
              </c:pt>
              <c:pt idx="527">
                <c:v>52750</c:v>
              </c:pt>
              <c:pt idx="528">
                <c:v>52850</c:v>
              </c:pt>
              <c:pt idx="529">
                <c:v>52950</c:v>
              </c:pt>
              <c:pt idx="530">
                <c:v>53050</c:v>
              </c:pt>
              <c:pt idx="531">
                <c:v>53150</c:v>
              </c:pt>
              <c:pt idx="532">
                <c:v>53250</c:v>
              </c:pt>
              <c:pt idx="533">
                <c:v>53350</c:v>
              </c:pt>
              <c:pt idx="534">
                <c:v>53450</c:v>
              </c:pt>
              <c:pt idx="535">
                <c:v>53550</c:v>
              </c:pt>
              <c:pt idx="536">
                <c:v>53650</c:v>
              </c:pt>
              <c:pt idx="537">
                <c:v>53750</c:v>
              </c:pt>
              <c:pt idx="538">
                <c:v>53850</c:v>
              </c:pt>
              <c:pt idx="539">
                <c:v>53950</c:v>
              </c:pt>
            </c:numLit>
          </c:cat>
          <c:val>
            <c:numRef>
              <c:f>CEASimulation!$S$11:$S$611</c:f>
              <c:numCache>
                <c:formatCode>General</c:formatCode>
                <c:ptCount val="601"/>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pt idx="70">
                  <c:v>0</c:v>
                </c:pt>
                <c:pt idx="71">
                  <c:v>0</c:v>
                </c:pt>
                <c:pt idx="72">
                  <c:v>0</c:v>
                </c:pt>
                <c:pt idx="73">
                  <c:v>0</c:v>
                </c:pt>
                <c:pt idx="74">
                  <c:v>0</c:v>
                </c:pt>
                <c:pt idx="75">
                  <c:v>0</c:v>
                </c:pt>
                <c:pt idx="76">
                  <c:v>0</c:v>
                </c:pt>
                <c:pt idx="77">
                  <c:v>0</c:v>
                </c:pt>
                <c:pt idx="78">
                  <c:v>0</c:v>
                </c:pt>
                <c:pt idx="79">
                  <c:v>0</c:v>
                </c:pt>
                <c:pt idx="80">
                  <c:v>0</c:v>
                </c:pt>
                <c:pt idx="81">
                  <c:v>0</c:v>
                </c:pt>
                <c:pt idx="82">
                  <c:v>0</c:v>
                </c:pt>
                <c:pt idx="83">
                  <c:v>0</c:v>
                </c:pt>
                <c:pt idx="84">
                  <c:v>0</c:v>
                </c:pt>
                <c:pt idx="85">
                  <c:v>0</c:v>
                </c:pt>
                <c:pt idx="86">
                  <c:v>0</c:v>
                </c:pt>
                <c:pt idx="87">
                  <c:v>0</c:v>
                </c:pt>
                <c:pt idx="88">
                  <c:v>0</c:v>
                </c:pt>
                <c:pt idx="89">
                  <c:v>0</c:v>
                </c:pt>
                <c:pt idx="90">
                  <c:v>0</c:v>
                </c:pt>
                <c:pt idx="91">
                  <c:v>0</c:v>
                </c:pt>
                <c:pt idx="92">
                  <c:v>0</c:v>
                </c:pt>
                <c:pt idx="93">
                  <c:v>0</c:v>
                </c:pt>
                <c:pt idx="94">
                  <c:v>0</c:v>
                </c:pt>
                <c:pt idx="95">
                  <c:v>0</c:v>
                </c:pt>
                <c:pt idx="96">
                  <c:v>0</c:v>
                </c:pt>
                <c:pt idx="97">
                  <c:v>0</c:v>
                </c:pt>
                <c:pt idx="98">
                  <c:v>0</c:v>
                </c:pt>
                <c:pt idx="99">
                  <c:v>0</c:v>
                </c:pt>
                <c:pt idx="100">
                  <c:v>0</c:v>
                </c:pt>
                <c:pt idx="101">
                  <c:v>0</c:v>
                </c:pt>
                <c:pt idx="102">
                  <c:v>0</c:v>
                </c:pt>
                <c:pt idx="103">
                  <c:v>0</c:v>
                </c:pt>
                <c:pt idx="104">
                  <c:v>0</c:v>
                </c:pt>
                <c:pt idx="105">
                  <c:v>0</c:v>
                </c:pt>
                <c:pt idx="106">
                  <c:v>0</c:v>
                </c:pt>
                <c:pt idx="107">
                  <c:v>0</c:v>
                </c:pt>
                <c:pt idx="108">
                  <c:v>0</c:v>
                </c:pt>
                <c:pt idx="109">
                  <c:v>0</c:v>
                </c:pt>
                <c:pt idx="110">
                  <c:v>0</c:v>
                </c:pt>
                <c:pt idx="111">
                  <c:v>0</c:v>
                </c:pt>
                <c:pt idx="112">
                  <c:v>0</c:v>
                </c:pt>
                <c:pt idx="113">
                  <c:v>0</c:v>
                </c:pt>
                <c:pt idx="114">
                  <c:v>0</c:v>
                </c:pt>
                <c:pt idx="115">
                  <c:v>0</c:v>
                </c:pt>
                <c:pt idx="116">
                  <c:v>0</c:v>
                </c:pt>
                <c:pt idx="117">
                  <c:v>0</c:v>
                </c:pt>
                <c:pt idx="118">
                  <c:v>0</c:v>
                </c:pt>
                <c:pt idx="119">
                  <c:v>0</c:v>
                </c:pt>
                <c:pt idx="120">
                  <c:v>0</c:v>
                </c:pt>
                <c:pt idx="121">
                  <c:v>0</c:v>
                </c:pt>
                <c:pt idx="122">
                  <c:v>0</c:v>
                </c:pt>
                <c:pt idx="123">
                  <c:v>0</c:v>
                </c:pt>
                <c:pt idx="124">
                  <c:v>0</c:v>
                </c:pt>
                <c:pt idx="125">
                  <c:v>0</c:v>
                </c:pt>
                <c:pt idx="126">
                  <c:v>0</c:v>
                </c:pt>
                <c:pt idx="127">
                  <c:v>0</c:v>
                </c:pt>
                <c:pt idx="128">
                  <c:v>0</c:v>
                </c:pt>
                <c:pt idx="129">
                  <c:v>0</c:v>
                </c:pt>
                <c:pt idx="130">
                  <c:v>0</c:v>
                </c:pt>
                <c:pt idx="131">
                  <c:v>0</c:v>
                </c:pt>
                <c:pt idx="132">
                  <c:v>0</c:v>
                </c:pt>
                <c:pt idx="133">
                  <c:v>0</c:v>
                </c:pt>
                <c:pt idx="134">
                  <c:v>0</c:v>
                </c:pt>
                <c:pt idx="135">
                  <c:v>0</c:v>
                </c:pt>
                <c:pt idx="136">
                  <c:v>0</c:v>
                </c:pt>
                <c:pt idx="137">
                  <c:v>0</c:v>
                </c:pt>
                <c:pt idx="138">
                  <c:v>0</c:v>
                </c:pt>
                <c:pt idx="139">
                  <c:v>0</c:v>
                </c:pt>
                <c:pt idx="140">
                  <c:v>0</c:v>
                </c:pt>
                <c:pt idx="141">
                  <c:v>0</c:v>
                </c:pt>
                <c:pt idx="142">
                  <c:v>0</c:v>
                </c:pt>
                <c:pt idx="143">
                  <c:v>0</c:v>
                </c:pt>
                <c:pt idx="144">
                  <c:v>0</c:v>
                </c:pt>
                <c:pt idx="145">
                  <c:v>0</c:v>
                </c:pt>
                <c:pt idx="146">
                  <c:v>0</c:v>
                </c:pt>
                <c:pt idx="147">
                  <c:v>0</c:v>
                </c:pt>
                <c:pt idx="148">
                  <c:v>0</c:v>
                </c:pt>
                <c:pt idx="149">
                  <c:v>0</c:v>
                </c:pt>
                <c:pt idx="150">
                  <c:v>0</c:v>
                </c:pt>
                <c:pt idx="151">
                  <c:v>0</c:v>
                </c:pt>
                <c:pt idx="152">
                  <c:v>0</c:v>
                </c:pt>
                <c:pt idx="153">
                  <c:v>0</c:v>
                </c:pt>
                <c:pt idx="154">
                  <c:v>0</c:v>
                </c:pt>
                <c:pt idx="155">
                  <c:v>0</c:v>
                </c:pt>
                <c:pt idx="156">
                  <c:v>0</c:v>
                </c:pt>
                <c:pt idx="157">
                  <c:v>0</c:v>
                </c:pt>
                <c:pt idx="158">
                  <c:v>0</c:v>
                </c:pt>
                <c:pt idx="159">
                  <c:v>0</c:v>
                </c:pt>
                <c:pt idx="160">
                  <c:v>0</c:v>
                </c:pt>
                <c:pt idx="161">
                  <c:v>0</c:v>
                </c:pt>
                <c:pt idx="162">
                  <c:v>0</c:v>
                </c:pt>
                <c:pt idx="163">
                  <c:v>0</c:v>
                </c:pt>
                <c:pt idx="164">
                  <c:v>0</c:v>
                </c:pt>
                <c:pt idx="165">
                  <c:v>0</c:v>
                </c:pt>
                <c:pt idx="166">
                  <c:v>0</c:v>
                </c:pt>
                <c:pt idx="167">
                  <c:v>0</c:v>
                </c:pt>
                <c:pt idx="168">
                  <c:v>0</c:v>
                </c:pt>
                <c:pt idx="169">
                  <c:v>0</c:v>
                </c:pt>
                <c:pt idx="170">
                  <c:v>0</c:v>
                </c:pt>
                <c:pt idx="171">
                  <c:v>0</c:v>
                </c:pt>
                <c:pt idx="172">
                  <c:v>0</c:v>
                </c:pt>
                <c:pt idx="173">
                  <c:v>0</c:v>
                </c:pt>
                <c:pt idx="174">
                  <c:v>0</c:v>
                </c:pt>
                <c:pt idx="175">
                  <c:v>0</c:v>
                </c:pt>
                <c:pt idx="176">
                  <c:v>0</c:v>
                </c:pt>
                <c:pt idx="177">
                  <c:v>0</c:v>
                </c:pt>
                <c:pt idx="178">
                  <c:v>0</c:v>
                </c:pt>
                <c:pt idx="179">
                  <c:v>0</c:v>
                </c:pt>
                <c:pt idx="180">
                  <c:v>0</c:v>
                </c:pt>
                <c:pt idx="181">
                  <c:v>0</c:v>
                </c:pt>
                <c:pt idx="182">
                  <c:v>0</c:v>
                </c:pt>
                <c:pt idx="183">
                  <c:v>0</c:v>
                </c:pt>
                <c:pt idx="184">
                  <c:v>0</c:v>
                </c:pt>
                <c:pt idx="185">
                  <c:v>0</c:v>
                </c:pt>
                <c:pt idx="186">
                  <c:v>0</c:v>
                </c:pt>
                <c:pt idx="187">
                  <c:v>0</c:v>
                </c:pt>
                <c:pt idx="188">
                  <c:v>0</c:v>
                </c:pt>
                <c:pt idx="189">
                  <c:v>0</c:v>
                </c:pt>
                <c:pt idx="190">
                  <c:v>0</c:v>
                </c:pt>
                <c:pt idx="191">
                  <c:v>0</c:v>
                </c:pt>
                <c:pt idx="192">
                  <c:v>0</c:v>
                </c:pt>
                <c:pt idx="193">
                  <c:v>0</c:v>
                </c:pt>
                <c:pt idx="194">
                  <c:v>0</c:v>
                </c:pt>
                <c:pt idx="195">
                  <c:v>0</c:v>
                </c:pt>
                <c:pt idx="196">
                  <c:v>0</c:v>
                </c:pt>
                <c:pt idx="197">
                  <c:v>0</c:v>
                </c:pt>
                <c:pt idx="198">
                  <c:v>0</c:v>
                </c:pt>
                <c:pt idx="199">
                  <c:v>0</c:v>
                </c:pt>
                <c:pt idx="200">
                  <c:v>0</c:v>
                </c:pt>
                <c:pt idx="201">
                  <c:v>0</c:v>
                </c:pt>
                <c:pt idx="202">
                  <c:v>0</c:v>
                </c:pt>
                <c:pt idx="203">
                  <c:v>0</c:v>
                </c:pt>
                <c:pt idx="204">
                  <c:v>0</c:v>
                </c:pt>
                <c:pt idx="205">
                  <c:v>0</c:v>
                </c:pt>
                <c:pt idx="206">
                  <c:v>0</c:v>
                </c:pt>
                <c:pt idx="207">
                  <c:v>0</c:v>
                </c:pt>
                <c:pt idx="208">
                  <c:v>0</c:v>
                </c:pt>
                <c:pt idx="209">
                  <c:v>0</c:v>
                </c:pt>
                <c:pt idx="210">
                  <c:v>0</c:v>
                </c:pt>
                <c:pt idx="211">
                  <c:v>0</c:v>
                </c:pt>
                <c:pt idx="212">
                  <c:v>0</c:v>
                </c:pt>
                <c:pt idx="213">
                  <c:v>0</c:v>
                </c:pt>
                <c:pt idx="214">
                  <c:v>0</c:v>
                </c:pt>
                <c:pt idx="215">
                  <c:v>0</c:v>
                </c:pt>
                <c:pt idx="216">
                  <c:v>0</c:v>
                </c:pt>
                <c:pt idx="217">
                  <c:v>0</c:v>
                </c:pt>
                <c:pt idx="218">
                  <c:v>0</c:v>
                </c:pt>
                <c:pt idx="219">
                  <c:v>0</c:v>
                </c:pt>
                <c:pt idx="220">
                  <c:v>0</c:v>
                </c:pt>
                <c:pt idx="221">
                  <c:v>0</c:v>
                </c:pt>
                <c:pt idx="222">
                  <c:v>0</c:v>
                </c:pt>
                <c:pt idx="223">
                  <c:v>0</c:v>
                </c:pt>
                <c:pt idx="224">
                  <c:v>0</c:v>
                </c:pt>
                <c:pt idx="225">
                  <c:v>0</c:v>
                </c:pt>
                <c:pt idx="226">
                  <c:v>0</c:v>
                </c:pt>
                <c:pt idx="227">
                  <c:v>0</c:v>
                </c:pt>
                <c:pt idx="228">
                  <c:v>0</c:v>
                </c:pt>
                <c:pt idx="229">
                  <c:v>0</c:v>
                </c:pt>
                <c:pt idx="230">
                  <c:v>0</c:v>
                </c:pt>
                <c:pt idx="231">
                  <c:v>0</c:v>
                </c:pt>
                <c:pt idx="232">
                  <c:v>0</c:v>
                </c:pt>
                <c:pt idx="233">
                  <c:v>0</c:v>
                </c:pt>
                <c:pt idx="234">
                  <c:v>0</c:v>
                </c:pt>
                <c:pt idx="235">
                  <c:v>0</c:v>
                </c:pt>
                <c:pt idx="236">
                  <c:v>0</c:v>
                </c:pt>
                <c:pt idx="237">
                  <c:v>0</c:v>
                </c:pt>
                <c:pt idx="238">
                  <c:v>0</c:v>
                </c:pt>
                <c:pt idx="239">
                  <c:v>0</c:v>
                </c:pt>
                <c:pt idx="240">
                  <c:v>0</c:v>
                </c:pt>
                <c:pt idx="241">
                  <c:v>0</c:v>
                </c:pt>
                <c:pt idx="242">
                  <c:v>0</c:v>
                </c:pt>
                <c:pt idx="243">
                  <c:v>0</c:v>
                </c:pt>
                <c:pt idx="244">
                  <c:v>0</c:v>
                </c:pt>
                <c:pt idx="245">
                  <c:v>0</c:v>
                </c:pt>
                <c:pt idx="246">
                  <c:v>0</c:v>
                </c:pt>
                <c:pt idx="247">
                  <c:v>0</c:v>
                </c:pt>
                <c:pt idx="248">
                  <c:v>0</c:v>
                </c:pt>
                <c:pt idx="249">
                  <c:v>0</c:v>
                </c:pt>
                <c:pt idx="250">
                  <c:v>0</c:v>
                </c:pt>
                <c:pt idx="251">
                  <c:v>0</c:v>
                </c:pt>
                <c:pt idx="252">
                  <c:v>0</c:v>
                </c:pt>
                <c:pt idx="253">
                  <c:v>0</c:v>
                </c:pt>
                <c:pt idx="254">
                  <c:v>0</c:v>
                </c:pt>
                <c:pt idx="255">
                  <c:v>0</c:v>
                </c:pt>
                <c:pt idx="256">
                  <c:v>0</c:v>
                </c:pt>
                <c:pt idx="257">
                  <c:v>0</c:v>
                </c:pt>
                <c:pt idx="258">
                  <c:v>0</c:v>
                </c:pt>
                <c:pt idx="259">
                  <c:v>0</c:v>
                </c:pt>
                <c:pt idx="260">
                  <c:v>0</c:v>
                </c:pt>
                <c:pt idx="261">
                  <c:v>0</c:v>
                </c:pt>
                <c:pt idx="262">
                  <c:v>0</c:v>
                </c:pt>
                <c:pt idx="263">
                  <c:v>0</c:v>
                </c:pt>
                <c:pt idx="264">
                  <c:v>0</c:v>
                </c:pt>
                <c:pt idx="265">
                  <c:v>0</c:v>
                </c:pt>
                <c:pt idx="266">
                  <c:v>0</c:v>
                </c:pt>
                <c:pt idx="267">
                  <c:v>0</c:v>
                </c:pt>
                <c:pt idx="268">
                  <c:v>0</c:v>
                </c:pt>
                <c:pt idx="269">
                  <c:v>0</c:v>
                </c:pt>
                <c:pt idx="270">
                  <c:v>0</c:v>
                </c:pt>
                <c:pt idx="271">
                  <c:v>0</c:v>
                </c:pt>
                <c:pt idx="272">
                  <c:v>0</c:v>
                </c:pt>
                <c:pt idx="273">
                  <c:v>0</c:v>
                </c:pt>
                <c:pt idx="274">
                  <c:v>0</c:v>
                </c:pt>
                <c:pt idx="275">
                  <c:v>0</c:v>
                </c:pt>
                <c:pt idx="276">
                  <c:v>0</c:v>
                </c:pt>
                <c:pt idx="277">
                  <c:v>0</c:v>
                </c:pt>
                <c:pt idx="278">
                  <c:v>0</c:v>
                </c:pt>
                <c:pt idx="279">
                  <c:v>0</c:v>
                </c:pt>
                <c:pt idx="280">
                  <c:v>0</c:v>
                </c:pt>
                <c:pt idx="281">
                  <c:v>0</c:v>
                </c:pt>
                <c:pt idx="282">
                  <c:v>0</c:v>
                </c:pt>
                <c:pt idx="283">
                  <c:v>0</c:v>
                </c:pt>
                <c:pt idx="284">
                  <c:v>0</c:v>
                </c:pt>
                <c:pt idx="285">
                  <c:v>0</c:v>
                </c:pt>
                <c:pt idx="286">
                  <c:v>0</c:v>
                </c:pt>
                <c:pt idx="287">
                  <c:v>0</c:v>
                </c:pt>
                <c:pt idx="288">
                  <c:v>0</c:v>
                </c:pt>
                <c:pt idx="289">
                  <c:v>0</c:v>
                </c:pt>
                <c:pt idx="290">
                  <c:v>0</c:v>
                </c:pt>
                <c:pt idx="291">
                  <c:v>0</c:v>
                </c:pt>
                <c:pt idx="292">
                  <c:v>0</c:v>
                </c:pt>
                <c:pt idx="293">
                  <c:v>0</c:v>
                </c:pt>
                <c:pt idx="294">
                  <c:v>0</c:v>
                </c:pt>
                <c:pt idx="295">
                  <c:v>0</c:v>
                </c:pt>
                <c:pt idx="296">
                  <c:v>0</c:v>
                </c:pt>
                <c:pt idx="297">
                  <c:v>0</c:v>
                </c:pt>
                <c:pt idx="298">
                  <c:v>0</c:v>
                </c:pt>
                <c:pt idx="299">
                  <c:v>0</c:v>
                </c:pt>
                <c:pt idx="300">
                  <c:v>0</c:v>
                </c:pt>
                <c:pt idx="301">
                  <c:v>0</c:v>
                </c:pt>
                <c:pt idx="302">
                  <c:v>0</c:v>
                </c:pt>
                <c:pt idx="303">
                  <c:v>0</c:v>
                </c:pt>
                <c:pt idx="304">
                  <c:v>0</c:v>
                </c:pt>
                <c:pt idx="305">
                  <c:v>0</c:v>
                </c:pt>
                <c:pt idx="306">
                  <c:v>0</c:v>
                </c:pt>
                <c:pt idx="307">
                  <c:v>0</c:v>
                </c:pt>
                <c:pt idx="308">
                  <c:v>0</c:v>
                </c:pt>
                <c:pt idx="309">
                  <c:v>0</c:v>
                </c:pt>
                <c:pt idx="310">
                  <c:v>0</c:v>
                </c:pt>
                <c:pt idx="311">
                  <c:v>0</c:v>
                </c:pt>
                <c:pt idx="312">
                  <c:v>0</c:v>
                </c:pt>
                <c:pt idx="313">
                  <c:v>0</c:v>
                </c:pt>
                <c:pt idx="314">
                  <c:v>0</c:v>
                </c:pt>
                <c:pt idx="315">
                  <c:v>0</c:v>
                </c:pt>
                <c:pt idx="316">
                  <c:v>0</c:v>
                </c:pt>
                <c:pt idx="317">
                  <c:v>0</c:v>
                </c:pt>
                <c:pt idx="318">
                  <c:v>0</c:v>
                </c:pt>
                <c:pt idx="319">
                  <c:v>0</c:v>
                </c:pt>
                <c:pt idx="320">
                  <c:v>0</c:v>
                </c:pt>
                <c:pt idx="321">
                  <c:v>0</c:v>
                </c:pt>
                <c:pt idx="322">
                  <c:v>0</c:v>
                </c:pt>
                <c:pt idx="323">
                  <c:v>0</c:v>
                </c:pt>
                <c:pt idx="324">
                  <c:v>0</c:v>
                </c:pt>
                <c:pt idx="325">
                  <c:v>0</c:v>
                </c:pt>
                <c:pt idx="326">
                  <c:v>0</c:v>
                </c:pt>
                <c:pt idx="327">
                  <c:v>0</c:v>
                </c:pt>
                <c:pt idx="328">
                  <c:v>0</c:v>
                </c:pt>
                <c:pt idx="329">
                  <c:v>0</c:v>
                </c:pt>
                <c:pt idx="330">
                  <c:v>0</c:v>
                </c:pt>
                <c:pt idx="331">
                  <c:v>0</c:v>
                </c:pt>
                <c:pt idx="332">
                  <c:v>0</c:v>
                </c:pt>
                <c:pt idx="333">
                  <c:v>0</c:v>
                </c:pt>
                <c:pt idx="334">
                  <c:v>0</c:v>
                </c:pt>
                <c:pt idx="335">
                  <c:v>0</c:v>
                </c:pt>
                <c:pt idx="336">
                  <c:v>0</c:v>
                </c:pt>
                <c:pt idx="337">
                  <c:v>0</c:v>
                </c:pt>
                <c:pt idx="338">
                  <c:v>0</c:v>
                </c:pt>
                <c:pt idx="339">
                  <c:v>0</c:v>
                </c:pt>
                <c:pt idx="340">
                  <c:v>0</c:v>
                </c:pt>
                <c:pt idx="341">
                  <c:v>0</c:v>
                </c:pt>
                <c:pt idx="342">
                  <c:v>0</c:v>
                </c:pt>
                <c:pt idx="343">
                  <c:v>0</c:v>
                </c:pt>
                <c:pt idx="344">
                  <c:v>0</c:v>
                </c:pt>
                <c:pt idx="345">
                  <c:v>0</c:v>
                </c:pt>
                <c:pt idx="346">
                  <c:v>0</c:v>
                </c:pt>
                <c:pt idx="347">
                  <c:v>0</c:v>
                </c:pt>
                <c:pt idx="348">
                  <c:v>0</c:v>
                </c:pt>
                <c:pt idx="349">
                  <c:v>0</c:v>
                </c:pt>
                <c:pt idx="350">
                  <c:v>0</c:v>
                </c:pt>
                <c:pt idx="351">
                  <c:v>0</c:v>
                </c:pt>
                <c:pt idx="352">
                  <c:v>0</c:v>
                </c:pt>
                <c:pt idx="353">
                  <c:v>0</c:v>
                </c:pt>
                <c:pt idx="354">
                  <c:v>0</c:v>
                </c:pt>
                <c:pt idx="355">
                  <c:v>0</c:v>
                </c:pt>
                <c:pt idx="356">
                  <c:v>0</c:v>
                </c:pt>
                <c:pt idx="357">
                  <c:v>0</c:v>
                </c:pt>
                <c:pt idx="358">
                  <c:v>0</c:v>
                </c:pt>
                <c:pt idx="359">
                  <c:v>0</c:v>
                </c:pt>
                <c:pt idx="360">
                  <c:v>0</c:v>
                </c:pt>
                <c:pt idx="361">
                  <c:v>0</c:v>
                </c:pt>
                <c:pt idx="362">
                  <c:v>0</c:v>
                </c:pt>
                <c:pt idx="363">
                  <c:v>0</c:v>
                </c:pt>
                <c:pt idx="364">
                  <c:v>0</c:v>
                </c:pt>
                <c:pt idx="365">
                  <c:v>0</c:v>
                </c:pt>
                <c:pt idx="366">
                  <c:v>0</c:v>
                </c:pt>
                <c:pt idx="367">
                  <c:v>0</c:v>
                </c:pt>
                <c:pt idx="368">
                  <c:v>0</c:v>
                </c:pt>
                <c:pt idx="369">
                  <c:v>0</c:v>
                </c:pt>
                <c:pt idx="370">
                  <c:v>0</c:v>
                </c:pt>
                <c:pt idx="371">
                  <c:v>0</c:v>
                </c:pt>
                <c:pt idx="372">
                  <c:v>0</c:v>
                </c:pt>
                <c:pt idx="373">
                  <c:v>0</c:v>
                </c:pt>
                <c:pt idx="374">
                  <c:v>0</c:v>
                </c:pt>
                <c:pt idx="375">
                  <c:v>0</c:v>
                </c:pt>
                <c:pt idx="376">
                  <c:v>0</c:v>
                </c:pt>
                <c:pt idx="377">
                  <c:v>0</c:v>
                </c:pt>
                <c:pt idx="378">
                  <c:v>0</c:v>
                </c:pt>
                <c:pt idx="379">
                  <c:v>0</c:v>
                </c:pt>
                <c:pt idx="380">
                  <c:v>0</c:v>
                </c:pt>
                <c:pt idx="381">
                  <c:v>0</c:v>
                </c:pt>
                <c:pt idx="382">
                  <c:v>0</c:v>
                </c:pt>
                <c:pt idx="383">
                  <c:v>0</c:v>
                </c:pt>
                <c:pt idx="384">
                  <c:v>0</c:v>
                </c:pt>
                <c:pt idx="385">
                  <c:v>0</c:v>
                </c:pt>
                <c:pt idx="386">
                  <c:v>0</c:v>
                </c:pt>
                <c:pt idx="387">
                  <c:v>0</c:v>
                </c:pt>
                <c:pt idx="388">
                  <c:v>0</c:v>
                </c:pt>
                <c:pt idx="389">
                  <c:v>0</c:v>
                </c:pt>
                <c:pt idx="390">
                  <c:v>0</c:v>
                </c:pt>
                <c:pt idx="391">
                  <c:v>0</c:v>
                </c:pt>
                <c:pt idx="392">
                  <c:v>0</c:v>
                </c:pt>
                <c:pt idx="393">
                  <c:v>0</c:v>
                </c:pt>
                <c:pt idx="394">
                  <c:v>0</c:v>
                </c:pt>
                <c:pt idx="395">
                  <c:v>0</c:v>
                </c:pt>
                <c:pt idx="396">
                  <c:v>0</c:v>
                </c:pt>
                <c:pt idx="397">
                  <c:v>0</c:v>
                </c:pt>
                <c:pt idx="398">
                  <c:v>0</c:v>
                </c:pt>
                <c:pt idx="399">
                  <c:v>0</c:v>
                </c:pt>
                <c:pt idx="400">
                  <c:v>0</c:v>
                </c:pt>
                <c:pt idx="401">
                  <c:v>0</c:v>
                </c:pt>
                <c:pt idx="402">
                  <c:v>0</c:v>
                </c:pt>
                <c:pt idx="403">
                  <c:v>0</c:v>
                </c:pt>
                <c:pt idx="404">
                  <c:v>0</c:v>
                </c:pt>
                <c:pt idx="405">
                  <c:v>0</c:v>
                </c:pt>
                <c:pt idx="406">
                  <c:v>0</c:v>
                </c:pt>
                <c:pt idx="407">
                  <c:v>0</c:v>
                </c:pt>
                <c:pt idx="408">
                  <c:v>0</c:v>
                </c:pt>
                <c:pt idx="409">
                  <c:v>0</c:v>
                </c:pt>
                <c:pt idx="410">
                  <c:v>0</c:v>
                </c:pt>
                <c:pt idx="411">
                  <c:v>0</c:v>
                </c:pt>
                <c:pt idx="412">
                  <c:v>0</c:v>
                </c:pt>
                <c:pt idx="413">
                  <c:v>0</c:v>
                </c:pt>
                <c:pt idx="414">
                  <c:v>0</c:v>
                </c:pt>
                <c:pt idx="415">
                  <c:v>0</c:v>
                </c:pt>
                <c:pt idx="416">
                  <c:v>0</c:v>
                </c:pt>
                <c:pt idx="417">
                  <c:v>0</c:v>
                </c:pt>
                <c:pt idx="418">
                  <c:v>0</c:v>
                </c:pt>
                <c:pt idx="419">
                  <c:v>0</c:v>
                </c:pt>
                <c:pt idx="420">
                  <c:v>0</c:v>
                </c:pt>
                <c:pt idx="421">
                  <c:v>0</c:v>
                </c:pt>
                <c:pt idx="422">
                  <c:v>0</c:v>
                </c:pt>
                <c:pt idx="423">
                  <c:v>0</c:v>
                </c:pt>
                <c:pt idx="424">
                  <c:v>0</c:v>
                </c:pt>
                <c:pt idx="425">
                  <c:v>0</c:v>
                </c:pt>
                <c:pt idx="426">
                  <c:v>0</c:v>
                </c:pt>
                <c:pt idx="427">
                  <c:v>0</c:v>
                </c:pt>
                <c:pt idx="428">
                  <c:v>0</c:v>
                </c:pt>
                <c:pt idx="429">
                  <c:v>0</c:v>
                </c:pt>
                <c:pt idx="430">
                  <c:v>0</c:v>
                </c:pt>
                <c:pt idx="431">
                  <c:v>0</c:v>
                </c:pt>
                <c:pt idx="432">
                  <c:v>0</c:v>
                </c:pt>
                <c:pt idx="433">
                  <c:v>0</c:v>
                </c:pt>
                <c:pt idx="434">
                  <c:v>0</c:v>
                </c:pt>
                <c:pt idx="435">
                  <c:v>0</c:v>
                </c:pt>
                <c:pt idx="436">
                  <c:v>0</c:v>
                </c:pt>
                <c:pt idx="437">
                  <c:v>0</c:v>
                </c:pt>
                <c:pt idx="438">
                  <c:v>0</c:v>
                </c:pt>
                <c:pt idx="439">
                  <c:v>0</c:v>
                </c:pt>
                <c:pt idx="440">
                  <c:v>0</c:v>
                </c:pt>
                <c:pt idx="441">
                  <c:v>0</c:v>
                </c:pt>
                <c:pt idx="442">
                  <c:v>0</c:v>
                </c:pt>
                <c:pt idx="443">
                  <c:v>0</c:v>
                </c:pt>
                <c:pt idx="444">
                  <c:v>0</c:v>
                </c:pt>
                <c:pt idx="445">
                  <c:v>0</c:v>
                </c:pt>
                <c:pt idx="446">
                  <c:v>0</c:v>
                </c:pt>
                <c:pt idx="447">
                  <c:v>0</c:v>
                </c:pt>
                <c:pt idx="448">
                  <c:v>0</c:v>
                </c:pt>
                <c:pt idx="449">
                  <c:v>0</c:v>
                </c:pt>
                <c:pt idx="450">
                  <c:v>0</c:v>
                </c:pt>
                <c:pt idx="451">
                  <c:v>0</c:v>
                </c:pt>
                <c:pt idx="452">
                  <c:v>0</c:v>
                </c:pt>
                <c:pt idx="453">
                  <c:v>0</c:v>
                </c:pt>
                <c:pt idx="454">
                  <c:v>0</c:v>
                </c:pt>
                <c:pt idx="455">
                  <c:v>0</c:v>
                </c:pt>
                <c:pt idx="456">
                  <c:v>0</c:v>
                </c:pt>
                <c:pt idx="457">
                  <c:v>0</c:v>
                </c:pt>
                <c:pt idx="458">
                  <c:v>0</c:v>
                </c:pt>
                <c:pt idx="459">
                  <c:v>0</c:v>
                </c:pt>
                <c:pt idx="460">
                  <c:v>0</c:v>
                </c:pt>
                <c:pt idx="461">
                  <c:v>0</c:v>
                </c:pt>
                <c:pt idx="462">
                  <c:v>0</c:v>
                </c:pt>
                <c:pt idx="463">
                  <c:v>0</c:v>
                </c:pt>
                <c:pt idx="464">
                  <c:v>0</c:v>
                </c:pt>
                <c:pt idx="465">
                  <c:v>0</c:v>
                </c:pt>
                <c:pt idx="466">
                  <c:v>0</c:v>
                </c:pt>
                <c:pt idx="467">
                  <c:v>0</c:v>
                </c:pt>
                <c:pt idx="468">
                  <c:v>0</c:v>
                </c:pt>
                <c:pt idx="469">
                  <c:v>0</c:v>
                </c:pt>
                <c:pt idx="470">
                  <c:v>0</c:v>
                </c:pt>
                <c:pt idx="471">
                  <c:v>0</c:v>
                </c:pt>
                <c:pt idx="472">
                  <c:v>0</c:v>
                </c:pt>
                <c:pt idx="473">
                  <c:v>0</c:v>
                </c:pt>
                <c:pt idx="474">
                  <c:v>0</c:v>
                </c:pt>
                <c:pt idx="475">
                  <c:v>0</c:v>
                </c:pt>
                <c:pt idx="476">
                  <c:v>0</c:v>
                </c:pt>
                <c:pt idx="477">
                  <c:v>0</c:v>
                </c:pt>
                <c:pt idx="478">
                  <c:v>0</c:v>
                </c:pt>
                <c:pt idx="479">
                  <c:v>0</c:v>
                </c:pt>
                <c:pt idx="480">
                  <c:v>0</c:v>
                </c:pt>
                <c:pt idx="481">
                  <c:v>0</c:v>
                </c:pt>
                <c:pt idx="482">
                  <c:v>0</c:v>
                </c:pt>
                <c:pt idx="483">
                  <c:v>0</c:v>
                </c:pt>
                <c:pt idx="484">
                  <c:v>0</c:v>
                </c:pt>
                <c:pt idx="485">
                  <c:v>0</c:v>
                </c:pt>
                <c:pt idx="486">
                  <c:v>0</c:v>
                </c:pt>
                <c:pt idx="487">
                  <c:v>0</c:v>
                </c:pt>
                <c:pt idx="488">
                  <c:v>0</c:v>
                </c:pt>
                <c:pt idx="489">
                  <c:v>0</c:v>
                </c:pt>
                <c:pt idx="490">
                  <c:v>0</c:v>
                </c:pt>
                <c:pt idx="491">
                  <c:v>0</c:v>
                </c:pt>
                <c:pt idx="492">
                  <c:v>0</c:v>
                </c:pt>
                <c:pt idx="493">
                  <c:v>0</c:v>
                </c:pt>
                <c:pt idx="494">
                  <c:v>0</c:v>
                </c:pt>
                <c:pt idx="495">
                  <c:v>0</c:v>
                </c:pt>
                <c:pt idx="496">
                  <c:v>0</c:v>
                </c:pt>
                <c:pt idx="497">
                  <c:v>0</c:v>
                </c:pt>
                <c:pt idx="498">
                  <c:v>0</c:v>
                </c:pt>
                <c:pt idx="499">
                  <c:v>0</c:v>
                </c:pt>
                <c:pt idx="500">
                  <c:v>0</c:v>
                </c:pt>
                <c:pt idx="501">
                  <c:v>0</c:v>
                </c:pt>
                <c:pt idx="502">
                  <c:v>0</c:v>
                </c:pt>
                <c:pt idx="503">
                  <c:v>0</c:v>
                </c:pt>
                <c:pt idx="504">
                  <c:v>0</c:v>
                </c:pt>
                <c:pt idx="505">
                  <c:v>0</c:v>
                </c:pt>
                <c:pt idx="506">
                  <c:v>0</c:v>
                </c:pt>
                <c:pt idx="507">
                  <c:v>0</c:v>
                </c:pt>
                <c:pt idx="508">
                  <c:v>0</c:v>
                </c:pt>
                <c:pt idx="509">
                  <c:v>0</c:v>
                </c:pt>
                <c:pt idx="510">
                  <c:v>0</c:v>
                </c:pt>
                <c:pt idx="511">
                  <c:v>0</c:v>
                </c:pt>
                <c:pt idx="512">
                  <c:v>0</c:v>
                </c:pt>
                <c:pt idx="513">
                  <c:v>0</c:v>
                </c:pt>
                <c:pt idx="514">
                  <c:v>0</c:v>
                </c:pt>
                <c:pt idx="515">
                  <c:v>0</c:v>
                </c:pt>
                <c:pt idx="516">
                  <c:v>0</c:v>
                </c:pt>
                <c:pt idx="517">
                  <c:v>0</c:v>
                </c:pt>
                <c:pt idx="518">
                  <c:v>0</c:v>
                </c:pt>
                <c:pt idx="519">
                  <c:v>0</c:v>
                </c:pt>
                <c:pt idx="520">
                  <c:v>0</c:v>
                </c:pt>
                <c:pt idx="521">
                  <c:v>0</c:v>
                </c:pt>
                <c:pt idx="522">
                  <c:v>0</c:v>
                </c:pt>
                <c:pt idx="523">
                  <c:v>0</c:v>
                </c:pt>
                <c:pt idx="524">
                  <c:v>0</c:v>
                </c:pt>
                <c:pt idx="525">
                  <c:v>0</c:v>
                </c:pt>
                <c:pt idx="526">
                  <c:v>0</c:v>
                </c:pt>
                <c:pt idx="527">
                  <c:v>0</c:v>
                </c:pt>
                <c:pt idx="528">
                  <c:v>0</c:v>
                </c:pt>
                <c:pt idx="529">
                  <c:v>0</c:v>
                </c:pt>
                <c:pt idx="530">
                  <c:v>0</c:v>
                </c:pt>
                <c:pt idx="531">
                  <c:v>0</c:v>
                </c:pt>
                <c:pt idx="532">
                  <c:v>0</c:v>
                </c:pt>
                <c:pt idx="533">
                  <c:v>0</c:v>
                </c:pt>
                <c:pt idx="534">
                  <c:v>0</c:v>
                </c:pt>
                <c:pt idx="535">
                  <c:v>0</c:v>
                </c:pt>
                <c:pt idx="536">
                  <c:v>0</c:v>
                </c:pt>
                <c:pt idx="537">
                  <c:v>0</c:v>
                </c:pt>
                <c:pt idx="538">
                  <c:v>0</c:v>
                </c:pt>
                <c:pt idx="539">
                  <c:v>0</c:v>
                </c:pt>
                <c:pt idx="540">
                  <c:v>0</c:v>
                </c:pt>
                <c:pt idx="541">
                  <c:v>0</c:v>
                </c:pt>
                <c:pt idx="542">
                  <c:v>0</c:v>
                </c:pt>
                <c:pt idx="543">
                  <c:v>0</c:v>
                </c:pt>
                <c:pt idx="544">
                  <c:v>0</c:v>
                </c:pt>
                <c:pt idx="545">
                  <c:v>0</c:v>
                </c:pt>
                <c:pt idx="546">
                  <c:v>0</c:v>
                </c:pt>
                <c:pt idx="547">
                  <c:v>0</c:v>
                </c:pt>
                <c:pt idx="548">
                  <c:v>0</c:v>
                </c:pt>
                <c:pt idx="549">
                  <c:v>0</c:v>
                </c:pt>
                <c:pt idx="550">
                  <c:v>0</c:v>
                </c:pt>
                <c:pt idx="551">
                  <c:v>0</c:v>
                </c:pt>
                <c:pt idx="552">
                  <c:v>0</c:v>
                </c:pt>
                <c:pt idx="553">
                  <c:v>0</c:v>
                </c:pt>
                <c:pt idx="554">
                  <c:v>0</c:v>
                </c:pt>
                <c:pt idx="555">
                  <c:v>0</c:v>
                </c:pt>
                <c:pt idx="556">
                  <c:v>0</c:v>
                </c:pt>
                <c:pt idx="557">
                  <c:v>0</c:v>
                </c:pt>
                <c:pt idx="558">
                  <c:v>0</c:v>
                </c:pt>
                <c:pt idx="559">
                  <c:v>0</c:v>
                </c:pt>
                <c:pt idx="560">
                  <c:v>0</c:v>
                </c:pt>
                <c:pt idx="561">
                  <c:v>0</c:v>
                </c:pt>
                <c:pt idx="562">
                  <c:v>0</c:v>
                </c:pt>
                <c:pt idx="563">
                  <c:v>0</c:v>
                </c:pt>
                <c:pt idx="564">
                  <c:v>0</c:v>
                </c:pt>
                <c:pt idx="565">
                  <c:v>0</c:v>
                </c:pt>
                <c:pt idx="566">
                  <c:v>0</c:v>
                </c:pt>
                <c:pt idx="567">
                  <c:v>0</c:v>
                </c:pt>
                <c:pt idx="568">
                  <c:v>0</c:v>
                </c:pt>
                <c:pt idx="569">
                  <c:v>0</c:v>
                </c:pt>
                <c:pt idx="570">
                  <c:v>0</c:v>
                </c:pt>
                <c:pt idx="571">
                  <c:v>0</c:v>
                </c:pt>
                <c:pt idx="572">
                  <c:v>0</c:v>
                </c:pt>
                <c:pt idx="573">
                  <c:v>0</c:v>
                </c:pt>
                <c:pt idx="574">
                  <c:v>0</c:v>
                </c:pt>
                <c:pt idx="575">
                  <c:v>0</c:v>
                </c:pt>
                <c:pt idx="576">
                  <c:v>0</c:v>
                </c:pt>
                <c:pt idx="577">
                  <c:v>0</c:v>
                </c:pt>
                <c:pt idx="578">
                  <c:v>0</c:v>
                </c:pt>
                <c:pt idx="579">
                  <c:v>0</c:v>
                </c:pt>
                <c:pt idx="580">
                  <c:v>0</c:v>
                </c:pt>
                <c:pt idx="581">
                  <c:v>0</c:v>
                </c:pt>
                <c:pt idx="582">
                  <c:v>0</c:v>
                </c:pt>
                <c:pt idx="583">
                  <c:v>0</c:v>
                </c:pt>
                <c:pt idx="584">
                  <c:v>0</c:v>
                </c:pt>
                <c:pt idx="585">
                  <c:v>0</c:v>
                </c:pt>
                <c:pt idx="586">
                  <c:v>0</c:v>
                </c:pt>
                <c:pt idx="587">
                  <c:v>0</c:v>
                </c:pt>
                <c:pt idx="588">
                  <c:v>0</c:v>
                </c:pt>
                <c:pt idx="589">
                  <c:v>0</c:v>
                </c:pt>
                <c:pt idx="590">
                  <c:v>0</c:v>
                </c:pt>
                <c:pt idx="591">
                  <c:v>0</c:v>
                </c:pt>
                <c:pt idx="592">
                  <c:v>0</c:v>
                </c:pt>
                <c:pt idx="593">
                  <c:v>0</c:v>
                </c:pt>
                <c:pt idx="594">
                  <c:v>0</c:v>
                </c:pt>
                <c:pt idx="595">
                  <c:v>0</c:v>
                </c:pt>
                <c:pt idx="596">
                  <c:v>0</c:v>
                </c:pt>
                <c:pt idx="597">
                  <c:v>0</c:v>
                </c:pt>
                <c:pt idx="598">
                  <c:v>0</c:v>
                </c:pt>
                <c:pt idx="599">
                  <c:v>0</c:v>
                </c:pt>
                <c:pt idx="600">
                  <c:v>0</c:v>
                </c:pt>
              </c:numCache>
            </c:numRef>
          </c:val>
          <c:smooth val="0"/>
          <c:extLst>
            <c:ext xmlns:c16="http://schemas.microsoft.com/office/drawing/2014/chart" uri="{C3380CC4-5D6E-409C-BE32-E72D297353CC}">
              <c16:uniqueId val="{00000001-B2D1-406A-9DD6-1EBD767F3733}"/>
            </c:ext>
          </c:extLst>
        </c:ser>
        <c:dLbls>
          <c:showLegendKey val="0"/>
          <c:showVal val="0"/>
          <c:showCatName val="0"/>
          <c:showSerName val="0"/>
          <c:showPercent val="0"/>
          <c:showBubbleSize val="0"/>
        </c:dLbls>
        <c:smooth val="0"/>
        <c:axId val="95107328"/>
        <c:axId val="95109120"/>
      </c:lineChart>
      <c:catAx>
        <c:axId val="95107328"/>
        <c:scaling>
          <c:orientation val="minMax"/>
        </c:scaling>
        <c:delete val="0"/>
        <c:axPos val="b"/>
        <c:numFmt formatCode="0.0,,\ &quot;M&quot;" sourceLinked="0"/>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95109120"/>
        <c:crosses val="autoZero"/>
        <c:auto val="1"/>
        <c:lblAlgn val="ctr"/>
        <c:lblOffset val="100"/>
        <c:tickLblSkip val="50"/>
        <c:noMultiLvlLbl val="0"/>
      </c:catAx>
      <c:valAx>
        <c:axId val="95109120"/>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95107328"/>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en-US" sz="1600" b="1" i="0" u="none" strike="noStrike" kern="1200" baseline="0">
                <a:solidFill>
                  <a:sysClr val="windowText" lastClr="000000"/>
                </a:solidFill>
                <a:latin typeface="Arial" panose="020B0604020202020204" pitchFamily="34" charset="0"/>
                <a:cs typeface="Arial" panose="020B0604020202020204" pitchFamily="34" charset="0"/>
              </a:rPr>
              <a:t>Multivariate probabilistic analysis (CEA)</a:t>
            </a:r>
          </a:p>
        </c:rich>
      </c:tx>
      <c:overlay val="0"/>
      <c:spPr>
        <a:noFill/>
        <a:ln>
          <a:noFill/>
        </a:ln>
        <a:effectLst/>
      </c:spPr>
      <c:txPr>
        <a:bodyPr rot="0" spcFirstLastPara="1" vertOverflow="ellipsis" vert="horz" wrap="square" anchor="ctr" anchorCtr="1"/>
        <a:lstStyle/>
        <a:p>
          <a:pPr>
            <a:defRPr sz="16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pt-BR"/>
        </a:p>
      </c:txPr>
    </c:title>
    <c:autoTitleDeleted val="0"/>
    <c:plotArea>
      <c:layout/>
      <c:scatterChart>
        <c:scatterStyle val="lineMarker"/>
        <c:varyColors val="0"/>
        <c:ser>
          <c:idx val="1"/>
          <c:order val="0"/>
          <c:tx>
            <c:v>Tomossíntese versus Mamografia</c:v>
          </c:tx>
          <c:spPr>
            <a:ln w="25400" cap="rnd">
              <a:noFill/>
              <a:round/>
            </a:ln>
            <a:effectLst/>
          </c:spPr>
          <c:marker>
            <c:symbol val="circle"/>
            <c:size val="5"/>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a:solidFill>
                  <a:schemeClr val="accent2"/>
                </a:solidFill>
                <a:round/>
              </a:ln>
              <a:effectLst/>
            </c:spPr>
          </c:marker>
          <c:xVal>
            <c:numRef>
              <c:f>CEASimulation!$H$11:$H$1010</c:f>
              <c:numCache>
                <c:formatCode>0</c:formatCode>
                <c:ptCount val="1000"/>
                <c:pt idx="0">
                  <c:v>5.9980369602212651</c:v>
                </c:pt>
                <c:pt idx="1">
                  <c:v>4.6709402228269745</c:v>
                </c:pt>
                <c:pt idx="2">
                  <c:v>5.7279997855254319</c:v>
                </c:pt>
                <c:pt idx="3">
                  <c:v>5.6119407773836105</c:v>
                </c:pt>
                <c:pt idx="4">
                  <c:v>5.3457611594472016</c:v>
                </c:pt>
                <c:pt idx="5">
                  <c:v>5.4980969482635036</c:v>
                </c:pt>
                <c:pt idx="6">
                  <c:v>5.336086459895931</c:v>
                </c:pt>
                <c:pt idx="7">
                  <c:v>4.392859554661884</c:v>
                </c:pt>
                <c:pt idx="8">
                  <c:v>5.9242415422951051</c:v>
                </c:pt>
                <c:pt idx="9">
                  <c:v>4.8796924398829606</c:v>
                </c:pt>
                <c:pt idx="10">
                  <c:v>5.8632337453424626</c:v>
                </c:pt>
                <c:pt idx="11">
                  <c:v>4.8160443561379758</c:v>
                </c:pt>
                <c:pt idx="12">
                  <c:v>4.9769816425701112</c:v>
                </c:pt>
                <c:pt idx="13">
                  <c:v>4.8821626162341705</c:v>
                </c:pt>
                <c:pt idx="14">
                  <c:v>5.281760868677674</c:v>
                </c:pt>
                <c:pt idx="15">
                  <c:v>3.8917189059482968</c:v>
                </c:pt>
                <c:pt idx="16">
                  <c:v>4.8733033526776559</c:v>
                </c:pt>
                <c:pt idx="17">
                  <c:v>4.4619966080699083</c:v>
                </c:pt>
                <c:pt idx="18">
                  <c:v>5.151091909208688</c:v>
                </c:pt>
                <c:pt idx="19">
                  <c:v>6.461120978482926</c:v>
                </c:pt>
                <c:pt idx="20">
                  <c:v>6.4336636995010483</c:v>
                </c:pt>
                <c:pt idx="21">
                  <c:v>4.56516569807442</c:v>
                </c:pt>
                <c:pt idx="22">
                  <c:v>5.6735917388606101</c:v>
                </c:pt>
                <c:pt idx="23">
                  <c:v>5.5478304976289756</c:v>
                </c:pt>
                <c:pt idx="24">
                  <c:v>4.0134438258140825</c:v>
                </c:pt>
                <c:pt idx="25">
                  <c:v>5.5786819865165107</c:v>
                </c:pt>
                <c:pt idx="26">
                  <c:v>4.8272642661917793</c:v>
                </c:pt>
                <c:pt idx="27">
                  <c:v>4.5267988258257379</c:v>
                </c:pt>
                <c:pt idx="28">
                  <c:v>4.0591296057891721</c:v>
                </c:pt>
                <c:pt idx="29">
                  <c:v>5.0930586331954721</c:v>
                </c:pt>
                <c:pt idx="30">
                  <c:v>5.0542204080948387</c:v>
                </c:pt>
                <c:pt idx="31">
                  <c:v>4.0490884940453409</c:v>
                </c:pt>
                <c:pt idx="32">
                  <c:v>5.8539721269277738</c:v>
                </c:pt>
                <c:pt idx="33">
                  <c:v>5.5277956224805109</c:v>
                </c:pt>
                <c:pt idx="34">
                  <c:v>6.7227172277519358</c:v>
                </c:pt>
                <c:pt idx="35">
                  <c:v>4.8475971361353665</c:v>
                </c:pt>
                <c:pt idx="36">
                  <c:v>4.5755457993680615</c:v>
                </c:pt>
                <c:pt idx="37">
                  <c:v>5.4117741657758067</c:v>
                </c:pt>
                <c:pt idx="38">
                  <c:v>5.3523371411084923</c:v>
                </c:pt>
                <c:pt idx="39">
                  <c:v>4.6715761111380303</c:v>
                </c:pt>
                <c:pt idx="40">
                  <c:v>4.8191814422515673</c:v>
                </c:pt>
                <c:pt idx="41">
                  <c:v>5.2917590575507774</c:v>
                </c:pt>
                <c:pt idx="42">
                  <c:v>5.1128737111786986</c:v>
                </c:pt>
                <c:pt idx="43">
                  <c:v>5.0112259044438741</c:v>
                </c:pt>
                <c:pt idx="44">
                  <c:v>4.3543272605561629</c:v>
                </c:pt>
                <c:pt idx="45">
                  <c:v>5.943782631833038</c:v>
                </c:pt>
                <c:pt idx="46">
                  <c:v>4.2337515313128478</c:v>
                </c:pt>
                <c:pt idx="47">
                  <c:v>5.6610872091517397</c:v>
                </c:pt>
                <c:pt idx="48">
                  <c:v>5.4753886283815838</c:v>
                </c:pt>
                <c:pt idx="49">
                  <c:v>5.9595450378684198</c:v>
                </c:pt>
                <c:pt idx="50">
                  <c:v>4.5302946593277866</c:v>
                </c:pt>
                <c:pt idx="51">
                  <c:v>5.4793741875943418</c:v>
                </c:pt>
                <c:pt idx="52">
                  <c:v>5.4232025865892535</c:v>
                </c:pt>
                <c:pt idx="53">
                  <c:v>5.4552460913493341</c:v>
                </c:pt>
                <c:pt idx="54">
                  <c:v>5.1471090653473404</c:v>
                </c:pt>
                <c:pt idx="55">
                  <c:v>4.7678112836979913</c:v>
                </c:pt>
                <c:pt idx="56">
                  <c:v>5.2897593126338815</c:v>
                </c:pt>
                <c:pt idx="57">
                  <c:v>5.7021547088936124</c:v>
                </c:pt>
                <c:pt idx="58">
                  <c:v>5.0956049333900868</c:v>
                </c:pt>
                <c:pt idx="59">
                  <c:v>4.2327989792392131</c:v>
                </c:pt>
                <c:pt idx="60">
                  <c:v>5.5440863410398649</c:v>
                </c:pt>
                <c:pt idx="61">
                  <c:v>3.5015301806871726</c:v>
                </c:pt>
                <c:pt idx="62">
                  <c:v>4.8334419065982619</c:v>
                </c:pt>
                <c:pt idx="63">
                  <c:v>5.5026956931389783</c:v>
                </c:pt>
                <c:pt idx="64">
                  <c:v>4.8378369392893372</c:v>
                </c:pt>
                <c:pt idx="65">
                  <c:v>5.8803557534930562</c:v>
                </c:pt>
                <c:pt idx="66">
                  <c:v>4.5516652748002269</c:v>
                </c:pt>
                <c:pt idx="67">
                  <c:v>5.193209171731489</c:v>
                </c:pt>
                <c:pt idx="68">
                  <c:v>4.4801647632193742</c:v>
                </c:pt>
                <c:pt idx="69">
                  <c:v>4.3830488496795361</c:v>
                </c:pt>
                <c:pt idx="70">
                  <c:v>5.3991481577340075</c:v>
                </c:pt>
                <c:pt idx="71">
                  <c:v>5.2332344113884943</c:v>
                </c:pt>
                <c:pt idx="72">
                  <c:v>4.9605506973899054</c:v>
                </c:pt>
                <c:pt idx="73">
                  <c:v>5.9003039107592254</c:v>
                </c:pt>
                <c:pt idx="74">
                  <c:v>5.7983500158008301</c:v>
                </c:pt>
                <c:pt idx="75">
                  <c:v>4.4717239008765741</c:v>
                </c:pt>
                <c:pt idx="76">
                  <c:v>4.7069661017119504</c:v>
                </c:pt>
                <c:pt idx="77">
                  <c:v>5.8388328949199266</c:v>
                </c:pt>
                <c:pt idx="78">
                  <c:v>5.3586546480152908</c:v>
                </c:pt>
                <c:pt idx="79">
                  <c:v>4.1825381668824981</c:v>
                </c:pt>
                <c:pt idx="80">
                  <c:v>4.6904884879750615</c:v>
                </c:pt>
                <c:pt idx="81">
                  <c:v>5.7575049973677981</c:v>
                </c:pt>
                <c:pt idx="82">
                  <c:v>5.6183039662872964</c:v>
                </c:pt>
                <c:pt idx="83">
                  <c:v>5.2728617462622083</c:v>
                </c:pt>
                <c:pt idx="84">
                  <c:v>4.4375618857486199</c:v>
                </c:pt>
                <c:pt idx="85">
                  <c:v>5.2303640074724935</c:v>
                </c:pt>
                <c:pt idx="86">
                  <c:v>5.217434465486777</c:v>
                </c:pt>
                <c:pt idx="87">
                  <c:v>6.4103877604444204</c:v>
                </c:pt>
                <c:pt idx="88">
                  <c:v>5.5056335570918584</c:v>
                </c:pt>
                <c:pt idx="89">
                  <c:v>4.1423108040280034</c:v>
                </c:pt>
                <c:pt idx="90">
                  <c:v>5.0543220391956236</c:v>
                </c:pt>
                <c:pt idx="91">
                  <c:v>4.7394407292886633</c:v>
                </c:pt>
                <c:pt idx="92">
                  <c:v>5.1236154352774204</c:v>
                </c:pt>
                <c:pt idx="93">
                  <c:v>6.1297911179582787</c:v>
                </c:pt>
                <c:pt idx="94">
                  <c:v>4.9807524955363949</c:v>
                </c:pt>
                <c:pt idx="95">
                  <c:v>5.4841706345029326</c:v>
                </c:pt>
                <c:pt idx="96">
                  <c:v>4.7515009459333086</c:v>
                </c:pt>
                <c:pt idx="97">
                  <c:v>4.9171243816761727</c:v>
                </c:pt>
                <c:pt idx="98">
                  <c:v>5.9327464828299803</c:v>
                </c:pt>
                <c:pt idx="99">
                  <c:v>4.9254648422231728</c:v>
                </c:pt>
                <c:pt idx="100">
                  <c:v>5.5211143698135139</c:v>
                </c:pt>
                <c:pt idx="101">
                  <c:v>4.7271649054259015</c:v>
                </c:pt>
                <c:pt idx="102">
                  <c:v>4.5018614736918003</c:v>
                </c:pt>
                <c:pt idx="103">
                  <c:v>5.0227595678766317</c:v>
                </c:pt>
                <c:pt idx="104">
                  <c:v>5.6494467268947179</c:v>
                </c:pt>
                <c:pt idx="105">
                  <c:v>5.4137705884003058</c:v>
                </c:pt>
                <c:pt idx="106">
                  <c:v>4.9687740827449431</c:v>
                </c:pt>
                <c:pt idx="107">
                  <c:v>5.5662401150853462</c:v>
                </c:pt>
                <c:pt idx="108">
                  <c:v>4.0248143800654148</c:v>
                </c:pt>
                <c:pt idx="109">
                  <c:v>4.0829504927700651</c:v>
                </c:pt>
                <c:pt idx="110">
                  <c:v>5.4517583401301799</c:v>
                </c:pt>
                <c:pt idx="111">
                  <c:v>4.9697880170983861</c:v>
                </c:pt>
                <c:pt idx="112">
                  <c:v>5.2790113454579775</c:v>
                </c:pt>
                <c:pt idx="113">
                  <c:v>4.7040345886424468</c:v>
                </c:pt>
                <c:pt idx="114">
                  <c:v>5.0991321347864211</c:v>
                </c:pt>
                <c:pt idx="115">
                  <c:v>4.5177889089781846</c:v>
                </c:pt>
                <c:pt idx="116">
                  <c:v>4.8516754399234383</c:v>
                </c:pt>
                <c:pt idx="117">
                  <c:v>5.8773185280515587</c:v>
                </c:pt>
                <c:pt idx="118">
                  <c:v>5.4704450103778353</c:v>
                </c:pt>
                <c:pt idx="119">
                  <c:v>5.1342893205029103</c:v>
                </c:pt>
                <c:pt idx="120">
                  <c:v>5.3445785648583435</c:v>
                </c:pt>
                <c:pt idx="121">
                  <c:v>6.5782773144096485</c:v>
                </c:pt>
                <c:pt idx="122">
                  <c:v>5.4934422277740236</c:v>
                </c:pt>
                <c:pt idx="123">
                  <c:v>4.5761403523060018</c:v>
                </c:pt>
                <c:pt idx="124">
                  <c:v>4.1551851131007229</c:v>
                </c:pt>
                <c:pt idx="125">
                  <c:v>6.322659352460331</c:v>
                </c:pt>
                <c:pt idx="126">
                  <c:v>5.3233834677565923</c:v>
                </c:pt>
                <c:pt idx="127">
                  <c:v>4.5824450394209908</c:v>
                </c:pt>
                <c:pt idx="128">
                  <c:v>5.742442030318422</c:v>
                </c:pt>
                <c:pt idx="129">
                  <c:v>5.8716280048805114</c:v>
                </c:pt>
                <c:pt idx="130">
                  <c:v>6.5171929590181925</c:v>
                </c:pt>
                <c:pt idx="131">
                  <c:v>5.7340718218911118</c:v>
                </c:pt>
                <c:pt idx="132">
                  <c:v>5.3668316707234425</c:v>
                </c:pt>
                <c:pt idx="133">
                  <c:v>5.4130508244711741</c:v>
                </c:pt>
                <c:pt idx="134">
                  <c:v>5.2759521111818906</c:v>
                </c:pt>
                <c:pt idx="135">
                  <c:v>4.8308281248787175</c:v>
                </c:pt>
                <c:pt idx="136">
                  <c:v>3.9732149247277757</c:v>
                </c:pt>
                <c:pt idx="137">
                  <c:v>3.6343783011458708</c:v>
                </c:pt>
                <c:pt idx="138">
                  <c:v>5.6955743334294056</c:v>
                </c:pt>
                <c:pt idx="139">
                  <c:v>5.1242642152008013</c:v>
                </c:pt>
                <c:pt idx="140">
                  <c:v>4.2787865488714356</c:v>
                </c:pt>
                <c:pt idx="141">
                  <c:v>4.4326837686301577</c:v>
                </c:pt>
                <c:pt idx="142">
                  <c:v>5.4962264114744084</c:v>
                </c:pt>
                <c:pt idx="143">
                  <c:v>6.3808089992002675</c:v>
                </c:pt>
                <c:pt idx="144">
                  <c:v>5.9795125316036977</c:v>
                </c:pt>
                <c:pt idx="145">
                  <c:v>5.4584616704398883</c:v>
                </c:pt>
                <c:pt idx="146">
                  <c:v>4.6737185119071025</c:v>
                </c:pt>
                <c:pt idx="147">
                  <c:v>5.1297025316330185</c:v>
                </c:pt>
                <c:pt idx="148">
                  <c:v>5.088150178162655</c:v>
                </c:pt>
                <c:pt idx="149">
                  <c:v>4.8346100639267267</c:v>
                </c:pt>
                <c:pt idx="150">
                  <c:v>5.6943731594922014</c:v>
                </c:pt>
                <c:pt idx="151">
                  <c:v>6.2440518314972842</c:v>
                </c:pt>
                <c:pt idx="152">
                  <c:v>5.327069526993542</c:v>
                </c:pt>
                <c:pt idx="153">
                  <c:v>4.0674873765026565</c:v>
                </c:pt>
                <c:pt idx="154">
                  <c:v>5.3049269133589583</c:v>
                </c:pt>
                <c:pt idx="155">
                  <c:v>5.6005952092497857</c:v>
                </c:pt>
                <c:pt idx="156">
                  <c:v>4.8039558244036655</c:v>
                </c:pt>
                <c:pt idx="157">
                  <c:v>5.8235154060933585</c:v>
                </c:pt>
                <c:pt idx="158">
                  <c:v>5.841928300662417</c:v>
                </c:pt>
                <c:pt idx="159">
                  <c:v>4.8919963093562071</c:v>
                </c:pt>
                <c:pt idx="160">
                  <c:v>3.9908515691602293</c:v>
                </c:pt>
                <c:pt idx="161">
                  <c:v>4.444260282481828</c:v>
                </c:pt>
                <c:pt idx="162">
                  <c:v>4.4851135998500968</c:v>
                </c:pt>
                <c:pt idx="163">
                  <c:v>5.0831920424611603</c:v>
                </c:pt>
                <c:pt idx="164">
                  <c:v>5.495184081214898</c:v>
                </c:pt>
                <c:pt idx="165">
                  <c:v>4.8756951306875838</c:v>
                </c:pt>
                <c:pt idx="166">
                  <c:v>5.4093709367320013</c:v>
                </c:pt>
                <c:pt idx="167">
                  <c:v>4.6202029656852019</c:v>
                </c:pt>
                <c:pt idx="168">
                  <c:v>5.2148522484587527</c:v>
                </c:pt>
                <c:pt idx="169">
                  <c:v>4.828900215565092</c:v>
                </c:pt>
                <c:pt idx="170">
                  <c:v>4.7498257790104486</c:v>
                </c:pt>
                <c:pt idx="171">
                  <c:v>5.4815705995106949</c:v>
                </c:pt>
                <c:pt idx="172">
                  <c:v>4.2865794278371308</c:v>
                </c:pt>
                <c:pt idx="173">
                  <c:v>5.6170405239447554</c:v>
                </c:pt>
                <c:pt idx="174">
                  <c:v>5.5739065269576766</c:v>
                </c:pt>
                <c:pt idx="175">
                  <c:v>4.6843375412911232</c:v>
                </c:pt>
                <c:pt idx="176">
                  <c:v>5.6643991145572663</c:v>
                </c:pt>
                <c:pt idx="177">
                  <c:v>4.3967604497523229</c:v>
                </c:pt>
                <c:pt idx="178">
                  <c:v>4.9834121048095348</c:v>
                </c:pt>
                <c:pt idx="179">
                  <c:v>4.0655145984994476</c:v>
                </c:pt>
                <c:pt idx="180">
                  <c:v>5.2052549286422547</c:v>
                </c:pt>
                <c:pt idx="181">
                  <c:v>5.5574834727132281</c:v>
                </c:pt>
                <c:pt idx="182">
                  <c:v>5.0810606507792659</c:v>
                </c:pt>
                <c:pt idx="183">
                  <c:v>5.0820554682943406</c:v>
                </c:pt>
                <c:pt idx="184">
                  <c:v>5.2608385123403369</c:v>
                </c:pt>
                <c:pt idx="185">
                  <c:v>4.4941799953529333</c:v>
                </c:pt>
                <c:pt idx="186">
                  <c:v>5.6230506891535743</c:v>
                </c:pt>
                <c:pt idx="187">
                  <c:v>5.7764317811165977</c:v>
                </c:pt>
                <c:pt idx="188">
                  <c:v>4.2476055530819306</c:v>
                </c:pt>
                <c:pt idx="189">
                  <c:v>4.6594302596555508</c:v>
                </c:pt>
                <c:pt idx="190">
                  <c:v>5.9168215508424531</c:v>
                </c:pt>
                <c:pt idx="191">
                  <c:v>4.1818775629312235</c:v>
                </c:pt>
                <c:pt idx="192">
                  <c:v>5.9479927260739718</c:v>
                </c:pt>
                <c:pt idx="193">
                  <c:v>5.2285537530376711</c:v>
                </c:pt>
                <c:pt idx="194">
                  <c:v>5.2100155656236744</c:v>
                </c:pt>
                <c:pt idx="195">
                  <c:v>4.757718936409038</c:v>
                </c:pt>
                <c:pt idx="196">
                  <c:v>5.5369916926389493</c:v>
                </c:pt>
                <c:pt idx="197">
                  <c:v>5.8056278930711844</c:v>
                </c:pt>
                <c:pt idx="198">
                  <c:v>5.3936231013203244</c:v>
                </c:pt>
                <c:pt idx="199">
                  <c:v>4.4997707012867227</c:v>
                </c:pt>
                <c:pt idx="200">
                  <c:v>5.9341667808741931</c:v>
                </c:pt>
                <c:pt idx="201">
                  <c:v>5.6719709775779368</c:v>
                </c:pt>
                <c:pt idx="202">
                  <c:v>5.5002816266954326</c:v>
                </c:pt>
                <c:pt idx="203">
                  <c:v>5.2252154959670563</c:v>
                </c:pt>
                <c:pt idx="204">
                  <c:v>5.3314358334925736</c:v>
                </c:pt>
                <c:pt idx="205">
                  <c:v>4.6822240744078858</c:v>
                </c:pt>
                <c:pt idx="206">
                  <c:v>5.4420481311831299</c:v>
                </c:pt>
                <c:pt idx="207">
                  <c:v>4.244265357464343</c:v>
                </c:pt>
                <c:pt idx="208">
                  <c:v>5.8513310508113214</c:v>
                </c:pt>
                <c:pt idx="209">
                  <c:v>5.7022767955707501</c:v>
                </c:pt>
                <c:pt idx="210">
                  <c:v>4.7870229871301824</c:v>
                </c:pt>
                <c:pt idx="211">
                  <c:v>4.837164185426726</c:v>
                </c:pt>
                <c:pt idx="212">
                  <c:v>6.0368447674019521</c:v>
                </c:pt>
                <c:pt idx="213">
                  <c:v>5.2633535213866072</c:v>
                </c:pt>
                <c:pt idx="214">
                  <c:v>5.0507614374837164</c:v>
                </c:pt>
                <c:pt idx="215">
                  <c:v>5.887732387002762</c:v>
                </c:pt>
                <c:pt idx="216">
                  <c:v>5.1948160848716221</c:v>
                </c:pt>
                <c:pt idx="217">
                  <c:v>5.9644529257000229</c:v>
                </c:pt>
                <c:pt idx="218">
                  <c:v>5.2101866324625181</c:v>
                </c:pt>
                <c:pt idx="219">
                  <c:v>5.0965930022098966</c:v>
                </c:pt>
                <c:pt idx="220">
                  <c:v>5.5651423322586311</c:v>
                </c:pt>
                <c:pt idx="221">
                  <c:v>5.4890592911347973</c:v>
                </c:pt>
                <c:pt idx="222">
                  <c:v>5.4456473318153016</c:v>
                </c:pt>
                <c:pt idx="223">
                  <c:v>5.3790048283062291</c:v>
                </c:pt>
                <c:pt idx="224">
                  <c:v>4.6318838368857485</c:v>
                </c:pt>
                <c:pt idx="225">
                  <c:v>5.17787425518285</c:v>
                </c:pt>
                <c:pt idx="226">
                  <c:v>4.1689149104988967</c:v>
                </c:pt>
                <c:pt idx="227">
                  <c:v>5.723988972114693</c:v>
                </c:pt>
                <c:pt idx="228">
                  <c:v>3.5590281719114447</c:v>
                </c:pt>
                <c:pt idx="229">
                  <c:v>5.0764432065685998</c:v>
                </c:pt>
                <c:pt idx="230">
                  <c:v>4.6276294522842605</c:v>
                </c:pt>
                <c:pt idx="231">
                  <c:v>5.6988122873578568</c:v>
                </c:pt>
                <c:pt idx="232">
                  <c:v>5.3151735235495661</c:v>
                </c:pt>
                <c:pt idx="233">
                  <c:v>5.5608486480154635</c:v>
                </c:pt>
                <c:pt idx="234">
                  <c:v>5.4707442630105998</c:v>
                </c:pt>
                <c:pt idx="235">
                  <c:v>5.9539700852628847</c:v>
                </c:pt>
                <c:pt idx="236">
                  <c:v>4.8728544976665784</c:v>
                </c:pt>
                <c:pt idx="237">
                  <c:v>4.9293966421361244</c:v>
                </c:pt>
                <c:pt idx="238">
                  <c:v>4.5440515797338037</c:v>
                </c:pt>
                <c:pt idx="239">
                  <c:v>5.7529198394892074</c:v>
                </c:pt>
                <c:pt idx="240">
                  <c:v>3.9384707058452317</c:v>
                </c:pt>
                <c:pt idx="241">
                  <c:v>4.8817198898875152</c:v>
                </c:pt>
                <c:pt idx="242">
                  <c:v>6.4431514676219042</c:v>
                </c:pt>
                <c:pt idx="243">
                  <c:v>5.3620584596585879</c:v>
                </c:pt>
                <c:pt idx="244">
                  <c:v>4.9597312971448613</c:v>
                </c:pt>
                <c:pt idx="245">
                  <c:v>5.4041574170595528</c:v>
                </c:pt>
                <c:pt idx="246">
                  <c:v>5.487081432583345</c:v>
                </c:pt>
                <c:pt idx="247">
                  <c:v>5.2897236070538156</c:v>
                </c:pt>
                <c:pt idx="248">
                  <c:v>5.5739806279502755</c:v>
                </c:pt>
                <c:pt idx="249">
                  <c:v>5.0005515619028547</c:v>
                </c:pt>
                <c:pt idx="250">
                  <c:v>4.9705936698113398</c:v>
                </c:pt>
                <c:pt idx="251">
                  <c:v>4.4764508044833864</c:v>
                </c:pt>
                <c:pt idx="252">
                  <c:v>5.2507499106170847</c:v>
                </c:pt>
                <c:pt idx="253">
                  <c:v>5.6812698807975934</c:v>
                </c:pt>
                <c:pt idx="254">
                  <c:v>5.4813241199628511</c:v>
                </c:pt>
                <c:pt idx="255">
                  <c:v>3.8926702247047213</c:v>
                </c:pt>
                <c:pt idx="256">
                  <c:v>5.6743663172257683</c:v>
                </c:pt>
                <c:pt idx="257">
                  <c:v>4.4052500794998863</c:v>
                </c:pt>
                <c:pt idx="258">
                  <c:v>5.315816636166371</c:v>
                </c:pt>
                <c:pt idx="259">
                  <c:v>4.3062893677596872</c:v>
                </c:pt>
                <c:pt idx="260">
                  <c:v>4.6541627971059896</c:v>
                </c:pt>
                <c:pt idx="261">
                  <c:v>5.0924204676137119</c:v>
                </c:pt>
                <c:pt idx="262">
                  <c:v>5.512844259346009</c:v>
                </c:pt>
                <c:pt idx="263">
                  <c:v>6.1243332284987044</c:v>
                </c:pt>
                <c:pt idx="264">
                  <c:v>5.5784019899591151</c:v>
                </c:pt>
                <c:pt idx="265">
                  <c:v>5.3674769044951578</c:v>
                </c:pt>
                <c:pt idx="266">
                  <c:v>5.276192293239653</c:v>
                </c:pt>
                <c:pt idx="267">
                  <c:v>5.4726088176094922</c:v>
                </c:pt>
                <c:pt idx="268">
                  <c:v>4.5261324906390357</c:v>
                </c:pt>
                <c:pt idx="269">
                  <c:v>4.5977417440500226</c:v>
                </c:pt>
                <c:pt idx="270">
                  <c:v>4.5818127147218561</c:v>
                </c:pt>
                <c:pt idx="271">
                  <c:v>6.0914791912016781</c:v>
                </c:pt>
                <c:pt idx="272">
                  <c:v>5.5869127751095089</c:v>
                </c:pt>
                <c:pt idx="273">
                  <c:v>5.6791385776599252</c:v>
                </c:pt>
                <c:pt idx="274">
                  <c:v>5.3748912975359087</c:v>
                </c:pt>
                <c:pt idx="275">
                  <c:v>5.8479585423592724</c:v>
                </c:pt>
                <c:pt idx="276">
                  <c:v>4.9787169733277121</c:v>
                </c:pt>
                <c:pt idx="277">
                  <c:v>5.7170935170182684</c:v>
                </c:pt>
                <c:pt idx="278">
                  <c:v>4.425381497050239</c:v>
                </c:pt>
                <c:pt idx="279">
                  <c:v>5.1931296456680442</c:v>
                </c:pt>
                <c:pt idx="280">
                  <c:v>5.765311913143595</c:v>
                </c:pt>
                <c:pt idx="281">
                  <c:v>5.3528527557216936</c:v>
                </c:pt>
                <c:pt idx="282">
                  <c:v>4.7900655191103851</c:v>
                </c:pt>
                <c:pt idx="283">
                  <c:v>4.0541542415010809</c:v>
                </c:pt>
                <c:pt idx="284">
                  <c:v>4.0130355235337571</c:v>
                </c:pt>
                <c:pt idx="285">
                  <c:v>4.9337487505071707</c:v>
                </c:pt>
                <c:pt idx="286">
                  <c:v>5.1737081156917668</c:v>
                </c:pt>
                <c:pt idx="287">
                  <c:v>6.0360023362993527</c:v>
                </c:pt>
                <c:pt idx="288">
                  <c:v>4.795310606816102</c:v>
                </c:pt>
                <c:pt idx="289">
                  <c:v>5.1145582086539019</c:v>
                </c:pt>
                <c:pt idx="290">
                  <c:v>4.1483864027481658</c:v>
                </c:pt>
                <c:pt idx="291">
                  <c:v>5.1763555902852723</c:v>
                </c:pt>
                <c:pt idx="292">
                  <c:v>4.7324775441188827</c:v>
                </c:pt>
                <c:pt idx="293">
                  <c:v>3.7800132570751312</c:v>
                </c:pt>
                <c:pt idx="294">
                  <c:v>4.2487644857764444</c:v>
                </c:pt>
                <c:pt idx="295">
                  <c:v>5.4245723855015591</c:v>
                </c:pt>
                <c:pt idx="296">
                  <c:v>6.0101850156179086</c:v>
                </c:pt>
                <c:pt idx="297">
                  <c:v>5.6405380255903896</c:v>
                </c:pt>
                <c:pt idx="298">
                  <c:v>6.1876471687732408</c:v>
                </c:pt>
                <c:pt idx="299">
                  <c:v>4.4527119673261151</c:v>
                </c:pt>
                <c:pt idx="300">
                  <c:v>6.2039514754281679</c:v>
                </c:pt>
                <c:pt idx="301">
                  <c:v>4.8189114042386567</c:v>
                </c:pt>
                <c:pt idx="302">
                  <c:v>5.1282110377888017</c:v>
                </c:pt>
                <c:pt idx="303">
                  <c:v>6.0757873569885827</c:v>
                </c:pt>
                <c:pt idx="304">
                  <c:v>5.0030705729686815</c:v>
                </c:pt>
                <c:pt idx="305">
                  <c:v>3.9588656655855949</c:v>
                </c:pt>
                <c:pt idx="306">
                  <c:v>5.2856430132138499</c:v>
                </c:pt>
                <c:pt idx="307">
                  <c:v>4.5033871911068033</c:v>
                </c:pt>
                <c:pt idx="308">
                  <c:v>5.067337200966664</c:v>
                </c:pt>
                <c:pt idx="309">
                  <c:v>4.2557822565458263</c:v>
                </c:pt>
                <c:pt idx="310">
                  <c:v>4.7635771487903078</c:v>
                </c:pt>
                <c:pt idx="311">
                  <c:v>4.9014947767622381</c:v>
                </c:pt>
                <c:pt idx="312">
                  <c:v>4.465460068929282</c:v>
                </c:pt>
                <c:pt idx="313">
                  <c:v>5.1766817799233529</c:v>
                </c:pt>
                <c:pt idx="314">
                  <c:v>5.2100924824041837</c:v>
                </c:pt>
                <c:pt idx="315">
                  <c:v>5.1095837756110036</c:v>
                </c:pt>
                <c:pt idx="316">
                  <c:v>5.290769176341886</c:v>
                </c:pt>
                <c:pt idx="317">
                  <c:v>4.5551599492206591</c:v>
                </c:pt>
                <c:pt idx="318">
                  <c:v>5.7528444676363879</c:v>
                </c:pt>
                <c:pt idx="319">
                  <c:v>6.1937906159164164</c:v>
                </c:pt>
                <c:pt idx="320">
                  <c:v>3.8647927596715377</c:v>
                </c:pt>
                <c:pt idx="321">
                  <c:v>4.8449541911570986</c:v>
                </c:pt>
                <c:pt idx="322">
                  <c:v>5.178248265558242</c:v>
                </c:pt>
                <c:pt idx="323">
                  <c:v>3.7123869288729168</c:v>
                </c:pt>
                <c:pt idx="324">
                  <c:v>4.5354340103989852</c:v>
                </c:pt>
                <c:pt idx="325">
                  <c:v>5.1343761937570669</c:v>
                </c:pt>
                <c:pt idx="326">
                  <c:v>4.434094327250186</c:v>
                </c:pt>
                <c:pt idx="327">
                  <c:v>5.1577744967170194</c:v>
                </c:pt>
                <c:pt idx="328">
                  <c:v>4.2694883025259358</c:v>
                </c:pt>
                <c:pt idx="329">
                  <c:v>5.0182123838548431</c:v>
                </c:pt>
                <c:pt idx="330">
                  <c:v>5.4404930131283198</c:v>
                </c:pt>
                <c:pt idx="331">
                  <c:v>5.6077481819259773</c:v>
                </c:pt>
                <c:pt idx="332">
                  <c:v>3.8965015817463549</c:v>
                </c:pt>
                <c:pt idx="333">
                  <c:v>4.6559442535102118</c:v>
                </c:pt>
                <c:pt idx="334">
                  <c:v>4.706629357509744</c:v>
                </c:pt>
                <c:pt idx="335">
                  <c:v>5.3661370588349318</c:v>
                </c:pt>
                <c:pt idx="336">
                  <c:v>5.8028624717413138</c:v>
                </c:pt>
                <c:pt idx="337">
                  <c:v>5.4529084882428975</c:v>
                </c:pt>
                <c:pt idx="338">
                  <c:v>5.5106186886932598</c:v>
                </c:pt>
                <c:pt idx="339">
                  <c:v>5.3484247580358346</c:v>
                </c:pt>
                <c:pt idx="340">
                  <c:v>5.2216117455546947</c:v>
                </c:pt>
                <c:pt idx="341">
                  <c:v>5.99951342323779</c:v>
                </c:pt>
                <c:pt idx="342">
                  <c:v>5.1749572383783384</c:v>
                </c:pt>
                <c:pt idx="343">
                  <c:v>5.3951454550362037</c:v>
                </c:pt>
                <c:pt idx="344">
                  <c:v>4.4095391155650958</c:v>
                </c:pt>
                <c:pt idx="345">
                  <c:v>5.9543982792118335</c:v>
                </c:pt>
                <c:pt idx="346">
                  <c:v>5.0911531462889084</c:v>
                </c:pt>
                <c:pt idx="347">
                  <c:v>5.0229251101931514</c:v>
                </c:pt>
                <c:pt idx="348">
                  <c:v>5.4071445273036645</c:v>
                </c:pt>
                <c:pt idx="349">
                  <c:v>5.0528867147413958</c:v>
                </c:pt>
                <c:pt idx="350">
                  <c:v>4.6967818132096877</c:v>
                </c:pt>
                <c:pt idx="351">
                  <c:v>4.4605456175106806</c:v>
                </c:pt>
                <c:pt idx="352">
                  <c:v>6.2011465203076526</c:v>
                </c:pt>
                <c:pt idx="353">
                  <c:v>5.0914075911550007</c:v>
                </c:pt>
                <c:pt idx="354">
                  <c:v>5.0007066327462155</c:v>
                </c:pt>
                <c:pt idx="355">
                  <c:v>6.1751998231657552</c:v>
                </c:pt>
                <c:pt idx="356">
                  <c:v>4.7217344572329996</c:v>
                </c:pt>
                <c:pt idx="357">
                  <c:v>6.1200217061307871</c:v>
                </c:pt>
                <c:pt idx="358">
                  <c:v>6.3502333410345297</c:v>
                </c:pt>
                <c:pt idx="359">
                  <c:v>3.7763285218892424</c:v>
                </c:pt>
                <c:pt idx="360">
                  <c:v>5.0725577122358718</c:v>
                </c:pt>
                <c:pt idx="361">
                  <c:v>4.7936135742415118</c:v>
                </c:pt>
                <c:pt idx="362">
                  <c:v>5.3390772525817241</c:v>
                </c:pt>
                <c:pt idx="363">
                  <c:v>5.9078828197630635</c:v>
                </c:pt>
                <c:pt idx="364">
                  <c:v>6.3477150135579041</c:v>
                </c:pt>
                <c:pt idx="365">
                  <c:v>5.3364793390220395</c:v>
                </c:pt>
                <c:pt idx="366">
                  <c:v>6.5656063293533151</c:v>
                </c:pt>
                <c:pt idx="367">
                  <c:v>6.4669728345231388</c:v>
                </c:pt>
                <c:pt idx="368">
                  <c:v>5.6070643823299271</c:v>
                </c:pt>
                <c:pt idx="369">
                  <c:v>4.4776882008300039</c:v>
                </c:pt>
                <c:pt idx="370">
                  <c:v>4.3181428166143476</c:v>
                </c:pt>
                <c:pt idx="371">
                  <c:v>5.9874916523508528</c:v>
                </c:pt>
                <c:pt idx="372">
                  <c:v>4.7557197153798629</c:v>
                </c:pt>
                <c:pt idx="373">
                  <c:v>4.1635111121769732</c:v>
                </c:pt>
                <c:pt idx="374">
                  <c:v>5.8974119397413762</c:v>
                </c:pt>
                <c:pt idx="375">
                  <c:v>5.0926959149526638</c:v>
                </c:pt>
                <c:pt idx="376">
                  <c:v>5.2504059880032621</c:v>
                </c:pt>
                <c:pt idx="377">
                  <c:v>4.7442967597214025</c:v>
                </c:pt>
                <c:pt idx="378">
                  <c:v>4.8719694332404568</c:v>
                </c:pt>
                <c:pt idx="379">
                  <c:v>4.129240666924769</c:v>
                </c:pt>
                <c:pt idx="380">
                  <c:v>6.1164678514406727</c:v>
                </c:pt>
                <c:pt idx="381">
                  <c:v>4.7074382553003637</c:v>
                </c:pt>
                <c:pt idx="382">
                  <c:v>6.239324080455928</c:v>
                </c:pt>
                <c:pt idx="383">
                  <c:v>5.3205397261811331</c:v>
                </c:pt>
                <c:pt idx="384">
                  <c:v>4.9193963328898143</c:v>
                </c:pt>
                <c:pt idx="385">
                  <c:v>7.1520394874129973</c:v>
                </c:pt>
                <c:pt idx="386">
                  <c:v>5.8195178784597328</c:v>
                </c:pt>
                <c:pt idx="387">
                  <c:v>5.2430294334942271</c:v>
                </c:pt>
                <c:pt idx="388">
                  <c:v>5.2596018760587331</c:v>
                </c:pt>
                <c:pt idx="389">
                  <c:v>4.6766100722780859</c:v>
                </c:pt>
                <c:pt idx="390">
                  <c:v>5.2857119966855866</c:v>
                </c:pt>
                <c:pt idx="391">
                  <c:v>5.7293744066573851</c:v>
                </c:pt>
                <c:pt idx="392">
                  <c:v>5.4820180120368587</c:v>
                </c:pt>
                <c:pt idx="393">
                  <c:v>5.0983803177641747</c:v>
                </c:pt>
                <c:pt idx="394">
                  <c:v>4.6805160971878106</c:v>
                </c:pt>
                <c:pt idx="395">
                  <c:v>4.102204868268986</c:v>
                </c:pt>
                <c:pt idx="396">
                  <c:v>5.1990542257653161</c:v>
                </c:pt>
                <c:pt idx="397">
                  <c:v>4.8951347028695977</c:v>
                </c:pt>
                <c:pt idx="398">
                  <c:v>5.38697910820534</c:v>
                </c:pt>
                <c:pt idx="399">
                  <c:v>4.6240185553896307</c:v>
                </c:pt>
                <c:pt idx="400">
                  <c:v>4.7255481038660765</c:v>
                </c:pt>
                <c:pt idx="401">
                  <c:v>6.1470757478434592</c:v>
                </c:pt>
                <c:pt idx="402">
                  <c:v>5.6744719693811767</c:v>
                </c:pt>
                <c:pt idx="403">
                  <c:v>5.291703262107287</c:v>
                </c:pt>
                <c:pt idx="404">
                  <c:v>6.0386981800133448</c:v>
                </c:pt>
                <c:pt idx="405">
                  <c:v>5.0072920554210558</c:v>
                </c:pt>
                <c:pt idx="406">
                  <c:v>5.004809173766736</c:v>
                </c:pt>
                <c:pt idx="407">
                  <c:v>5.749731322088607</c:v>
                </c:pt>
                <c:pt idx="408">
                  <c:v>5.2813361199658839</c:v>
                </c:pt>
                <c:pt idx="409">
                  <c:v>5.9095005438761916</c:v>
                </c:pt>
                <c:pt idx="410">
                  <c:v>5.7832057641367793</c:v>
                </c:pt>
                <c:pt idx="411">
                  <c:v>5.3998282537300231</c:v>
                </c:pt>
                <c:pt idx="412">
                  <c:v>5.9989720701375049</c:v>
                </c:pt>
                <c:pt idx="413">
                  <c:v>5.2180877235262191</c:v>
                </c:pt>
                <c:pt idx="414">
                  <c:v>4.4640989545258289</c:v>
                </c:pt>
                <c:pt idx="415">
                  <c:v>6.139349071580126</c:v>
                </c:pt>
                <c:pt idx="416">
                  <c:v>5.5973589520567639</c:v>
                </c:pt>
                <c:pt idx="417">
                  <c:v>5.5043612700800661</c:v>
                </c:pt>
                <c:pt idx="418">
                  <c:v>5.4989493743018922</c:v>
                </c:pt>
                <c:pt idx="419">
                  <c:v>5.5693374552351287</c:v>
                </c:pt>
                <c:pt idx="420">
                  <c:v>3.7328408016218102</c:v>
                </c:pt>
                <c:pt idx="421">
                  <c:v>4.8982416321210618</c:v>
                </c:pt>
                <c:pt idx="422">
                  <c:v>4.407729940338216</c:v>
                </c:pt>
                <c:pt idx="423">
                  <c:v>4.8092241422492688</c:v>
                </c:pt>
                <c:pt idx="424">
                  <c:v>5.4985212450618928</c:v>
                </c:pt>
                <c:pt idx="425">
                  <c:v>3.7139646135262439</c:v>
                </c:pt>
                <c:pt idx="426">
                  <c:v>4.4486963884488109</c:v>
                </c:pt>
                <c:pt idx="427">
                  <c:v>5.3452851089105646</c:v>
                </c:pt>
                <c:pt idx="428">
                  <c:v>5.0333748112177918</c:v>
                </c:pt>
                <c:pt idx="429">
                  <c:v>5.6883637458017144</c:v>
                </c:pt>
                <c:pt idx="430">
                  <c:v>5.1940784004414109</c:v>
                </c:pt>
                <c:pt idx="431">
                  <c:v>5.6557385777244438</c:v>
                </c:pt>
                <c:pt idx="432">
                  <c:v>5.7501839900857643</c:v>
                </c:pt>
                <c:pt idx="433">
                  <c:v>5.2596477791038918</c:v>
                </c:pt>
                <c:pt idx="434">
                  <c:v>4.6574434561357432</c:v>
                </c:pt>
                <c:pt idx="435">
                  <c:v>4.5602453073169347</c:v>
                </c:pt>
                <c:pt idx="436">
                  <c:v>4.1404520963977802</c:v>
                </c:pt>
                <c:pt idx="437">
                  <c:v>5.4449783201438109</c:v>
                </c:pt>
                <c:pt idx="438">
                  <c:v>4.9656997278398176</c:v>
                </c:pt>
                <c:pt idx="439">
                  <c:v>4.8105443421124257</c:v>
                </c:pt>
                <c:pt idx="440">
                  <c:v>5.7645622852727243</c:v>
                </c:pt>
                <c:pt idx="441">
                  <c:v>4.8223540464101742</c:v>
                </c:pt>
                <c:pt idx="442">
                  <c:v>5.2436672870407506</c:v>
                </c:pt>
                <c:pt idx="443">
                  <c:v>5.3504130001864869</c:v>
                </c:pt>
                <c:pt idx="444">
                  <c:v>4.2893070161687987</c:v>
                </c:pt>
                <c:pt idx="445">
                  <c:v>5.8182259786050103</c:v>
                </c:pt>
                <c:pt idx="446">
                  <c:v>5.7263884617087708</c:v>
                </c:pt>
                <c:pt idx="447">
                  <c:v>5.7771518929068524</c:v>
                </c:pt>
                <c:pt idx="448">
                  <c:v>5.6488368539678344</c:v>
                </c:pt>
                <c:pt idx="449">
                  <c:v>6.8998584084999397</c:v>
                </c:pt>
                <c:pt idx="450">
                  <c:v>5.6613925439231352</c:v>
                </c:pt>
                <c:pt idx="451">
                  <c:v>5.2119405212072856</c:v>
                </c:pt>
                <c:pt idx="452">
                  <c:v>4.2937475899512272</c:v>
                </c:pt>
                <c:pt idx="453">
                  <c:v>4.5836043216931994</c:v>
                </c:pt>
                <c:pt idx="454">
                  <c:v>4.9923660894322666</c:v>
                </c:pt>
                <c:pt idx="455">
                  <c:v>4.2551633995814218</c:v>
                </c:pt>
                <c:pt idx="456">
                  <c:v>4.7253378442895073</c:v>
                </c:pt>
                <c:pt idx="457">
                  <c:v>4.6631706803660418</c:v>
                </c:pt>
                <c:pt idx="458">
                  <c:v>6.0839725791392407</c:v>
                </c:pt>
                <c:pt idx="459">
                  <c:v>5.9632680737434836</c:v>
                </c:pt>
                <c:pt idx="460">
                  <c:v>5.9088067715587069</c:v>
                </c:pt>
                <c:pt idx="461">
                  <c:v>4.4885706362430753</c:v>
                </c:pt>
                <c:pt idx="462">
                  <c:v>4.5413345661995415</c:v>
                </c:pt>
                <c:pt idx="463">
                  <c:v>5.4988934193153813</c:v>
                </c:pt>
                <c:pt idx="464">
                  <c:v>5.1111911826354834</c:v>
                </c:pt>
                <c:pt idx="465">
                  <c:v>3.8004854870564149</c:v>
                </c:pt>
                <c:pt idx="466">
                  <c:v>5.5655839245855443</c:v>
                </c:pt>
                <c:pt idx="467">
                  <c:v>5.9969277557172465</c:v>
                </c:pt>
                <c:pt idx="468">
                  <c:v>4.9559656418371887</c:v>
                </c:pt>
                <c:pt idx="469">
                  <c:v>5.1140139302247913</c:v>
                </c:pt>
                <c:pt idx="470">
                  <c:v>4.3855314428759034</c:v>
                </c:pt>
                <c:pt idx="471">
                  <c:v>4.7806500851419944</c:v>
                </c:pt>
                <c:pt idx="472">
                  <c:v>6.2092040291428159</c:v>
                </c:pt>
                <c:pt idx="473">
                  <c:v>6.0168182564605459</c:v>
                </c:pt>
                <c:pt idx="474">
                  <c:v>5.3889529909172094</c:v>
                </c:pt>
                <c:pt idx="475">
                  <c:v>5.8484675311511758</c:v>
                </c:pt>
                <c:pt idx="476">
                  <c:v>4.9087769524382541</c:v>
                </c:pt>
                <c:pt idx="477">
                  <c:v>4.7879136860723541</c:v>
                </c:pt>
                <c:pt idx="478">
                  <c:v>4.6827830830842707</c:v>
                </c:pt>
                <c:pt idx="479">
                  <c:v>5.7529589096539517</c:v>
                </c:pt>
                <c:pt idx="480">
                  <c:v>5.4444592827760356</c:v>
                </c:pt>
                <c:pt idx="481">
                  <c:v>5.7267039300452396</c:v>
                </c:pt>
                <c:pt idx="482">
                  <c:v>3.9022531865546526</c:v>
                </c:pt>
                <c:pt idx="483">
                  <c:v>6.1214625242911094</c:v>
                </c:pt>
                <c:pt idx="484">
                  <c:v>5.3949295952111367</c:v>
                </c:pt>
                <c:pt idx="485">
                  <c:v>4.7657787356952426</c:v>
                </c:pt>
                <c:pt idx="486">
                  <c:v>5.6069202810282999</c:v>
                </c:pt>
                <c:pt idx="487">
                  <c:v>5.0490305168423699</c:v>
                </c:pt>
                <c:pt idx="488">
                  <c:v>5.3164638248871192</c:v>
                </c:pt>
                <c:pt idx="489">
                  <c:v>4.4045583375037918</c:v>
                </c:pt>
                <c:pt idx="490">
                  <c:v>5.1829575851907155</c:v>
                </c:pt>
                <c:pt idx="491">
                  <c:v>4.9253429496567822</c:v>
                </c:pt>
                <c:pt idx="492">
                  <c:v>5.621199966025161</c:v>
                </c:pt>
                <c:pt idx="493">
                  <c:v>5.1418870524904836</c:v>
                </c:pt>
                <c:pt idx="494">
                  <c:v>5.1182457487071407</c:v>
                </c:pt>
                <c:pt idx="495">
                  <c:v>5.5935237554682953</c:v>
                </c:pt>
                <c:pt idx="496">
                  <c:v>4.7201660902042413</c:v>
                </c:pt>
                <c:pt idx="497">
                  <c:v>4.4688247029150361</c:v>
                </c:pt>
                <c:pt idx="498">
                  <c:v>4.7642735804984326</c:v>
                </c:pt>
                <c:pt idx="499">
                  <c:v>5.9353641862602515</c:v>
                </c:pt>
                <c:pt idx="500">
                  <c:v>3.5013210119052545</c:v>
                </c:pt>
                <c:pt idx="501">
                  <c:v>4.7564588836806774</c:v>
                </c:pt>
                <c:pt idx="502">
                  <c:v>5.6984442115245031</c:v>
                </c:pt>
                <c:pt idx="503">
                  <c:v>5.1466309088440987</c:v>
                </c:pt>
                <c:pt idx="504">
                  <c:v>5.0704610833670323</c:v>
                </c:pt>
                <c:pt idx="505">
                  <c:v>4.18261352838074</c:v>
                </c:pt>
                <c:pt idx="506">
                  <c:v>5.2600550049886863</c:v>
                </c:pt>
                <c:pt idx="507">
                  <c:v>5.6758172048276201</c:v>
                </c:pt>
                <c:pt idx="508">
                  <c:v>5.0422684230576529</c:v>
                </c:pt>
                <c:pt idx="509">
                  <c:v>5.3713030126369805</c:v>
                </c:pt>
                <c:pt idx="510">
                  <c:v>5.0095431551115102</c:v>
                </c:pt>
                <c:pt idx="511">
                  <c:v>5.5202625465597475</c:v>
                </c:pt>
                <c:pt idx="512">
                  <c:v>5.3112589370691126</c:v>
                </c:pt>
                <c:pt idx="513">
                  <c:v>6.3181177876496637</c:v>
                </c:pt>
                <c:pt idx="514">
                  <c:v>4.5944513455013904</c:v>
                </c:pt>
                <c:pt idx="515">
                  <c:v>5.5125436836655499</c:v>
                </c:pt>
                <c:pt idx="516">
                  <c:v>4.5125280414948481</c:v>
                </c:pt>
                <c:pt idx="517">
                  <c:v>6.1199408163740561</c:v>
                </c:pt>
                <c:pt idx="518">
                  <c:v>5.5557396396434093</c:v>
                </c:pt>
                <c:pt idx="519">
                  <c:v>5.2516010529605222</c:v>
                </c:pt>
                <c:pt idx="520">
                  <c:v>4.9473915668889212</c:v>
                </c:pt>
                <c:pt idx="521">
                  <c:v>5.5356430301779405</c:v>
                </c:pt>
                <c:pt idx="522">
                  <c:v>6.361252876878428</c:v>
                </c:pt>
                <c:pt idx="523">
                  <c:v>4.9588788404219635</c:v>
                </c:pt>
                <c:pt idx="524">
                  <c:v>5.6934016169071544</c:v>
                </c:pt>
                <c:pt idx="525">
                  <c:v>4.3783641419349291</c:v>
                </c:pt>
                <c:pt idx="526">
                  <c:v>4.9797721634711092</c:v>
                </c:pt>
                <c:pt idx="527">
                  <c:v>5.5529508200648845</c:v>
                </c:pt>
                <c:pt idx="528">
                  <c:v>5.3119340790385721</c:v>
                </c:pt>
                <c:pt idx="529">
                  <c:v>5.813520899701814</c:v>
                </c:pt>
                <c:pt idx="530">
                  <c:v>4.6239372774688441</c:v>
                </c:pt>
                <c:pt idx="531">
                  <c:v>3.6629315143105003</c:v>
                </c:pt>
                <c:pt idx="532">
                  <c:v>5.4813479241091585</c:v>
                </c:pt>
                <c:pt idx="533">
                  <c:v>5.1814404866249575</c:v>
                </c:pt>
                <c:pt idx="534">
                  <c:v>6.0968334992636439</c:v>
                </c:pt>
                <c:pt idx="535">
                  <c:v>5.2121927878521728</c:v>
                </c:pt>
                <c:pt idx="536">
                  <c:v>4.9815387370327961</c:v>
                </c:pt>
                <c:pt idx="537">
                  <c:v>4.7836287044315835</c:v>
                </c:pt>
                <c:pt idx="538">
                  <c:v>4.6531404421948626</c:v>
                </c:pt>
                <c:pt idx="539">
                  <c:v>4.7413714859666651</c:v>
                </c:pt>
                <c:pt idx="540">
                  <c:v>5.8185720639186762</c:v>
                </c:pt>
                <c:pt idx="541">
                  <c:v>4.898246600910845</c:v>
                </c:pt>
                <c:pt idx="542">
                  <c:v>5.8722833553905627</c:v>
                </c:pt>
                <c:pt idx="543">
                  <c:v>5.1115477043607456</c:v>
                </c:pt>
                <c:pt idx="544">
                  <c:v>5.4762230444550841</c:v>
                </c:pt>
                <c:pt idx="545">
                  <c:v>4.4734964008966234</c:v>
                </c:pt>
                <c:pt idx="546">
                  <c:v>5.9869675733876857</c:v>
                </c:pt>
                <c:pt idx="547">
                  <c:v>5.1763698924813344</c:v>
                </c:pt>
                <c:pt idx="548">
                  <c:v>5.1661297102162234</c:v>
                </c:pt>
                <c:pt idx="549">
                  <c:v>5.3785710135305944</c:v>
                </c:pt>
                <c:pt idx="550">
                  <c:v>4.7088657278824329</c:v>
                </c:pt>
                <c:pt idx="551">
                  <c:v>4.4273126605211388</c:v>
                </c:pt>
                <c:pt idx="552">
                  <c:v>4.4245739831123991</c:v>
                </c:pt>
                <c:pt idx="553">
                  <c:v>5.4369523282093688</c:v>
                </c:pt>
                <c:pt idx="554">
                  <c:v>3.4946492804688027</c:v>
                </c:pt>
                <c:pt idx="555">
                  <c:v>4.8767745036587513</c:v>
                </c:pt>
                <c:pt idx="556">
                  <c:v>5.9836331175264537</c:v>
                </c:pt>
                <c:pt idx="557">
                  <c:v>5.070381749580406</c:v>
                </c:pt>
                <c:pt idx="558">
                  <c:v>5.4414804912947972</c:v>
                </c:pt>
                <c:pt idx="559">
                  <c:v>6.1352087739100494</c:v>
                </c:pt>
                <c:pt idx="560">
                  <c:v>5.6627349505419691</c:v>
                </c:pt>
                <c:pt idx="561">
                  <c:v>4.3503919612620017</c:v>
                </c:pt>
                <c:pt idx="562">
                  <c:v>5.6617895368191782</c:v>
                </c:pt>
                <c:pt idx="563">
                  <c:v>5.5108296950212132</c:v>
                </c:pt>
                <c:pt idx="564">
                  <c:v>5.2957869766920194</c:v>
                </c:pt>
                <c:pt idx="565">
                  <c:v>5.7542839129877645</c:v>
                </c:pt>
                <c:pt idx="566">
                  <c:v>3.8486368109332787</c:v>
                </c:pt>
                <c:pt idx="567">
                  <c:v>5.3698239978086928</c:v>
                </c:pt>
                <c:pt idx="568">
                  <c:v>5.0977501247308297</c:v>
                </c:pt>
                <c:pt idx="569">
                  <c:v>5.004793090229084</c:v>
                </c:pt>
                <c:pt idx="570">
                  <c:v>4.574964192329313</c:v>
                </c:pt>
                <c:pt idx="571">
                  <c:v>5.8054445194529976</c:v>
                </c:pt>
                <c:pt idx="572">
                  <c:v>4.9938036450881249</c:v>
                </c:pt>
                <c:pt idx="573">
                  <c:v>4.8823975451218278</c:v>
                </c:pt>
                <c:pt idx="574">
                  <c:v>5.1957202890406027</c:v>
                </c:pt>
                <c:pt idx="575">
                  <c:v>5.6960692764288989</c:v>
                </c:pt>
                <c:pt idx="576">
                  <c:v>5.5816478351114185</c:v>
                </c:pt>
                <c:pt idx="577">
                  <c:v>6.0642882724101241</c:v>
                </c:pt>
                <c:pt idx="578">
                  <c:v>5.0716356595202701</c:v>
                </c:pt>
                <c:pt idx="579">
                  <c:v>5.4122895019783019</c:v>
                </c:pt>
                <c:pt idx="580">
                  <c:v>3.9154814271065774</c:v>
                </c:pt>
                <c:pt idx="581">
                  <c:v>5.2694756367809212</c:v>
                </c:pt>
                <c:pt idx="582">
                  <c:v>4.2931043851437423</c:v>
                </c:pt>
                <c:pt idx="583">
                  <c:v>5.052298158229334</c:v>
                </c:pt>
                <c:pt idx="584">
                  <c:v>4.6889694564883975</c:v>
                </c:pt>
                <c:pt idx="585">
                  <c:v>5.6402801486381406</c:v>
                </c:pt>
                <c:pt idx="586">
                  <c:v>4.8880899464159597</c:v>
                </c:pt>
                <c:pt idx="587">
                  <c:v>4.7876611039871566</c:v>
                </c:pt>
                <c:pt idx="588">
                  <c:v>4.3383705014407941</c:v>
                </c:pt>
                <c:pt idx="589">
                  <c:v>4.2769156680336753</c:v>
                </c:pt>
                <c:pt idx="590">
                  <c:v>5.6609951741733369</c:v>
                </c:pt>
                <c:pt idx="591">
                  <c:v>5.7277740631032863</c:v>
                </c:pt>
                <c:pt idx="592">
                  <c:v>5.4798775862722575</c:v>
                </c:pt>
                <c:pt idx="593">
                  <c:v>5.4123720800671435</c:v>
                </c:pt>
                <c:pt idx="594">
                  <c:v>6.3871068738344956</c:v>
                </c:pt>
                <c:pt idx="595">
                  <c:v>5.4350333354034852</c:v>
                </c:pt>
                <c:pt idx="596">
                  <c:v>5.6133456767727541</c:v>
                </c:pt>
                <c:pt idx="597">
                  <c:v>4.6080803936696153</c:v>
                </c:pt>
                <c:pt idx="598">
                  <c:v>5.8273808286181215</c:v>
                </c:pt>
                <c:pt idx="599">
                  <c:v>5.8197273354341839</c:v>
                </c:pt>
                <c:pt idx="600">
                  <c:v>5.2792329154060518</c:v>
                </c:pt>
                <c:pt idx="601">
                  <c:v>4.7917673478428107</c:v>
                </c:pt>
                <c:pt idx="602">
                  <c:v>5.3789927107752433</c:v>
                </c:pt>
                <c:pt idx="603">
                  <c:v>5.7403441501866759</c:v>
                </c:pt>
                <c:pt idx="604">
                  <c:v>5.2819385302481638</c:v>
                </c:pt>
                <c:pt idx="605">
                  <c:v>6.1527193134279532</c:v>
                </c:pt>
                <c:pt idx="606">
                  <c:v>5.3644857095787994</c:v>
                </c:pt>
                <c:pt idx="607">
                  <c:v>5.0167125821402276</c:v>
                </c:pt>
                <c:pt idx="608">
                  <c:v>5.2991243292411809</c:v>
                </c:pt>
                <c:pt idx="609">
                  <c:v>4.6269087022437265</c:v>
                </c:pt>
                <c:pt idx="610">
                  <c:v>5.1404488414561396</c:v>
                </c:pt>
                <c:pt idx="611">
                  <c:v>5.0941413565666789</c:v>
                </c:pt>
                <c:pt idx="612">
                  <c:v>5.5810617208302578</c:v>
                </c:pt>
                <c:pt idx="613">
                  <c:v>4.5599751101365555</c:v>
                </c:pt>
                <c:pt idx="614">
                  <c:v>5.0300626626614147</c:v>
                </c:pt>
                <c:pt idx="615">
                  <c:v>4.61783519684586</c:v>
                </c:pt>
                <c:pt idx="616">
                  <c:v>6.0046491657195755</c:v>
                </c:pt>
                <c:pt idx="617">
                  <c:v>5.207573663010713</c:v>
                </c:pt>
                <c:pt idx="618">
                  <c:v>4.4141995015479267</c:v>
                </c:pt>
                <c:pt idx="619">
                  <c:v>5.4137029110857355</c:v>
                </c:pt>
                <c:pt idx="620">
                  <c:v>5.1072772891860758</c:v>
                </c:pt>
                <c:pt idx="621">
                  <c:v>5.30398637640163</c:v>
                </c:pt>
                <c:pt idx="622">
                  <c:v>4.2709977869253635</c:v>
                </c:pt>
                <c:pt idx="623">
                  <c:v>5.1450038705639187</c:v>
                </c:pt>
                <c:pt idx="624">
                  <c:v>5.2133135735548422</c:v>
                </c:pt>
                <c:pt idx="625">
                  <c:v>5.5004167338978966</c:v>
                </c:pt>
                <c:pt idx="626">
                  <c:v>6.2623744206826313</c:v>
                </c:pt>
                <c:pt idx="627">
                  <c:v>5.5143162557555847</c:v>
                </c:pt>
                <c:pt idx="628">
                  <c:v>5.2152840502813778</c:v>
                </c:pt>
                <c:pt idx="629">
                  <c:v>4.4655797212303998</c:v>
                </c:pt>
                <c:pt idx="630">
                  <c:v>5.189650307522971</c:v>
                </c:pt>
                <c:pt idx="631">
                  <c:v>5.8370279131314238</c:v>
                </c:pt>
                <c:pt idx="632">
                  <c:v>5.2446488835901093</c:v>
                </c:pt>
                <c:pt idx="633">
                  <c:v>5.1993688344488014</c:v>
                </c:pt>
                <c:pt idx="634">
                  <c:v>4.6550038663555267</c:v>
                </c:pt>
                <c:pt idx="635">
                  <c:v>5.92270107524193</c:v>
                </c:pt>
                <c:pt idx="636">
                  <c:v>5.8150385548319399</c:v>
                </c:pt>
                <c:pt idx="637">
                  <c:v>4.3095871718139307</c:v>
                </c:pt>
                <c:pt idx="638">
                  <c:v>5.545521462594305</c:v>
                </c:pt>
                <c:pt idx="639">
                  <c:v>5.1772429828829427</c:v>
                </c:pt>
                <c:pt idx="640">
                  <c:v>5.038209597205773</c:v>
                </c:pt>
                <c:pt idx="641">
                  <c:v>5.2683755963634908</c:v>
                </c:pt>
                <c:pt idx="642">
                  <c:v>5.4339426532827417</c:v>
                </c:pt>
                <c:pt idx="643">
                  <c:v>5.2510084337898064</c:v>
                </c:pt>
                <c:pt idx="644">
                  <c:v>4.8265381317615752</c:v>
                </c:pt>
                <c:pt idx="645">
                  <c:v>3.7671471755571773</c:v>
                </c:pt>
                <c:pt idx="646">
                  <c:v>5.5173674770843508</c:v>
                </c:pt>
                <c:pt idx="647">
                  <c:v>5.3329774376880952</c:v>
                </c:pt>
                <c:pt idx="648">
                  <c:v>4.2584719065452692</c:v>
                </c:pt>
                <c:pt idx="649">
                  <c:v>5.2769521800493298</c:v>
                </c:pt>
                <c:pt idx="650">
                  <c:v>4.7539943572461283</c:v>
                </c:pt>
                <c:pt idx="651">
                  <c:v>5.2765092655767418</c:v>
                </c:pt>
                <c:pt idx="652">
                  <c:v>5.0708856272442802</c:v>
                </c:pt>
                <c:pt idx="653">
                  <c:v>4.753745620708445</c:v>
                </c:pt>
                <c:pt idx="654">
                  <c:v>5.1765482079049612</c:v>
                </c:pt>
                <c:pt idx="655">
                  <c:v>5.9240654997489433</c:v>
                </c:pt>
                <c:pt idx="656">
                  <c:v>4.4676781891581445</c:v>
                </c:pt>
                <c:pt idx="657">
                  <c:v>6.046155866514237</c:v>
                </c:pt>
                <c:pt idx="658">
                  <c:v>6.1609197248776173</c:v>
                </c:pt>
                <c:pt idx="659">
                  <c:v>4.7838067740071182</c:v>
                </c:pt>
                <c:pt idx="660">
                  <c:v>5.3280967466483045</c:v>
                </c:pt>
                <c:pt idx="661">
                  <c:v>4.4034578298290974</c:v>
                </c:pt>
                <c:pt idx="662">
                  <c:v>4.5973079021515755</c:v>
                </c:pt>
                <c:pt idx="663">
                  <c:v>4.8692487642612949</c:v>
                </c:pt>
                <c:pt idx="664">
                  <c:v>4.5963130897320337</c:v>
                </c:pt>
                <c:pt idx="665">
                  <c:v>5.1428984447318946</c:v>
                </c:pt>
                <c:pt idx="666">
                  <c:v>5.0581899426750656</c:v>
                </c:pt>
                <c:pt idx="667">
                  <c:v>5.4357398619624355</c:v>
                </c:pt>
                <c:pt idx="668">
                  <c:v>5.1598729969850421</c:v>
                </c:pt>
                <c:pt idx="669">
                  <c:v>5.1150977464022738</c:v>
                </c:pt>
                <c:pt idx="670">
                  <c:v>4.6970935706536245</c:v>
                </c:pt>
                <c:pt idx="671">
                  <c:v>5.5047765716203791</c:v>
                </c:pt>
                <c:pt idx="672">
                  <c:v>5.2663197077406796</c:v>
                </c:pt>
                <c:pt idx="673">
                  <c:v>5.557716388386666</c:v>
                </c:pt>
                <c:pt idx="674">
                  <c:v>4.0161079985521955</c:v>
                </c:pt>
                <c:pt idx="675">
                  <c:v>5.1996933060330672</c:v>
                </c:pt>
                <c:pt idx="676">
                  <c:v>5.6027896467724361</c:v>
                </c:pt>
                <c:pt idx="677">
                  <c:v>5.0215088756371316</c:v>
                </c:pt>
                <c:pt idx="678">
                  <c:v>5.6337685482139488</c:v>
                </c:pt>
                <c:pt idx="679">
                  <c:v>5.19126096366643</c:v>
                </c:pt>
                <c:pt idx="680">
                  <c:v>5.5494482368893348</c:v>
                </c:pt>
                <c:pt idx="681">
                  <c:v>5.221779005629239</c:v>
                </c:pt>
                <c:pt idx="682">
                  <c:v>3.952922158773541</c:v>
                </c:pt>
                <c:pt idx="683">
                  <c:v>5.082736985979162</c:v>
                </c:pt>
                <c:pt idx="684">
                  <c:v>4.5526534564873202</c:v>
                </c:pt>
                <c:pt idx="685">
                  <c:v>6.0954194533573816</c:v>
                </c:pt>
                <c:pt idx="686">
                  <c:v>5.5545705556857001</c:v>
                </c:pt>
                <c:pt idx="687">
                  <c:v>5.472654672888952</c:v>
                </c:pt>
                <c:pt idx="688">
                  <c:v>5.3725026766781312</c:v>
                </c:pt>
                <c:pt idx="689">
                  <c:v>3.8699832069908382</c:v>
                </c:pt>
                <c:pt idx="690">
                  <c:v>4.1287960028461459</c:v>
                </c:pt>
                <c:pt idx="691">
                  <c:v>5.0299655147044291</c:v>
                </c:pt>
                <c:pt idx="692">
                  <c:v>5.4175841934055313</c:v>
                </c:pt>
                <c:pt idx="693">
                  <c:v>5.229997399341487</c:v>
                </c:pt>
                <c:pt idx="694">
                  <c:v>5.040184569837562</c:v>
                </c:pt>
                <c:pt idx="695">
                  <c:v>4.7761831170853881</c:v>
                </c:pt>
                <c:pt idx="696">
                  <c:v>5.0748419503058564</c:v>
                </c:pt>
                <c:pt idx="697">
                  <c:v>4.6472489806988069</c:v>
                </c:pt>
                <c:pt idx="698">
                  <c:v>4.789883375953389</c:v>
                </c:pt>
                <c:pt idx="699">
                  <c:v>5.5087858384845081</c:v>
                </c:pt>
                <c:pt idx="700">
                  <c:v>4.6466591562056507</c:v>
                </c:pt>
                <c:pt idx="701">
                  <c:v>6.0469587575538259</c:v>
                </c:pt>
                <c:pt idx="702">
                  <c:v>4.0071699828523606</c:v>
                </c:pt>
                <c:pt idx="703">
                  <c:v>4.8491018942162967</c:v>
                </c:pt>
                <c:pt idx="704">
                  <c:v>5.2009310597632457</c:v>
                </c:pt>
                <c:pt idx="705">
                  <c:v>5.5292742392497409</c:v>
                </c:pt>
                <c:pt idx="706">
                  <c:v>4.4809548235064085</c:v>
                </c:pt>
                <c:pt idx="707">
                  <c:v>4.9909208116456902</c:v>
                </c:pt>
                <c:pt idx="708">
                  <c:v>5.5850007886340833</c:v>
                </c:pt>
                <c:pt idx="709">
                  <c:v>5.1020389071131262</c:v>
                </c:pt>
                <c:pt idx="710">
                  <c:v>5.4700219958241636</c:v>
                </c:pt>
                <c:pt idx="711">
                  <c:v>5.5233181215444738</c:v>
                </c:pt>
                <c:pt idx="712">
                  <c:v>6.1597653418589484</c:v>
                </c:pt>
                <c:pt idx="713">
                  <c:v>5.7026693655123051</c:v>
                </c:pt>
                <c:pt idx="714">
                  <c:v>5.3454828430364412</c:v>
                </c:pt>
                <c:pt idx="715">
                  <c:v>3.2984488016777185</c:v>
                </c:pt>
                <c:pt idx="716">
                  <c:v>4.5389560750274125</c:v>
                </c:pt>
                <c:pt idx="717">
                  <c:v>4.7150358886441168</c:v>
                </c:pt>
                <c:pt idx="718">
                  <c:v>5.8301836675378684</c:v>
                </c:pt>
                <c:pt idx="719">
                  <c:v>4.8098817591423444</c:v>
                </c:pt>
                <c:pt idx="720">
                  <c:v>5.1064614779017727</c:v>
                </c:pt>
                <c:pt idx="721">
                  <c:v>4.8823326666580762</c:v>
                </c:pt>
                <c:pt idx="722">
                  <c:v>5.3365638248745491</c:v>
                </c:pt>
                <c:pt idx="723">
                  <c:v>5.0477608302784258</c:v>
                </c:pt>
                <c:pt idx="724">
                  <c:v>4.9446110264912999</c:v>
                </c:pt>
                <c:pt idx="725">
                  <c:v>4.5053267140594073</c:v>
                </c:pt>
                <c:pt idx="726">
                  <c:v>5.0279914638746792</c:v>
                </c:pt>
                <c:pt idx="727">
                  <c:v>4.5315310612656301</c:v>
                </c:pt>
                <c:pt idx="728">
                  <c:v>5.5884225988284815</c:v>
                </c:pt>
                <c:pt idx="729">
                  <c:v>5.8738038144139271</c:v>
                </c:pt>
                <c:pt idx="730">
                  <c:v>4.8084362758547901</c:v>
                </c:pt>
                <c:pt idx="731">
                  <c:v>5.7681671585925525</c:v>
                </c:pt>
                <c:pt idx="732">
                  <c:v>5.729521175840901</c:v>
                </c:pt>
                <c:pt idx="733">
                  <c:v>5.5111278223270155</c:v>
                </c:pt>
                <c:pt idx="734">
                  <c:v>4.3339384726253662</c:v>
                </c:pt>
                <c:pt idx="735">
                  <c:v>5.9520550393475649</c:v>
                </c:pt>
                <c:pt idx="736">
                  <c:v>5.055481674140891</c:v>
                </c:pt>
                <c:pt idx="737">
                  <c:v>5.3021228482673131</c:v>
                </c:pt>
                <c:pt idx="738">
                  <c:v>4.9919814476955473</c:v>
                </c:pt>
                <c:pt idx="739">
                  <c:v>5.9444279751887112</c:v>
                </c:pt>
                <c:pt idx="740">
                  <c:v>4.9556087239387434</c:v>
                </c:pt>
                <c:pt idx="741">
                  <c:v>6.5263907564367916</c:v>
                </c:pt>
                <c:pt idx="742">
                  <c:v>5.2772080373690589</c:v>
                </c:pt>
                <c:pt idx="743">
                  <c:v>5.4056491511969362</c:v>
                </c:pt>
                <c:pt idx="744">
                  <c:v>6.5541568427833887</c:v>
                </c:pt>
                <c:pt idx="745">
                  <c:v>5.8565836195123904</c:v>
                </c:pt>
                <c:pt idx="746">
                  <c:v>4.4010443375213431</c:v>
                </c:pt>
                <c:pt idx="747">
                  <c:v>4.6784129951554085</c:v>
                </c:pt>
                <c:pt idx="748">
                  <c:v>5.1897331210508924</c:v>
                </c:pt>
                <c:pt idx="749">
                  <c:v>5.612408058854145</c:v>
                </c:pt>
                <c:pt idx="750">
                  <c:v>4.8228007159536119</c:v>
                </c:pt>
                <c:pt idx="751">
                  <c:v>6.0721625929739584</c:v>
                </c:pt>
                <c:pt idx="752">
                  <c:v>4.5349511333170938</c:v>
                </c:pt>
                <c:pt idx="753">
                  <c:v>5.3585266655955781</c:v>
                </c:pt>
                <c:pt idx="754">
                  <c:v>6.0703788949866233</c:v>
                </c:pt>
                <c:pt idx="755">
                  <c:v>4.5102395904466324</c:v>
                </c:pt>
                <c:pt idx="756">
                  <c:v>3.8694207585635265</c:v>
                </c:pt>
                <c:pt idx="757">
                  <c:v>5.5383333394806051</c:v>
                </c:pt>
                <c:pt idx="758">
                  <c:v>5.3126957413268592</c:v>
                </c:pt>
                <c:pt idx="759">
                  <c:v>5.7354805669990672</c:v>
                </c:pt>
                <c:pt idx="760">
                  <c:v>5.1756974167922234</c:v>
                </c:pt>
                <c:pt idx="761">
                  <c:v>5.2449081493974834</c:v>
                </c:pt>
                <c:pt idx="762">
                  <c:v>4.8552257794352549</c:v>
                </c:pt>
                <c:pt idx="763">
                  <c:v>4.8280332068569898</c:v>
                </c:pt>
                <c:pt idx="764">
                  <c:v>4.0010363338269652</c:v>
                </c:pt>
                <c:pt idx="765">
                  <c:v>4.732269542409</c:v>
                </c:pt>
                <c:pt idx="766">
                  <c:v>6.4601274488748519</c:v>
                </c:pt>
                <c:pt idx="767">
                  <c:v>5.7984818813259782</c:v>
                </c:pt>
                <c:pt idx="768">
                  <c:v>4.3988267069897287</c:v>
                </c:pt>
                <c:pt idx="769">
                  <c:v>4.5569870721112569</c:v>
                </c:pt>
                <c:pt idx="770">
                  <c:v>5.0611015326336304</c:v>
                </c:pt>
                <c:pt idx="771">
                  <c:v>4.9033318544080977</c:v>
                </c:pt>
                <c:pt idx="772">
                  <c:v>6.0049642952747284</c:v>
                </c:pt>
                <c:pt idx="773">
                  <c:v>5.6727567778598846</c:v>
                </c:pt>
                <c:pt idx="774">
                  <c:v>4.7094327325199199</c:v>
                </c:pt>
                <c:pt idx="775">
                  <c:v>4.9074550306752887</c:v>
                </c:pt>
                <c:pt idx="776">
                  <c:v>4.3114689446045915</c:v>
                </c:pt>
                <c:pt idx="777">
                  <c:v>6.1539355131876796</c:v>
                </c:pt>
                <c:pt idx="778">
                  <c:v>3.8530534381326689</c:v>
                </c:pt>
                <c:pt idx="779">
                  <c:v>3.9008951766861575</c:v>
                </c:pt>
                <c:pt idx="780">
                  <c:v>5.0790406241008963</c:v>
                </c:pt>
                <c:pt idx="781">
                  <c:v>5.1386704291658614</c:v>
                </c:pt>
                <c:pt idx="782">
                  <c:v>5.6541391661959288</c:v>
                </c:pt>
                <c:pt idx="783">
                  <c:v>4.1052311309148948</c:v>
                </c:pt>
                <c:pt idx="784">
                  <c:v>4.7481709574489077</c:v>
                </c:pt>
                <c:pt idx="785">
                  <c:v>5.6026190557025135</c:v>
                </c:pt>
                <c:pt idx="786">
                  <c:v>4.2494869132354172</c:v>
                </c:pt>
                <c:pt idx="787">
                  <c:v>4.56693545040274</c:v>
                </c:pt>
                <c:pt idx="788">
                  <c:v>4.9336884431781698</c:v>
                </c:pt>
                <c:pt idx="789">
                  <c:v>4.6631570206265565</c:v>
                </c:pt>
                <c:pt idx="790">
                  <c:v>5.5159644584692256</c:v>
                </c:pt>
                <c:pt idx="791">
                  <c:v>5.4707374660240937</c:v>
                </c:pt>
                <c:pt idx="792">
                  <c:v>5.9149054509685275</c:v>
                </c:pt>
                <c:pt idx="793">
                  <c:v>5.0721331731972814</c:v>
                </c:pt>
                <c:pt idx="794">
                  <c:v>5.2160818320549751</c:v>
                </c:pt>
                <c:pt idx="795">
                  <c:v>6.0347468851743766</c:v>
                </c:pt>
                <c:pt idx="796">
                  <c:v>4.9575143014352694</c:v>
                </c:pt>
                <c:pt idx="797">
                  <c:v>6.0990654574467662</c:v>
                </c:pt>
                <c:pt idx="798">
                  <c:v>5.466957774882987</c:v>
                </c:pt>
                <c:pt idx="799">
                  <c:v>5.5609853596540617</c:v>
                </c:pt>
                <c:pt idx="800">
                  <c:v>5.2215267554435627</c:v>
                </c:pt>
                <c:pt idx="801">
                  <c:v>5.719375385927874</c:v>
                </c:pt>
                <c:pt idx="802">
                  <c:v>5.3597854368848044</c:v>
                </c:pt>
                <c:pt idx="803">
                  <c:v>6.4004409004986726</c:v>
                </c:pt>
                <c:pt idx="804">
                  <c:v>5.4691926144400878</c:v>
                </c:pt>
                <c:pt idx="805">
                  <c:v>5.9021605081583601</c:v>
                </c:pt>
                <c:pt idx="806">
                  <c:v>5.256721416850306</c:v>
                </c:pt>
                <c:pt idx="807">
                  <c:v>4.4714220343325035</c:v>
                </c:pt>
                <c:pt idx="808">
                  <c:v>5.3539170550371349</c:v>
                </c:pt>
                <c:pt idx="809">
                  <c:v>5.7034394564839968</c:v>
                </c:pt>
                <c:pt idx="810">
                  <c:v>5.3509575185889471</c:v>
                </c:pt>
                <c:pt idx="811">
                  <c:v>4.4033722094376113</c:v>
                </c:pt>
                <c:pt idx="812">
                  <c:v>4.7642260632378921</c:v>
                </c:pt>
                <c:pt idx="813">
                  <c:v>4.8190157768271273</c:v>
                </c:pt>
                <c:pt idx="814">
                  <c:v>3.3660156431346255</c:v>
                </c:pt>
                <c:pt idx="815">
                  <c:v>4.6234461898631949</c:v>
                </c:pt>
                <c:pt idx="816">
                  <c:v>4.7240912731865219</c:v>
                </c:pt>
                <c:pt idx="817">
                  <c:v>5.3874843221066691</c:v>
                </c:pt>
                <c:pt idx="818">
                  <c:v>4.418679086925632</c:v>
                </c:pt>
                <c:pt idx="819">
                  <c:v>5.6126679190753705</c:v>
                </c:pt>
                <c:pt idx="820">
                  <c:v>5.5768344384508595</c:v>
                </c:pt>
                <c:pt idx="821">
                  <c:v>4.3657016898500824</c:v>
                </c:pt>
                <c:pt idx="822">
                  <c:v>5.7116118838730614</c:v>
                </c:pt>
                <c:pt idx="823">
                  <c:v>5.3081460864830241</c:v>
                </c:pt>
                <c:pt idx="824">
                  <c:v>5.4519046674411964</c:v>
                </c:pt>
                <c:pt idx="825">
                  <c:v>5.770531617632388</c:v>
                </c:pt>
                <c:pt idx="826">
                  <c:v>6.0719664295199802</c:v>
                </c:pt>
                <c:pt idx="827">
                  <c:v>6.0482836828161091</c:v>
                </c:pt>
                <c:pt idx="828">
                  <c:v>5.6230637441774789</c:v>
                </c:pt>
                <c:pt idx="829">
                  <c:v>5.0479437243204544</c:v>
                </c:pt>
                <c:pt idx="830">
                  <c:v>5.1146515927682241</c:v>
                </c:pt>
                <c:pt idx="831">
                  <c:v>5.2754843211540425</c:v>
                </c:pt>
                <c:pt idx="832">
                  <c:v>4.5899140571369337</c:v>
                </c:pt>
                <c:pt idx="833">
                  <c:v>4.9570255846766962</c:v>
                </c:pt>
                <c:pt idx="834">
                  <c:v>6.1908420991910127</c:v>
                </c:pt>
                <c:pt idx="835">
                  <c:v>4.9138954577118916</c:v>
                </c:pt>
                <c:pt idx="836">
                  <c:v>5.1990025549127701</c:v>
                </c:pt>
                <c:pt idx="837">
                  <c:v>5.259481510426836</c:v>
                </c:pt>
                <c:pt idx="838">
                  <c:v>4.8966716589875858</c:v>
                </c:pt>
                <c:pt idx="839">
                  <c:v>4.579124510090022</c:v>
                </c:pt>
                <c:pt idx="840">
                  <c:v>6.1483722072941926</c:v>
                </c:pt>
                <c:pt idx="841">
                  <c:v>5.4603081592007001</c:v>
                </c:pt>
                <c:pt idx="842">
                  <c:v>6.0413207011101875</c:v>
                </c:pt>
                <c:pt idx="843">
                  <c:v>4.871497805123937</c:v>
                </c:pt>
                <c:pt idx="844">
                  <c:v>5.2123782673177583</c:v>
                </c:pt>
                <c:pt idx="845">
                  <c:v>5.8849112302657325</c:v>
                </c:pt>
                <c:pt idx="846">
                  <c:v>5.8803863721903387</c:v>
                </c:pt>
                <c:pt idx="847">
                  <c:v>3.9307746870462967</c:v>
                </c:pt>
                <c:pt idx="848">
                  <c:v>5.3493280867807051</c:v>
                </c:pt>
                <c:pt idx="849">
                  <c:v>4.6280958455572598</c:v>
                </c:pt>
                <c:pt idx="850">
                  <c:v>5.8097474281053572</c:v>
                </c:pt>
                <c:pt idx="851">
                  <c:v>6.0927482503341199</c:v>
                </c:pt>
                <c:pt idx="852">
                  <c:v>5.5903046307185562</c:v>
                </c:pt>
                <c:pt idx="853">
                  <c:v>5.2976656580797119</c:v>
                </c:pt>
                <c:pt idx="854">
                  <c:v>3.7880604198266639</c:v>
                </c:pt>
                <c:pt idx="855">
                  <c:v>4.9255088380734939</c:v>
                </c:pt>
                <c:pt idx="856">
                  <c:v>5.56670204018417</c:v>
                </c:pt>
                <c:pt idx="857">
                  <c:v>4.7515842080514474</c:v>
                </c:pt>
                <c:pt idx="858">
                  <c:v>4.5683871990681766</c:v>
                </c:pt>
                <c:pt idx="859">
                  <c:v>4.4080774672270522</c:v>
                </c:pt>
                <c:pt idx="860">
                  <c:v>5.0338850669413766</c:v>
                </c:pt>
                <c:pt idx="861">
                  <c:v>4.3786362260480445</c:v>
                </c:pt>
                <c:pt idx="862">
                  <c:v>6.3802817778185634</c:v>
                </c:pt>
                <c:pt idx="863">
                  <c:v>5.0564158767304725</c:v>
                </c:pt>
                <c:pt idx="864">
                  <c:v>5.2289746641421306</c:v>
                </c:pt>
                <c:pt idx="865">
                  <c:v>5.4920497929230674</c:v>
                </c:pt>
                <c:pt idx="866">
                  <c:v>5.4779489881291639</c:v>
                </c:pt>
                <c:pt idx="867">
                  <c:v>5.1796846535388195</c:v>
                </c:pt>
                <c:pt idx="868">
                  <c:v>5.7176432741317509</c:v>
                </c:pt>
                <c:pt idx="869">
                  <c:v>5.7475811163066233</c:v>
                </c:pt>
                <c:pt idx="870">
                  <c:v>5.1589740968737381</c:v>
                </c:pt>
                <c:pt idx="871">
                  <c:v>4.7548601558124854</c:v>
                </c:pt>
                <c:pt idx="872">
                  <c:v>4.1860623379389672</c:v>
                </c:pt>
                <c:pt idx="873">
                  <c:v>5.0704500167787927</c:v>
                </c:pt>
                <c:pt idx="874">
                  <c:v>4.6735964400189527</c:v>
                </c:pt>
                <c:pt idx="875">
                  <c:v>5.0474479540211199</c:v>
                </c:pt>
                <c:pt idx="876">
                  <c:v>4.1856949774792245</c:v>
                </c:pt>
                <c:pt idx="877">
                  <c:v>5.2320975867795276</c:v>
                </c:pt>
                <c:pt idx="878">
                  <c:v>5.2100121275022175</c:v>
                </c:pt>
                <c:pt idx="879">
                  <c:v>5.1150036600397399</c:v>
                </c:pt>
                <c:pt idx="880">
                  <c:v>5.1779705740981719</c:v>
                </c:pt>
                <c:pt idx="881">
                  <c:v>4.8910523448313938</c:v>
                </c:pt>
                <c:pt idx="882">
                  <c:v>5.1979575074656967</c:v>
                </c:pt>
                <c:pt idx="883">
                  <c:v>4.6909916244714598</c:v>
                </c:pt>
                <c:pt idx="884">
                  <c:v>5.3050171177906993</c:v>
                </c:pt>
                <c:pt idx="885">
                  <c:v>4.8312169662512829</c:v>
                </c:pt>
                <c:pt idx="886">
                  <c:v>4.422621790534814</c:v>
                </c:pt>
                <c:pt idx="887">
                  <c:v>3.7053794900048267</c:v>
                </c:pt>
                <c:pt idx="888">
                  <c:v>5.0432082523635451</c:v>
                </c:pt>
                <c:pt idx="889">
                  <c:v>5.2950626106669514</c:v>
                </c:pt>
                <c:pt idx="890">
                  <c:v>4.944691391729604</c:v>
                </c:pt>
                <c:pt idx="891">
                  <c:v>4.2912202262878907</c:v>
                </c:pt>
                <c:pt idx="892">
                  <c:v>5.6732562425011057</c:v>
                </c:pt>
                <c:pt idx="893">
                  <c:v>4.6942544582679471</c:v>
                </c:pt>
                <c:pt idx="894">
                  <c:v>5.6935475334634162</c:v>
                </c:pt>
                <c:pt idx="895">
                  <c:v>5.2876356082815761</c:v>
                </c:pt>
                <c:pt idx="896">
                  <c:v>4.7112988279664645</c:v>
                </c:pt>
                <c:pt idx="897">
                  <c:v>5.3186306338150651</c:v>
                </c:pt>
                <c:pt idx="898">
                  <c:v>4.9636504027475787</c:v>
                </c:pt>
                <c:pt idx="899">
                  <c:v>5.4962927157034756</c:v>
                </c:pt>
                <c:pt idx="900">
                  <c:v>4.3746971634899943</c:v>
                </c:pt>
                <c:pt idx="901">
                  <c:v>5.608472707932993</c:v>
                </c:pt>
                <c:pt idx="902">
                  <c:v>5.4691178842668986</c:v>
                </c:pt>
                <c:pt idx="903">
                  <c:v>4.5642092216339361</c:v>
                </c:pt>
                <c:pt idx="904">
                  <c:v>5.1962008519985545</c:v>
                </c:pt>
                <c:pt idx="905">
                  <c:v>5.8699932811689397</c:v>
                </c:pt>
                <c:pt idx="906">
                  <c:v>6.0379392011465871</c:v>
                </c:pt>
                <c:pt idx="907">
                  <c:v>5.1027234126035967</c:v>
                </c:pt>
                <c:pt idx="908">
                  <c:v>5.6573915521624905</c:v>
                </c:pt>
                <c:pt idx="909">
                  <c:v>4.6973790511374407</c:v>
                </c:pt>
                <c:pt idx="910">
                  <c:v>5.5926479534200961</c:v>
                </c:pt>
                <c:pt idx="911">
                  <c:v>5.5911869240346839</c:v>
                </c:pt>
                <c:pt idx="912">
                  <c:v>4.6047905285279569</c:v>
                </c:pt>
                <c:pt idx="913">
                  <c:v>4.9212601421865454</c:v>
                </c:pt>
                <c:pt idx="914">
                  <c:v>5.7057263799972944</c:v>
                </c:pt>
                <c:pt idx="915">
                  <c:v>6.1929940566496189</c:v>
                </c:pt>
                <c:pt idx="916">
                  <c:v>4.4522023728054982</c:v>
                </c:pt>
                <c:pt idx="917">
                  <c:v>4.995030147505986</c:v>
                </c:pt>
                <c:pt idx="918">
                  <c:v>4.7720089147749825</c:v>
                </c:pt>
                <c:pt idx="919">
                  <c:v>4.6479991294657719</c:v>
                </c:pt>
                <c:pt idx="920">
                  <c:v>5.2097203843946946</c:v>
                </c:pt>
                <c:pt idx="921">
                  <c:v>4.8638567838850264</c:v>
                </c:pt>
                <c:pt idx="922">
                  <c:v>5.8049831711023216</c:v>
                </c:pt>
                <c:pt idx="923">
                  <c:v>5.1153343243373453</c:v>
                </c:pt>
                <c:pt idx="924">
                  <c:v>5.470034910469268</c:v>
                </c:pt>
                <c:pt idx="925">
                  <c:v>4.0386134584686513</c:v>
                </c:pt>
                <c:pt idx="926">
                  <c:v>4.82296824876682</c:v>
                </c:pt>
                <c:pt idx="927">
                  <c:v>4.9361779264576562</c:v>
                </c:pt>
                <c:pt idx="928">
                  <c:v>5.2014439583938437</c:v>
                </c:pt>
                <c:pt idx="929">
                  <c:v>4.5323364090290887</c:v>
                </c:pt>
                <c:pt idx="930">
                  <c:v>4.3444293996301671</c:v>
                </c:pt>
                <c:pt idx="931">
                  <c:v>4.9584843876236633</c:v>
                </c:pt>
                <c:pt idx="932">
                  <c:v>7.1336295164111494</c:v>
                </c:pt>
                <c:pt idx="933">
                  <c:v>6.06527803109514</c:v>
                </c:pt>
                <c:pt idx="934">
                  <c:v>4.1660448020509389</c:v>
                </c:pt>
                <c:pt idx="935">
                  <c:v>4.983802323857832</c:v>
                </c:pt>
                <c:pt idx="936">
                  <c:v>5.7063078477530009</c:v>
                </c:pt>
                <c:pt idx="937">
                  <c:v>4.3667497254725856</c:v>
                </c:pt>
                <c:pt idx="938">
                  <c:v>6.7089444813013674</c:v>
                </c:pt>
                <c:pt idx="939">
                  <c:v>5.8930725790149552</c:v>
                </c:pt>
                <c:pt idx="940">
                  <c:v>5.7470188762309693</c:v>
                </c:pt>
                <c:pt idx="941">
                  <c:v>5.2434871696056007</c:v>
                </c:pt>
                <c:pt idx="942">
                  <c:v>4.800466029208911</c:v>
                </c:pt>
                <c:pt idx="943">
                  <c:v>5.3948675917102786</c:v>
                </c:pt>
                <c:pt idx="944">
                  <c:v>5.1524186147206876</c:v>
                </c:pt>
                <c:pt idx="945">
                  <c:v>4.9037964565608565</c:v>
                </c:pt>
                <c:pt idx="946">
                  <c:v>6.1037002649545364</c:v>
                </c:pt>
                <c:pt idx="947">
                  <c:v>4.9896332163311943</c:v>
                </c:pt>
                <c:pt idx="948">
                  <c:v>4.1625720071141732</c:v>
                </c:pt>
                <c:pt idx="949">
                  <c:v>4.5023982866226433</c:v>
                </c:pt>
                <c:pt idx="950">
                  <c:v>5.4843080190291715</c:v>
                </c:pt>
                <c:pt idx="951">
                  <c:v>4.7316511742537077</c:v>
                </c:pt>
                <c:pt idx="952">
                  <c:v>5.4082303426214793</c:v>
                </c:pt>
                <c:pt idx="953">
                  <c:v>4.2685196124759326</c:v>
                </c:pt>
                <c:pt idx="954">
                  <c:v>5.8705457961247003</c:v>
                </c:pt>
                <c:pt idx="955">
                  <c:v>5.3151310556787745</c:v>
                </c:pt>
                <c:pt idx="956">
                  <c:v>5.0226820911976642</c:v>
                </c:pt>
                <c:pt idx="957">
                  <c:v>5.1061287522232828</c:v>
                </c:pt>
                <c:pt idx="958">
                  <c:v>5.6668372413081052</c:v>
                </c:pt>
                <c:pt idx="959">
                  <c:v>5.4133048167017961</c:v>
                </c:pt>
                <c:pt idx="960">
                  <c:v>5.4725519694323612</c:v>
                </c:pt>
                <c:pt idx="961">
                  <c:v>5.2459698075631707</c:v>
                </c:pt>
                <c:pt idx="962">
                  <c:v>5.8828947809504477</c:v>
                </c:pt>
                <c:pt idx="963">
                  <c:v>5.9500808069703588</c:v>
                </c:pt>
                <c:pt idx="964">
                  <c:v>4.1595901492226641</c:v>
                </c:pt>
                <c:pt idx="965">
                  <c:v>4.9743945931157718</c:v>
                </c:pt>
                <c:pt idx="966">
                  <c:v>5.9916160079607117</c:v>
                </c:pt>
                <c:pt idx="967">
                  <c:v>4.4834455957208981</c:v>
                </c:pt>
                <c:pt idx="968">
                  <c:v>4.3865499393115481</c:v>
                </c:pt>
                <c:pt idx="969">
                  <c:v>4.7962768703632079</c:v>
                </c:pt>
                <c:pt idx="970">
                  <c:v>5.2639583889599084</c:v>
                </c:pt>
                <c:pt idx="971">
                  <c:v>5.8320777567446296</c:v>
                </c:pt>
                <c:pt idx="972">
                  <c:v>6.2602648630639059</c:v>
                </c:pt>
                <c:pt idx="973">
                  <c:v>5.004185113532186</c:v>
                </c:pt>
                <c:pt idx="974">
                  <c:v>5.4204060019969962</c:v>
                </c:pt>
                <c:pt idx="975">
                  <c:v>4.6656517377391662</c:v>
                </c:pt>
                <c:pt idx="976">
                  <c:v>5.0351091918190161</c:v>
                </c:pt>
                <c:pt idx="977">
                  <c:v>5.1951050954495717</c:v>
                </c:pt>
                <c:pt idx="978">
                  <c:v>4.7258354424868063</c:v>
                </c:pt>
                <c:pt idx="979">
                  <c:v>4.0252703336814868</c:v>
                </c:pt>
                <c:pt idx="980">
                  <c:v>5.512537085299499</c:v>
                </c:pt>
                <c:pt idx="981">
                  <c:v>4.8408923476982668</c:v>
                </c:pt>
                <c:pt idx="982">
                  <c:v>5.0236680379638212</c:v>
                </c:pt>
                <c:pt idx="983">
                  <c:v>5.0878370672469249</c:v>
                </c:pt>
                <c:pt idx="984">
                  <c:v>5.6390205886384983</c:v>
                </c:pt>
                <c:pt idx="985">
                  <c:v>5.6207722927332426</c:v>
                </c:pt>
                <c:pt idx="986">
                  <c:v>4.6603867291156753</c:v>
                </c:pt>
                <c:pt idx="987">
                  <c:v>5.7568787621559121</c:v>
                </c:pt>
                <c:pt idx="988">
                  <c:v>4.7074694903123522</c:v>
                </c:pt>
                <c:pt idx="989">
                  <c:v>5.2215083297930711</c:v>
                </c:pt>
                <c:pt idx="990">
                  <c:v>6.1234516155819261</c:v>
                </c:pt>
                <c:pt idx="991">
                  <c:v>4.6770883437660444</c:v>
                </c:pt>
                <c:pt idx="992">
                  <c:v>5.6513538846529414</c:v>
                </c:pt>
                <c:pt idx="993">
                  <c:v>5.750183810967993</c:v>
                </c:pt>
                <c:pt idx="994">
                  <c:v>4.6910011447934128</c:v>
                </c:pt>
                <c:pt idx="995">
                  <c:v>5.2527110612810048</c:v>
                </c:pt>
                <c:pt idx="996">
                  <c:v>4.860700729291759</c:v>
                </c:pt>
                <c:pt idx="997">
                  <c:v>6.0058752109224276</c:v>
                </c:pt>
                <c:pt idx="998">
                  <c:v>5.578426516237819</c:v>
                </c:pt>
                <c:pt idx="999">
                  <c:v>6.2615257628275955</c:v>
                </c:pt>
              </c:numCache>
            </c:numRef>
          </c:xVal>
          <c:yVal>
            <c:numRef>
              <c:f>CEASimulation!$G$11:$G$1010</c:f>
              <c:numCache>
                <c:formatCode>0</c:formatCode>
                <c:ptCount val="1000"/>
                <c:pt idx="0">
                  <c:v>-816.61981703107267</c:v>
                </c:pt>
                <c:pt idx="1">
                  <c:v>-1297.0625128526092</c:v>
                </c:pt>
                <c:pt idx="2">
                  <c:v>-931.91159646384949</c:v>
                </c:pt>
                <c:pt idx="3">
                  <c:v>-1198.3643829548889</c:v>
                </c:pt>
                <c:pt idx="4">
                  <c:v>-980.47318038028016</c:v>
                </c:pt>
                <c:pt idx="5">
                  <c:v>-1008.5859025232448</c:v>
                </c:pt>
                <c:pt idx="6">
                  <c:v>-1010.846838793233</c:v>
                </c:pt>
                <c:pt idx="7">
                  <c:v>-1171.5112746941609</c:v>
                </c:pt>
                <c:pt idx="8">
                  <c:v>-1504.5295097442149</c:v>
                </c:pt>
                <c:pt idx="9">
                  <c:v>-833.87763331081464</c:v>
                </c:pt>
                <c:pt idx="10">
                  <c:v>-441.80907475813729</c:v>
                </c:pt>
                <c:pt idx="11">
                  <c:v>-1120.9077595060298</c:v>
                </c:pt>
                <c:pt idx="12">
                  <c:v>-1027.4449111165336</c:v>
                </c:pt>
                <c:pt idx="13">
                  <c:v>-1290.3913946357852</c:v>
                </c:pt>
                <c:pt idx="14">
                  <c:v>-501.22783294285409</c:v>
                </c:pt>
                <c:pt idx="15">
                  <c:v>-1028.359705594868</c:v>
                </c:pt>
                <c:pt idx="16">
                  <c:v>-1400.9140534576254</c:v>
                </c:pt>
                <c:pt idx="17">
                  <c:v>-868.16897626840864</c:v>
                </c:pt>
                <c:pt idx="18">
                  <c:v>-617.85529171998269</c:v>
                </c:pt>
                <c:pt idx="19">
                  <c:v>-1105.3173113265357</c:v>
                </c:pt>
                <c:pt idx="20">
                  <c:v>-1391.7396120697986</c:v>
                </c:pt>
                <c:pt idx="21">
                  <c:v>-767.3609173879131</c:v>
                </c:pt>
                <c:pt idx="22">
                  <c:v>-1312.6655271154013</c:v>
                </c:pt>
                <c:pt idx="23">
                  <c:v>-732.70325404399455</c:v>
                </c:pt>
                <c:pt idx="24">
                  <c:v>-892.16935819380569</c:v>
                </c:pt>
                <c:pt idx="25">
                  <c:v>-897.01577438602862</c:v>
                </c:pt>
                <c:pt idx="26">
                  <c:v>-965.73740836438401</c:v>
                </c:pt>
                <c:pt idx="27">
                  <c:v>-1322.6674669727627</c:v>
                </c:pt>
                <c:pt idx="28">
                  <c:v>-891.93778148537604</c:v>
                </c:pt>
                <c:pt idx="29">
                  <c:v>-1173.9004308326425</c:v>
                </c:pt>
                <c:pt idx="30">
                  <c:v>-808.70532828911928</c:v>
                </c:pt>
                <c:pt idx="31">
                  <c:v>-968.62489800368712</c:v>
                </c:pt>
                <c:pt idx="32">
                  <c:v>-728.26899489714742</c:v>
                </c:pt>
                <c:pt idx="33">
                  <c:v>-741.43960769740443</c:v>
                </c:pt>
                <c:pt idx="34">
                  <c:v>-829.70797727375293</c:v>
                </c:pt>
                <c:pt idx="35">
                  <c:v>-523.49445979448865</c:v>
                </c:pt>
                <c:pt idx="36">
                  <c:v>-798.85837918069387</c:v>
                </c:pt>
                <c:pt idx="37">
                  <c:v>-945.89443116157281</c:v>
                </c:pt>
                <c:pt idx="38">
                  <c:v>-1175.1724269000238</c:v>
                </c:pt>
                <c:pt idx="39">
                  <c:v>-779.8823388902947</c:v>
                </c:pt>
                <c:pt idx="40">
                  <c:v>-808.80889571367516</c:v>
                </c:pt>
                <c:pt idx="41">
                  <c:v>-842.47708882103007</c:v>
                </c:pt>
                <c:pt idx="42">
                  <c:v>-1046.4441072022214</c:v>
                </c:pt>
                <c:pt idx="43">
                  <c:v>-1166.7296491507241</c:v>
                </c:pt>
                <c:pt idx="44">
                  <c:v>-800.4177616450138</c:v>
                </c:pt>
                <c:pt idx="45">
                  <c:v>-1046.2705618775381</c:v>
                </c:pt>
                <c:pt idx="46">
                  <c:v>-1109.3582795917118</c:v>
                </c:pt>
                <c:pt idx="47">
                  <c:v>-865.78764288865705</c:v>
                </c:pt>
                <c:pt idx="48">
                  <c:v>-1055.1363865399453</c:v>
                </c:pt>
                <c:pt idx="49">
                  <c:v>-911.17422693001799</c:v>
                </c:pt>
                <c:pt idx="50">
                  <c:v>-1000.1361338776983</c:v>
                </c:pt>
                <c:pt idx="51">
                  <c:v>-1310.8799963773859</c:v>
                </c:pt>
                <c:pt idx="52">
                  <c:v>-1017.1031583551021</c:v>
                </c:pt>
                <c:pt idx="53">
                  <c:v>-1115.7352946572719</c:v>
                </c:pt>
                <c:pt idx="54">
                  <c:v>-644.83249311658574</c:v>
                </c:pt>
                <c:pt idx="55">
                  <c:v>-1175.6825185076964</c:v>
                </c:pt>
                <c:pt idx="56">
                  <c:v>-1030.4010637115257</c:v>
                </c:pt>
                <c:pt idx="57">
                  <c:v>-857.26026112110003</c:v>
                </c:pt>
                <c:pt idx="58">
                  <c:v>-984.36516028605183</c:v>
                </c:pt>
                <c:pt idx="59">
                  <c:v>-460.03922603186447</c:v>
                </c:pt>
                <c:pt idx="60">
                  <c:v>-980.47935057838913</c:v>
                </c:pt>
                <c:pt idx="61">
                  <c:v>-676.13238524034114</c:v>
                </c:pt>
                <c:pt idx="62">
                  <c:v>-970.45738699065896</c:v>
                </c:pt>
                <c:pt idx="63">
                  <c:v>-1309.5686194363466</c:v>
                </c:pt>
                <c:pt idx="64">
                  <c:v>-1134.5567804441644</c:v>
                </c:pt>
                <c:pt idx="65">
                  <c:v>-1081.6680381629455</c:v>
                </c:pt>
                <c:pt idx="66">
                  <c:v>-1042.2998525911489</c:v>
                </c:pt>
                <c:pt idx="67">
                  <c:v>-400.09478080893359</c:v>
                </c:pt>
                <c:pt idx="68">
                  <c:v>-1473.0572453010125</c:v>
                </c:pt>
                <c:pt idx="69">
                  <c:v>-762.71464514215813</c:v>
                </c:pt>
                <c:pt idx="70">
                  <c:v>-788.07438560823493</c:v>
                </c:pt>
                <c:pt idx="71">
                  <c:v>-989.33829158628805</c:v>
                </c:pt>
                <c:pt idx="72">
                  <c:v>-951.08875052639542</c:v>
                </c:pt>
                <c:pt idx="73">
                  <c:v>-995.98009423035637</c:v>
                </c:pt>
                <c:pt idx="74">
                  <c:v>-841.52113213164557</c:v>
                </c:pt>
                <c:pt idx="75">
                  <c:v>-1818.9185237692413</c:v>
                </c:pt>
                <c:pt idx="76">
                  <c:v>-1084.2867917789995</c:v>
                </c:pt>
                <c:pt idx="77">
                  <c:v>-1116.5950901602237</c:v>
                </c:pt>
                <c:pt idx="78">
                  <c:v>-1147.2785298956405</c:v>
                </c:pt>
                <c:pt idx="79">
                  <c:v>-1105.8128748967258</c:v>
                </c:pt>
                <c:pt idx="80">
                  <c:v>-1355.0545636160614</c:v>
                </c:pt>
                <c:pt idx="81">
                  <c:v>-924.466249620707</c:v>
                </c:pt>
                <c:pt idx="82">
                  <c:v>-1347.3892978361587</c:v>
                </c:pt>
                <c:pt idx="83">
                  <c:v>-411.59713809750701</c:v>
                </c:pt>
                <c:pt idx="84">
                  <c:v>-924.93938165372788</c:v>
                </c:pt>
                <c:pt idx="85">
                  <c:v>-1160.8953895214477</c:v>
                </c:pt>
                <c:pt idx="86">
                  <c:v>-1508.3646868498313</c:v>
                </c:pt>
                <c:pt idx="87">
                  <c:v>-1332.7167176066541</c:v>
                </c:pt>
                <c:pt idx="88">
                  <c:v>-772.00842152283894</c:v>
                </c:pt>
                <c:pt idx="89">
                  <c:v>-433.20916655754672</c:v>
                </c:pt>
                <c:pt idx="90">
                  <c:v>-1266.2339766942964</c:v>
                </c:pt>
                <c:pt idx="91">
                  <c:v>-973.89778336369864</c:v>
                </c:pt>
                <c:pt idx="92">
                  <c:v>-1186.0180143821672</c:v>
                </c:pt>
                <c:pt idx="93">
                  <c:v>-1089.578390603604</c:v>
                </c:pt>
                <c:pt idx="94">
                  <c:v>-455.54725022207185</c:v>
                </c:pt>
                <c:pt idx="95">
                  <c:v>-677.60567487200342</c:v>
                </c:pt>
                <c:pt idx="96">
                  <c:v>-989.13258597050299</c:v>
                </c:pt>
                <c:pt idx="97">
                  <c:v>-986.37484639103923</c:v>
                </c:pt>
                <c:pt idx="98">
                  <c:v>-992.65874097425194</c:v>
                </c:pt>
                <c:pt idx="99">
                  <c:v>-683.0899073045739</c:v>
                </c:pt>
                <c:pt idx="100">
                  <c:v>-925.20309801618032</c:v>
                </c:pt>
                <c:pt idx="101">
                  <c:v>-881.06940796576828</c:v>
                </c:pt>
                <c:pt idx="102">
                  <c:v>-544.67747626804521</c:v>
                </c:pt>
                <c:pt idx="103">
                  <c:v>-809.49771296104882</c:v>
                </c:pt>
                <c:pt idx="104">
                  <c:v>-1245.2144579924502</c:v>
                </c:pt>
                <c:pt idx="105">
                  <c:v>-913.66757224670255</c:v>
                </c:pt>
                <c:pt idx="106">
                  <c:v>-665.77899738519636</c:v>
                </c:pt>
                <c:pt idx="107">
                  <c:v>-816.15217398863615</c:v>
                </c:pt>
                <c:pt idx="108">
                  <c:v>-1399.6542782785591</c:v>
                </c:pt>
                <c:pt idx="109">
                  <c:v>-733.69848208502844</c:v>
                </c:pt>
                <c:pt idx="110">
                  <c:v>-687.10430927177458</c:v>
                </c:pt>
                <c:pt idx="111">
                  <c:v>-1042.9256609309589</c:v>
                </c:pt>
                <c:pt idx="112">
                  <c:v>-1423.8400153723401</c:v>
                </c:pt>
                <c:pt idx="113">
                  <c:v>-1184.4645494592955</c:v>
                </c:pt>
                <c:pt idx="114">
                  <c:v>-1106.3313540491563</c:v>
                </c:pt>
                <c:pt idx="115">
                  <c:v>-1099.5477705248895</c:v>
                </c:pt>
                <c:pt idx="116">
                  <c:v>-713.06853261594688</c:v>
                </c:pt>
                <c:pt idx="117">
                  <c:v>-796.4964544770487</c:v>
                </c:pt>
                <c:pt idx="118">
                  <c:v>-1181.7141427098186</c:v>
                </c:pt>
                <c:pt idx="119">
                  <c:v>-610.81206414005419</c:v>
                </c:pt>
                <c:pt idx="120">
                  <c:v>-1405.9284588069168</c:v>
                </c:pt>
                <c:pt idx="121">
                  <c:v>-738.64099667771779</c:v>
                </c:pt>
                <c:pt idx="122">
                  <c:v>-1225.0841687977231</c:v>
                </c:pt>
                <c:pt idx="123">
                  <c:v>-901.27327251709949</c:v>
                </c:pt>
                <c:pt idx="124">
                  <c:v>-852.54207587702604</c:v>
                </c:pt>
                <c:pt idx="125">
                  <c:v>-760.57813113457451</c:v>
                </c:pt>
                <c:pt idx="126">
                  <c:v>-893.75973587893895</c:v>
                </c:pt>
                <c:pt idx="127">
                  <c:v>-1217.0808648075893</c:v>
                </c:pt>
                <c:pt idx="128">
                  <c:v>-1154.1125747745832</c:v>
                </c:pt>
                <c:pt idx="129">
                  <c:v>-919.2382156281783</c:v>
                </c:pt>
                <c:pt idx="130">
                  <c:v>-922.71883018012613</c:v>
                </c:pt>
                <c:pt idx="131">
                  <c:v>-673.93593453688345</c:v>
                </c:pt>
                <c:pt idx="132">
                  <c:v>-929.12072395011728</c:v>
                </c:pt>
                <c:pt idx="133">
                  <c:v>-864.7446475579527</c:v>
                </c:pt>
                <c:pt idx="134">
                  <c:v>-1432.6646746435626</c:v>
                </c:pt>
                <c:pt idx="135">
                  <c:v>-1337.7207845640653</c:v>
                </c:pt>
                <c:pt idx="136">
                  <c:v>-1138.8416791613217</c:v>
                </c:pt>
                <c:pt idx="137">
                  <c:v>-1109.8573436054362</c:v>
                </c:pt>
                <c:pt idx="138">
                  <c:v>-864.20796792387546</c:v>
                </c:pt>
                <c:pt idx="139">
                  <c:v>-1276.3765692636989</c:v>
                </c:pt>
                <c:pt idx="140">
                  <c:v>-856.90076785614428</c:v>
                </c:pt>
                <c:pt idx="141">
                  <c:v>-1421.1782868104196</c:v>
                </c:pt>
                <c:pt idx="142">
                  <c:v>-1266.0982772855152</c:v>
                </c:pt>
                <c:pt idx="143">
                  <c:v>-1195.2078872961447</c:v>
                </c:pt>
                <c:pt idx="144">
                  <c:v>-1113.3703538351724</c:v>
                </c:pt>
                <c:pt idx="145">
                  <c:v>-764.23897153464259</c:v>
                </c:pt>
                <c:pt idx="146">
                  <c:v>-1416.4527328710819</c:v>
                </c:pt>
                <c:pt idx="147">
                  <c:v>-670.44036664330315</c:v>
                </c:pt>
                <c:pt idx="148">
                  <c:v>-1044.5504539604804</c:v>
                </c:pt>
                <c:pt idx="149">
                  <c:v>-1073.7111347488176</c:v>
                </c:pt>
                <c:pt idx="150">
                  <c:v>-993.71294561042669</c:v>
                </c:pt>
                <c:pt idx="151">
                  <c:v>-1164.217069571185</c:v>
                </c:pt>
                <c:pt idx="152">
                  <c:v>-847.1990762629207</c:v>
                </c:pt>
                <c:pt idx="153">
                  <c:v>-1150.3097510235962</c:v>
                </c:pt>
                <c:pt idx="154">
                  <c:v>-1255.9006583942412</c:v>
                </c:pt>
                <c:pt idx="155">
                  <c:v>-1019.6173796464129</c:v>
                </c:pt>
                <c:pt idx="156">
                  <c:v>-713.44378582196646</c:v>
                </c:pt>
                <c:pt idx="157">
                  <c:v>-1014.7552207911594</c:v>
                </c:pt>
                <c:pt idx="158">
                  <c:v>-984.76561612759906</c:v>
                </c:pt>
                <c:pt idx="159">
                  <c:v>-1086.9385209347204</c:v>
                </c:pt>
                <c:pt idx="160">
                  <c:v>-1145.8689126492554</c:v>
                </c:pt>
                <c:pt idx="161">
                  <c:v>-940.42199671476533</c:v>
                </c:pt>
                <c:pt idx="162">
                  <c:v>-557.35177010249754</c:v>
                </c:pt>
                <c:pt idx="163">
                  <c:v>-1379.2050795291889</c:v>
                </c:pt>
                <c:pt idx="164">
                  <c:v>-804.46589996609214</c:v>
                </c:pt>
                <c:pt idx="165">
                  <c:v>-946.87933831577993</c:v>
                </c:pt>
                <c:pt idx="166">
                  <c:v>-559.85923671081628</c:v>
                </c:pt>
                <c:pt idx="167">
                  <c:v>-332.23832687714867</c:v>
                </c:pt>
                <c:pt idx="168">
                  <c:v>-1082.8981928746473</c:v>
                </c:pt>
                <c:pt idx="169">
                  <c:v>-644.85441577040683</c:v>
                </c:pt>
                <c:pt idx="170">
                  <c:v>-1164.2835635594088</c:v>
                </c:pt>
                <c:pt idx="171">
                  <c:v>-724.44979804410968</c:v>
                </c:pt>
                <c:pt idx="172">
                  <c:v>-1466.3678797613966</c:v>
                </c:pt>
                <c:pt idx="173">
                  <c:v>-857.42435085749457</c:v>
                </c:pt>
                <c:pt idx="174">
                  <c:v>-394.93215297167353</c:v>
                </c:pt>
                <c:pt idx="175">
                  <c:v>-1253.0186001789289</c:v>
                </c:pt>
                <c:pt idx="176">
                  <c:v>-1510.3562829417374</c:v>
                </c:pt>
                <c:pt idx="177">
                  <c:v>-1155.3151404420937</c:v>
                </c:pt>
                <c:pt idx="178">
                  <c:v>-1044.3477163521779</c:v>
                </c:pt>
                <c:pt idx="179">
                  <c:v>-1616.3004256918725</c:v>
                </c:pt>
                <c:pt idx="180">
                  <c:v>-587.72253844032502</c:v>
                </c:pt>
                <c:pt idx="181">
                  <c:v>-1093.1933119800342</c:v>
                </c:pt>
                <c:pt idx="182">
                  <c:v>-694.64440417068272</c:v>
                </c:pt>
                <c:pt idx="183">
                  <c:v>-1052.9049637209082</c:v>
                </c:pt>
                <c:pt idx="184">
                  <c:v>-964.520066562794</c:v>
                </c:pt>
                <c:pt idx="185">
                  <c:v>-422.65636699238985</c:v>
                </c:pt>
                <c:pt idx="186">
                  <c:v>-782.99913410294766</c:v>
                </c:pt>
                <c:pt idx="187">
                  <c:v>-788.22415005637549</c:v>
                </c:pt>
                <c:pt idx="188">
                  <c:v>-1260.8883346842317</c:v>
                </c:pt>
                <c:pt idx="189">
                  <c:v>-1119.395181621665</c:v>
                </c:pt>
                <c:pt idx="190">
                  <c:v>-849.94287388132216</c:v>
                </c:pt>
                <c:pt idx="191">
                  <c:v>-518.12247861394735</c:v>
                </c:pt>
                <c:pt idx="192">
                  <c:v>-1149.7466031005756</c:v>
                </c:pt>
                <c:pt idx="193">
                  <c:v>-1101.2322033058963</c:v>
                </c:pt>
                <c:pt idx="194">
                  <c:v>-773.63803924054582</c:v>
                </c:pt>
                <c:pt idx="195">
                  <c:v>-684.32737213638666</c:v>
                </c:pt>
                <c:pt idx="196">
                  <c:v>-1035.5771538985305</c:v>
                </c:pt>
                <c:pt idx="197">
                  <c:v>-798.78075356922932</c:v>
                </c:pt>
                <c:pt idx="198">
                  <c:v>-686.731957640769</c:v>
                </c:pt>
                <c:pt idx="199">
                  <c:v>-757.78951953213436</c:v>
                </c:pt>
                <c:pt idx="200">
                  <c:v>-976.40610827030332</c:v>
                </c:pt>
                <c:pt idx="201">
                  <c:v>-404.816795307343</c:v>
                </c:pt>
                <c:pt idx="202">
                  <c:v>-1406.7860112322219</c:v>
                </c:pt>
                <c:pt idx="203">
                  <c:v>-712.24967975094569</c:v>
                </c:pt>
                <c:pt idx="204">
                  <c:v>-1165.1581557013878</c:v>
                </c:pt>
                <c:pt idx="205">
                  <c:v>-996.38528602037968</c:v>
                </c:pt>
                <c:pt idx="206">
                  <c:v>-884.63642435964357</c:v>
                </c:pt>
                <c:pt idx="207">
                  <c:v>-858.16820510316211</c:v>
                </c:pt>
                <c:pt idx="208">
                  <c:v>-769.12984444054973</c:v>
                </c:pt>
                <c:pt idx="209">
                  <c:v>-488.75306539068242</c:v>
                </c:pt>
                <c:pt idx="210">
                  <c:v>-799.69413749088608</c:v>
                </c:pt>
                <c:pt idx="211">
                  <c:v>-1208.4956355991521</c:v>
                </c:pt>
                <c:pt idx="212">
                  <c:v>-1112.1270192081656</c:v>
                </c:pt>
                <c:pt idx="213">
                  <c:v>-1223.8670727345157</c:v>
                </c:pt>
                <c:pt idx="214">
                  <c:v>-726.25311070745556</c:v>
                </c:pt>
                <c:pt idx="215">
                  <c:v>-1264.3628440727339</c:v>
                </c:pt>
                <c:pt idx="216">
                  <c:v>-1038.6693708692028</c:v>
                </c:pt>
                <c:pt idx="217">
                  <c:v>-881.51323238635723</c:v>
                </c:pt>
                <c:pt idx="218">
                  <c:v>-978.42958355967767</c:v>
                </c:pt>
                <c:pt idx="219">
                  <c:v>-779.70465210099246</c:v>
                </c:pt>
                <c:pt idx="220">
                  <c:v>-759.45240571191562</c:v>
                </c:pt>
                <c:pt idx="221">
                  <c:v>-800.99919319296851</c:v>
                </c:pt>
                <c:pt idx="222">
                  <c:v>-972.87522729284956</c:v>
                </c:pt>
                <c:pt idx="223">
                  <c:v>-1207.7176822979256</c:v>
                </c:pt>
                <c:pt idx="224">
                  <c:v>-807.76880073007987</c:v>
                </c:pt>
                <c:pt idx="225">
                  <c:v>-757.09208998435724</c:v>
                </c:pt>
                <c:pt idx="226">
                  <c:v>-1182.2192979125823</c:v>
                </c:pt>
                <c:pt idx="227">
                  <c:v>-1488.6348243437733</c:v>
                </c:pt>
                <c:pt idx="228">
                  <c:v>-940.62792845418812</c:v>
                </c:pt>
                <c:pt idx="229">
                  <c:v>-568.00182778917724</c:v>
                </c:pt>
                <c:pt idx="230">
                  <c:v>-1479.6924061207535</c:v>
                </c:pt>
                <c:pt idx="231">
                  <c:v>-801.9650343350304</c:v>
                </c:pt>
                <c:pt idx="232">
                  <c:v>-806.03810164339893</c:v>
                </c:pt>
                <c:pt idx="233">
                  <c:v>-910.19584073108695</c:v>
                </c:pt>
                <c:pt idx="234">
                  <c:v>-1196.0554891345541</c:v>
                </c:pt>
                <c:pt idx="235">
                  <c:v>-922.79486935045406</c:v>
                </c:pt>
                <c:pt idx="236">
                  <c:v>-848.90996000039331</c:v>
                </c:pt>
                <c:pt idx="237">
                  <c:v>-778.04031804998567</c:v>
                </c:pt>
                <c:pt idx="238">
                  <c:v>-1257.6426927687012</c:v>
                </c:pt>
                <c:pt idx="239">
                  <c:v>-1019.2641930086688</c:v>
                </c:pt>
                <c:pt idx="240">
                  <c:v>-457.61620620563826</c:v>
                </c:pt>
                <c:pt idx="241">
                  <c:v>-935.42560123466319</c:v>
                </c:pt>
                <c:pt idx="242">
                  <c:v>-1033.4313011293848</c:v>
                </c:pt>
                <c:pt idx="243">
                  <c:v>-502.36523243845795</c:v>
                </c:pt>
                <c:pt idx="244">
                  <c:v>-766.72583356811674</c:v>
                </c:pt>
                <c:pt idx="245">
                  <c:v>-680.7862422965859</c:v>
                </c:pt>
                <c:pt idx="246">
                  <c:v>-844.1752786724569</c:v>
                </c:pt>
                <c:pt idx="247">
                  <c:v>-702.17314303251214</c:v>
                </c:pt>
                <c:pt idx="248">
                  <c:v>-1405.7263927611803</c:v>
                </c:pt>
                <c:pt idx="249">
                  <c:v>-774.4544997931539</c:v>
                </c:pt>
                <c:pt idx="250">
                  <c:v>-612.72396106993801</c:v>
                </c:pt>
                <c:pt idx="251">
                  <c:v>-932.0377112104693</c:v>
                </c:pt>
                <c:pt idx="252">
                  <c:v>-1329.2706256585493</c:v>
                </c:pt>
                <c:pt idx="253">
                  <c:v>-1473.3754601366786</c:v>
                </c:pt>
                <c:pt idx="254">
                  <c:v>-981.43811331195775</c:v>
                </c:pt>
                <c:pt idx="255">
                  <c:v>-1027.2869846744909</c:v>
                </c:pt>
                <c:pt idx="256">
                  <c:v>-646.50768455929574</c:v>
                </c:pt>
                <c:pt idx="257">
                  <c:v>-437.99550799479721</c:v>
                </c:pt>
                <c:pt idx="258">
                  <c:v>-1106.5364876292688</c:v>
                </c:pt>
                <c:pt idx="259">
                  <c:v>-1377.8736300716907</c:v>
                </c:pt>
                <c:pt idx="260">
                  <c:v>-1035.2042669509879</c:v>
                </c:pt>
                <c:pt idx="261">
                  <c:v>-877.98923467654686</c:v>
                </c:pt>
                <c:pt idx="262">
                  <c:v>-733.57965955869804</c:v>
                </c:pt>
                <c:pt idx="263">
                  <c:v>-1427.5425441017337</c:v>
                </c:pt>
                <c:pt idx="264">
                  <c:v>-519.24365437357392</c:v>
                </c:pt>
                <c:pt idx="265">
                  <c:v>-997.14209329401547</c:v>
                </c:pt>
                <c:pt idx="266">
                  <c:v>-1407.1309286320707</c:v>
                </c:pt>
                <c:pt idx="267">
                  <c:v>-933.46011920629098</c:v>
                </c:pt>
                <c:pt idx="268">
                  <c:v>-1006.9535479268391</c:v>
                </c:pt>
                <c:pt idx="269">
                  <c:v>-1058.9480832320842</c:v>
                </c:pt>
                <c:pt idx="270">
                  <c:v>-1003.1517818805332</c:v>
                </c:pt>
                <c:pt idx="271">
                  <c:v>-1247.3673007364696</c:v>
                </c:pt>
                <c:pt idx="272">
                  <c:v>-1372.5650806620397</c:v>
                </c:pt>
                <c:pt idx="273">
                  <c:v>-632.09703950485527</c:v>
                </c:pt>
                <c:pt idx="274">
                  <c:v>-720.4722107089683</c:v>
                </c:pt>
                <c:pt idx="275">
                  <c:v>-899.70633389462773</c:v>
                </c:pt>
                <c:pt idx="276">
                  <c:v>-1293.2559698061627</c:v>
                </c:pt>
                <c:pt idx="277">
                  <c:v>-1100.9280440791244</c:v>
                </c:pt>
                <c:pt idx="278">
                  <c:v>-840.99729867152064</c:v>
                </c:pt>
                <c:pt idx="279">
                  <c:v>-1360.7956203872627</c:v>
                </c:pt>
                <c:pt idx="280">
                  <c:v>-571.04186043701475</c:v>
                </c:pt>
                <c:pt idx="281">
                  <c:v>-1218.2532366216938</c:v>
                </c:pt>
                <c:pt idx="282">
                  <c:v>-1250.945676153729</c:v>
                </c:pt>
                <c:pt idx="283">
                  <c:v>-933.31043498791223</c:v>
                </c:pt>
                <c:pt idx="284">
                  <c:v>-1137.7176907519802</c:v>
                </c:pt>
                <c:pt idx="285">
                  <c:v>-953.60749366696746</c:v>
                </c:pt>
                <c:pt idx="286">
                  <c:v>-1049.1642702434592</c:v>
                </c:pt>
                <c:pt idx="287">
                  <c:v>-642.76442855220421</c:v>
                </c:pt>
                <c:pt idx="288">
                  <c:v>-1009.6592291672519</c:v>
                </c:pt>
                <c:pt idx="289">
                  <c:v>-1111.4403321325033</c:v>
                </c:pt>
                <c:pt idx="290">
                  <c:v>-1196.1789957724329</c:v>
                </c:pt>
                <c:pt idx="291">
                  <c:v>-1124.2280477800305</c:v>
                </c:pt>
                <c:pt idx="292">
                  <c:v>-824.39187041139758</c:v>
                </c:pt>
                <c:pt idx="293">
                  <c:v>-858.21342625947455</c:v>
                </c:pt>
                <c:pt idx="294">
                  <c:v>-1073.6178105610743</c:v>
                </c:pt>
                <c:pt idx="295">
                  <c:v>-435.93644284284164</c:v>
                </c:pt>
                <c:pt idx="296">
                  <c:v>-405.97633788882695</c:v>
                </c:pt>
                <c:pt idx="297">
                  <c:v>-937.3757191784598</c:v>
                </c:pt>
                <c:pt idx="298">
                  <c:v>-932.10879977031664</c:v>
                </c:pt>
                <c:pt idx="299">
                  <c:v>-603.60384717810712</c:v>
                </c:pt>
                <c:pt idx="300">
                  <c:v>-876.54645404498501</c:v>
                </c:pt>
                <c:pt idx="301">
                  <c:v>-561.47039138342143</c:v>
                </c:pt>
                <c:pt idx="302">
                  <c:v>-776.79021592957338</c:v>
                </c:pt>
                <c:pt idx="303">
                  <c:v>-1017.3282336197449</c:v>
                </c:pt>
                <c:pt idx="304">
                  <c:v>-1146.5347167928117</c:v>
                </c:pt>
                <c:pt idx="305">
                  <c:v>-605.83685254537795</c:v>
                </c:pt>
                <c:pt idx="306">
                  <c:v>-757.83672584846863</c:v>
                </c:pt>
                <c:pt idx="307">
                  <c:v>-1066.5520152402423</c:v>
                </c:pt>
                <c:pt idx="308">
                  <c:v>-744.0177193170075</c:v>
                </c:pt>
                <c:pt idx="309">
                  <c:v>-914.12419901343333</c:v>
                </c:pt>
                <c:pt idx="310">
                  <c:v>-1168.2519147019066</c:v>
                </c:pt>
                <c:pt idx="311">
                  <c:v>-404.38494176309041</c:v>
                </c:pt>
                <c:pt idx="312">
                  <c:v>-1105.8321686484214</c:v>
                </c:pt>
                <c:pt idx="313">
                  <c:v>-672.79833203851695</c:v>
                </c:pt>
                <c:pt idx="314">
                  <c:v>-911.64804472279684</c:v>
                </c:pt>
                <c:pt idx="315">
                  <c:v>-1394.2404405106131</c:v>
                </c:pt>
                <c:pt idx="316">
                  <c:v>-1072.3811697627007</c:v>
                </c:pt>
                <c:pt idx="317">
                  <c:v>-1291.4872138216151</c:v>
                </c:pt>
                <c:pt idx="318">
                  <c:v>-978.46960410762722</c:v>
                </c:pt>
                <c:pt idx="319">
                  <c:v>-1553.0815290061428</c:v>
                </c:pt>
                <c:pt idx="320">
                  <c:v>-565.18977172698987</c:v>
                </c:pt>
                <c:pt idx="321">
                  <c:v>-699.40022747266676</c:v>
                </c:pt>
                <c:pt idx="322">
                  <c:v>-928.32632614306931</c:v>
                </c:pt>
                <c:pt idx="323">
                  <c:v>-1422.5204009572703</c:v>
                </c:pt>
                <c:pt idx="324">
                  <c:v>-1054.3059243232237</c:v>
                </c:pt>
                <c:pt idx="325">
                  <c:v>-1373.0140758226189</c:v>
                </c:pt>
                <c:pt idx="326">
                  <c:v>-602.7656889908003</c:v>
                </c:pt>
                <c:pt idx="327">
                  <c:v>-1305.7112435370673</c:v>
                </c:pt>
                <c:pt idx="328">
                  <c:v>-1309.9251175169411</c:v>
                </c:pt>
                <c:pt idx="329">
                  <c:v>-816.11701179351167</c:v>
                </c:pt>
                <c:pt idx="330">
                  <c:v>-760.39704123454612</c:v>
                </c:pt>
                <c:pt idx="331">
                  <c:v>-1312.8912350704613</c:v>
                </c:pt>
                <c:pt idx="332">
                  <c:v>-682.18096913640466</c:v>
                </c:pt>
                <c:pt idx="333">
                  <c:v>-1379.1334005441254</c:v>
                </c:pt>
                <c:pt idx="334">
                  <c:v>-1430.8838954773087</c:v>
                </c:pt>
                <c:pt idx="335">
                  <c:v>-626.73171688072034</c:v>
                </c:pt>
                <c:pt idx="336">
                  <c:v>-981.99817396609819</c:v>
                </c:pt>
                <c:pt idx="337">
                  <c:v>-1015.8532048183879</c:v>
                </c:pt>
                <c:pt idx="338">
                  <c:v>-855.74702596534917</c:v>
                </c:pt>
                <c:pt idx="339">
                  <c:v>-718.67366453139493</c:v>
                </c:pt>
                <c:pt idx="340">
                  <c:v>-877.16733663229388</c:v>
                </c:pt>
                <c:pt idx="341">
                  <c:v>-962.5391993140579</c:v>
                </c:pt>
                <c:pt idx="342">
                  <c:v>-436.965685935892</c:v>
                </c:pt>
                <c:pt idx="343">
                  <c:v>-887.76442037985498</c:v>
                </c:pt>
                <c:pt idx="344">
                  <c:v>-1015.1926391349421</c:v>
                </c:pt>
                <c:pt idx="345">
                  <c:v>-1004.5043296771414</c:v>
                </c:pt>
                <c:pt idx="346">
                  <c:v>-778.90087217669679</c:v>
                </c:pt>
                <c:pt idx="347">
                  <c:v>-1126.4974761579938</c:v>
                </c:pt>
                <c:pt idx="348">
                  <c:v>-882.92091340145362</c:v>
                </c:pt>
                <c:pt idx="349">
                  <c:v>-798.46605792841638</c:v>
                </c:pt>
                <c:pt idx="350">
                  <c:v>-632.22187060150964</c:v>
                </c:pt>
                <c:pt idx="351">
                  <c:v>-571.36934152737194</c:v>
                </c:pt>
                <c:pt idx="352">
                  <c:v>-1230.2264025402596</c:v>
                </c:pt>
                <c:pt idx="353">
                  <c:v>-370.69923081842671</c:v>
                </c:pt>
                <c:pt idx="354">
                  <c:v>-1104.9181819772102</c:v>
                </c:pt>
                <c:pt idx="355">
                  <c:v>-810.71653002951871</c:v>
                </c:pt>
                <c:pt idx="356">
                  <c:v>-608.94672188622053</c:v>
                </c:pt>
                <c:pt idx="357">
                  <c:v>-851.60063977287564</c:v>
                </c:pt>
                <c:pt idx="358">
                  <c:v>-828.17408262316394</c:v>
                </c:pt>
                <c:pt idx="359">
                  <c:v>-1024.1254013994389</c:v>
                </c:pt>
                <c:pt idx="360">
                  <c:v>-474.23138343500341</c:v>
                </c:pt>
                <c:pt idx="361">
                  <c:v>-859.75482529517012</c:v>
                </c:pt>
                <c:pt idx="362">
                  <c:v>-1063.7048814063814</c:v>
                </c:pt>
                <c:pt idx="363">
                  <c:v>-1135.2248285933842</c:v>
                </c:pt>
                <c:pt idx="364">
                  <c:v>-966.55070823205051</c:v>
                </c:pt>
                <c:pt idx="365">
                  <c:v>-989.54671574533313</c:v>
                </c:pt>
                <c:pt idx="366">
                  <c:v>-766.95177685716772</c:v>
                </c:pt>
                <c:pt idx="367">
                  <c:v>-1156.5274948327144</c:v>
                </c:pt>
                <c:pt idx="368">
                  <c:v>-1143.5847307199697</c:v>
                </c:pt>
                <c:pt idx="369">
                  <c:v>-627.16647884367467</c:v>
                </c:pt>
                <c:pt idx="370">
                  <c:v>-951.80539255597319</c:v>
                </c:pt>
                <c:pt idx="371">
                  <c:v>-1208.2343070927168</c:v>
                </c:pt>
                <c:pt idx="372">
                  <c:v>-864.30194610359695</c:v>
                </c:pt>
                <c:pt idx="373">
                  <c:v>-1208.722201830934</c:v>
                </c:pt>
                <c:pt idx="374">
                  <c:v>-1161.3428946148058</c:v>
                </c:pt>
                <c:pt idx="375">
                  <c:v>-1162.514732219528</c:v>
                </c:pt>
                <c:pt idx="376">
                  <c:v>-605.95002050121093</c:v>
                </c:pt>
                <c:pt idx="377">
                  <c:v>-1091.5728340087226</c:v>
                </c:pt>
                <c:pt idx="378">
                  <c:v>-991.97276994596587</c:v>
                </c:pt>
                <c:pt idx="379">
                  <c:v>-709.37682361858606</c:v>
                </c:pt>
                <c:pt idx="380">
                  <c:v>-602.32176740588648</c:v>
                </c:pt>
                <c:pt idx="381">
                  <c:v>-691.74091136958168</c:v>
                </c:pt>
                <c:pt idx="382">
                  <c:v>-844.45662599828711</c:v>
                </c:pt>
                <c:pt idx="383">
                  <c:v>-905.89355447951448</c:v>
                </c:pt>
                <c:pt idx="384">
                  <c:v>-1101.3921561890734</c:v>
                </c:pt>
                <c:pt idx="385">
                  <c:v>-688.75289045304771</c:v>
                </c:pt>
                <c:pt idx="386">
                  <c:v>-852.42699796989427</c:v>
                </c:pt>
                <c:pt idx="387">
                  <c:v>-1054.3294978445906</c:v>
                </c:pt>
                <c:pt idx="388">
                  <c:v>-939.16032724094634</c:v>
                </c:pt>
                <c:pt idx="389">
                  <c:v>-1251.6595634660398</c:v>
                </c:pt>
                <c:pt idx="390">
                  <c:v>-881.55821346019366</c:v>
                </c:pt>
                <c:pt idx="391">
                  <c:v>-863.54614783217312</c:v>
                </c:pt>
                <c:pt idx="392">
                  <c:v>-486.07674639411312</c:v>
                </c:pt>
                <c:pt idx="393">
                  <c:v>-799.1772003672645</c:v>
                </c:pt>
                <c:pt idx="394">
                  <c:v>-1151.5770853178306</c:v>
                </c:pt>
                <c:pt idx="395">
                  <c:v>-621.11397852805476</c:v>
                </c:pt>
                <c:pt idx="396">
                  <c:v>-1068.8035838409457</c:v>
                </c:pt>
                <c:pt idx="397">
                  <c:v>-859.69471879657181</c:v>
                </c:pt>
                <c:pt idx="398">
                  <c:v>-649.25493295226852</c:v>
                </c:pt>
                <c:pt idx="399">
                  <c:v>-905.70477656857952</c:v>
                </c:pt>
                <c:pt idx="400">
                  <c:v>-892.84471232867327</c:v>
                </c:pt>
                <c:pt idx="401">
                  <c:v>-689.0952453880102</c:v>
                </c:pt>
                <c:pt idx="402">
                  <c:v>-965.62247550597408</c:v>
                </c:pt>
                <c:pt idx="403">
                  <c:v>-519.93668385113961</c:v>
                </c:pt>
                <c:pt idx="404">
                  <c:v>-895.51246891972005</c:v>
                </c:pt>
                <c:pt idx="405">
                  <c:v>-827.5419042774256</c:v>
                </c:pt>
                <c:pt idx="406">
                  <c:v>-881.75661053106592</c:v>
                </c:pt>
                <c:pt idx="407">
                  <c:v>-1358.1610544728997</c:v>
                </c:pt>
                <c:pt idx="408">
                  <c:v>-1252.8402504923347</c:v>
                </c:pt>
                <c:pt idx="409">
                  <c:v>-979.01211425076599</c:v>
                </c:pt>
                <c:pt idx="410">
                  <c:v>-1441.1480052218567</c:v>
                </c:pt>
                <c:pt idx="411">
                  <c:v>-786.64807914759604</c:v>
                </c:pt>
                <c:pt idx="412">
                  <c:v>-925.38583419262545</c:v>
                </c:pt>
                <c:pt idx="413">
                  <c:v>-1140.5412763676761</c:v>
                </c:pt>
                <c:pt idx="414">
                  <c:v>-1025.0024449397765</c:v>
                </c:pt>
                <c:pt idx="415">
                  <c:v>-1144.3868789031862</c:v>
                </c:pt>
                <c:pt idx="416">
                  <c:v>-1361.2800566551107</c:v>
                </c:pt>
                <c:pt idx="417">
                  <c:v>-1425.1183976550215</c:v>
                </c:pt>
                <c:pt idx="418">
                  <c:v>-1632.7350389326855</c:v>
                </c:pt>
                <c:pt idx="419">
                  <c:v>-1016.6413660251255</c:v>
                </c:pt>
                <c:pt idx="420">
                  <c:v>-825.16421969740531</c:v>
                </c:pt>
                <c:pt idx="421">
                  <c:v>-1003.2659765967237</c:v>
                </c:pt>
                <c:pt idx="422">
                  <c:v>-868.04839885154024</c:v>
                </c:pt>
                <c:pt idx="423">
                  <c:v>-870.19388391207121</c:v>
                </c:pt>
                <c:pt idx="424">
                  <c:v>-749.10270929553917</c:v>
                </c:pt>
                <c:pt idx="425">
                  <c:v>-1174.6386121796832</c:v>
                </c:pt>
                <c:pt idx="426">
                  <c:v>-842.33736537192203</c:v>
                </c:pt>
                <c:pt idx="427">
                  <c:v>-881.80739446646567</c:v>
                </c:pt>
                <c:pt idx="428">
                  <c:v>-776.85371258208215</c:v>
                </c:pt>
                <c:pt idx="429">
                  <c:v>-898.43893460440449</c:v>
                </c:pt>
                <c:pt idx="430">
                  <c:v>-775.88238918926709</c:v>
                </c:pt>
                <c:pt idx="431">
                  <c:v>-287.92068245454243</c:v>
                </c:pt>
                <c:pt idx="432">
                  <c:v>-330.16251996448136</c:v>
                </c:pt>
                <c:pt idx="433">
                  <c:v>-1672.0263805943937</c:v>
                </c:pt>
                <c:pt idx="434">
                  <c:v>-974.42375117594429</c:v>
                </c:pt>
                <c:pt idx="435">
                  <c:v>-1209.8800456286954</c:v>
                </c:pt>
                <c:pt idx="436">
                  <c:v>-886.81296879969887</c:v>
                </c:pt>
                <c:pt idx="437">
                  <c:v>-926.7838809420341</c:v>
                </c:pt>
                <c:pt idx="438">
                  <c:v>-861.46726160993012</c:v>
                </c:pt>
                <c:pt idx="439">
                  <c:v>-1208.5274687493347</c:v>
                </c:pt>
                <c:pt idx="440">
                  <c:v>-813.91036579775027</c:v>
                </c:pt>
                <c:pt idx="441">
                  <c:v>-931.65947240852711</c:v>
                </c:pt>
                <c:pt idx="442">
                  <c:v>-1316.9607181045667</c:v>
                </c:pt>
                <c:pt idx="443">
                  <c:v>-930.53040616123462</c:v>
                </c:pt>
                <c:pt idx="444">
                  <c:v>-1106.30684112175</c:v>
                </c:pt>
                <c:pt idx="445">
                  <c:v>-858.47118445462138</c:v>
                </c:pt>
                <c:pt idx="446">
                  <c:v>-818.416346859025</c:v>
                </c:pt>
                <c:pt idx="447">
                  <c:v>-1203.1701879468728</c:v>
                </c:pt>
                <c:pt idx="448">
                  <c:v>-946.11102628790059</c:v>
                </c:pt>
                <c:pt idx="449">
                  <c:v>-907.26154139414075</c:v>
                </c:pt>
                <c:pt idx="450">
                  <c:v>-855.48123949188357</c:v>
                </c:pt>
                <c:pt idx="451">
                  <c:v>-1149.2775208912917</c:v>
                </c:pt>
                <c:pt idx="452">
                  <c:v>-905.91398587151843</c:v>
                </c:pt>
                <c:pt idx="453">
                  <c:v>-1180.9216777129618</c:v>
                </c:pt>
                <c:pt idx="454">
                  <c:v>-820.04847540414426</c:v>
                </c:pt>
                <c:pt idx="455">
                  <c:v>-1230.3148524029643</c:v>
                </c:pt>
                <c:pt idx="456">
                  <c:v>-794.21179905878989</c:v>
                </c:pt>
                <c:pt idx="457">
                  <c:v>-1045.8854492633909</c:v>
                </c:pt>
                <c:pt idx="458">
                  <c:v>-1308.3208798296223</c:v>
                </c:pt>
                <c:pt idx="459">
                  <c:v>-633.51470449953081</c:v>
                </c:pt>
                <c:pt idx="460">
                  <c:v>-1072.2213702899412</c:v>
                </c:pt>
                <c:pt idx="461">
                  <c:v>-1039.4608768327325</c:v>
                </c:pt>
                <c:pt idx="462">
                  <c:v>-1222.8586714613234</c:v>
                </c:pt>
                <c:pt idx="463">
                  <c:v>-1227.5899414254177</c:v>
                </c:pt>
                <c:pt idx="464">
                  <c:v>-427.28062983593054</c:v>
                </c:pt>
                <c:pt idx="465">
                  <c:v>-1056.296209911849</c:v>
                </c:pt>
                <c:pt idx="466">
                  <c:v>-1453.4200109751455</c:v>
                </c:pt>
                <c:pt idx="467">
                  <c:v>-280.48942455813267</c:v>
                </c:pt>
                <c:pt idx="468">
                  <c:v>-862.26172191293745</c:v>
                </c:pt>
                <c:pt idx="469">
                  <c:v>-644.48863803113727</c:v>
                </c:pt>
                <c:pt idx="470">
                  <c:v>-1142.942658836826</c:v>
                </c:pt>
                <c:pt idx="471">
                  <c:v>-1184.3915024577209</c:v>
                </c:pt>
                <c:pt idx="472">
                  <c:v>-1241.3285944979098</c:v>
                </c:pt>
                <c:pt idx="473">
                  <c:v>-1130.1848329358763</c:v>
                </c:pt>
                <c:pt idx="474">
                  <c:v>-1219.3424476720656</c:v>
                </c:pt>
                <c:pt idx="475">
                  <c:v>-812.97842412358546</c:v>
                </c:pt>
                <c:pt idx="476">
                  <c:v>-1146.6096804198205</c:v>
                </c:pt>
                <c:pt idx="477">
                  <c:v>-1493.6571461977783</c:v>
                </c:pt>
                <c:pt idx="478">
                  <c:v>-1236.7705778441752</c:v>
                </c:pt>
                <c:pt idx="479">
                  <c:v>-907.18054573440986</c:v>
                </c:pt>
                <c:pt idx="480">
                  <c:v>-849.49514984980851</c:v>
                </c:pt>
                <c:pt idx="481">
                  <c:v>-1468.4931436711415</c:v>
                </c:pt>
                <c:pt idx="482">
                  <c:v>-1220.0236973547362</c:v>
                </c:pt>
                <c:pt idx="483">
                  <c:v>-863.79291669825443</c:v>
                </c:pt>
                <c:pt idx="484">
                  <c:v>-874.89433227593327</c:v>
                </c:pt>
                <c:pt idx="485">
                  <c:v>-593.48632320117031</c:v>
                </c:pt>
                <c:pt idx="486">
                  <c:v>-673.05184251778519</c:v>
                </c:pt>
                <c:pt idx="487">
                  <c:v>-1023.6372825785788</c:v>
                </c:pt>
                <c:pt idx="488">
                  <c:v>-648.28916348228904</c:v>
                </c:pt>
                <c:pt idx="489">
                  <c:v>-938.74798638067819</c:v>
                </c:pt>
                <c:pt idx="490">
                  <c:v>-981.61012243279265</c:v>
                </c:pt>
                <c:pt idx="491">
                  <c:v>-1183.4864406552379</c:v>
                </c:pt>
                <c:pt idx="492">
                  <c:v>-803.3285884789691</c:v>
                </c:pt>
                <c:pt idx="493">
                  <c:v>-997.67412823439645</c:v>
                </c:pt>
                <c:pt idx="494">
                  <c:v>-998.32210870155404</c:v>
                </c:pt>
                <c:pt idx="495">
                  <c:v>-1101.7156403495014</c:v>
                </c:pt>
                <c:pt idx="496">
                  <c:v>-1012.7677318754345</c:v>
                </c:pt>
                <c:pt idx="497">
                  <c:v>-1050.5626770075278</c:v>
                </c:pt>
                <c:pt idx="498">
                  <c:v>-739.42325998843853</c:v>
                </c:pt>
                <c:pt idx="499">
                  <c:v>-1134.7169941537948</c:v>
                </c:pt>
                <c:pt idx="500">
                  <c:v>-1300.6422610174377</c:v>
                </c:pt>
                <c:pt idx="501">
                  <c:v>-963.73770774933155</c:v>
                </c:pt>
                <c:pt idx="502">
                  <c:v>-1024.7978108028196</c:v>
                </c:pt>
                <c:pt idx="503">
                  <c:v>-947.01554320979494</c:v>
                </c:pt>
                <c:pt idx="504">
                  <c:v>-1051.0417033538461</c:v>
                </c:pt>
                <c:pt idx="505">
                  <c:v>-1137.7669295598134</c:v>
                </c:pt>
                <c:pt idx="506">
                  <c:v>-1466.7989676498919</c:v>
                </c:pt>
                <c:pt idx="507">
                  <c:v>-763.88181452347817</c:v>
                </c:pt>
                <c:pt idx="508">
                  <c:v>-792.48604127111048</c:v>
                </c:pt>
                <c:pt idx="509">
                  <c:v>-588.19422543096698</c:v>
                </c:pt>
                <c:pt idx="510">
                  <c:v>-548.37523572983628</c:v>
                </c:pt>
                <c:pt idx="511">
                  <c:v>-1139.0005356905785</c:v>
                </c:pt>
                <c:pt idx="512">
                  <c:v>-598.39394465659825</c:v>
                </c:pt>
                <c:pt idx="513">
                  <c:v>-1042.9226210598149</c:v>
                </c:pt>
                <c:pt idx="514">
                  <c:v>-1073.9604086645118</c:v>
                </c:pt>
                <c:pt idx="515">
                  <c:v>-1125.9329274120701</c:v>
                </c:pt>
                <c:pt idx="516">
                  <c:v>-1024.7154344909363</c:v>
                </c:pt>
                <c:pt idx="517">
                  <c:v>-965.46672425810493</c:v>
                </c:pt>
                <c:pt idx="518">
                  <c:v>-944.23853310664254</c:v>
                </c:pt>
                <c:pt idx="519">
                  <c:v>-969.12773471552919</c:v>
                </c:pt>
                <c:pt idx="520">
                  <c:v>-833.5033946200756</c:v>
                </c:pt>
                <c:pt idx="521">
                  <c:v>-1209.4033623019532</c:v>
                </c:pt>
                <c:pt idx="522">
                  <c:v>-1140.9174270309022</c:v>
                </c:pt>
                <c:pt idx="523">
                  <c:v>-1164.7070213589925</c:v>
                </c:pt>
                <c:pt idx="524">
                  <c:v>-614.79468258115458</c:v>
                </c:pt>
                <c:pt idx="525">
                  <c:v>-745.62609942210884</c:v>
                </c:pt>
                <c:pt idx="526">
                  <c:v>-1112.4871693954833</c:v>
                </c:pt>
                <c:pt idx="527">
                  <c:v>-915.12970752090268</c:v>
                </c:pt>
                <c:pt idx="528">
                  <c:v>-736.68288807262115</c:v>
                </c:pt>
                <c:pt idx="529">
                  <c:v>-840.30445357881035</c:v>
                </c:pt>
                <c:pt idx="530">
                  <c:v>-1092.0528659252632</c:v>
                </c:pt>
                <c:pt idx="531">
                  <c:v>-1076.873434931214</c:v>
                </c:pt>
                <c:pt idx="532">
                  <c:v>-344.31906902593528</c:v>
                </c:pt>
                <c:pt idx="533">
                  <c:v>-1065.131777430852</c:v>
                </c:pt>
                <c:pt idx="534">
                  <c:v>-1535.8283406573855</c:v>
                </c:pt>
                <c:pt idx="535">
                  <c:v>-597.70157105611065</c:v>
                </c:pt>
                <c:pt idx="536">
                  <c:v>-928.85195459913757</c:v>
                </c:pt>
                <c:pt idx="537">
                  <c:v>-1206.4336660406855</c:v>
                </c:pt>
                <c:pt idx="538">
                  <c:v>-986.71228145002624</c:v>
                </c:pt>
                <c:pt idx="539">
                  <c:v>-381.13802526365089</c:v>
                </c:pt>
                <c:pt idx="540">
                  <c:v>-1539.857669367897</c:v>
                </c:pt>
                <c:pt idx="541">
                  <c:v>-994.79314015529872</c:v>
                </c:pt>
                <c:pt idx="542">
                  <c:v>-532.22840806559952</c:v>
                </c:pt>
                <c:pt idx="543">
                  <c:v>-901.79542045494236</c:v>
                </c:pt>
                <c:pt idx="544">
                  <c:v>-908.5340391294269</c:v>
                </c:pt>
                <c:pt idx="545">
                  <c:v>-1416.1893426703014</c:v>
                </c:pt>
                <c:pt idx="546">
                  <c:v>-854.76774567960069</c:v>
                </c:pt>
                <c:pt idx="547">
                  <c:v>-1174.0035942234513</c:v>
                </c:pt>
                <c:pt idx="548">
                  <c:v>-879.07208868125099</c:v>
                </c:pt>
                <c:pt idx="549">
                  <c:v>-437.17042672478146</c:v>
                </c:pt>
                <c:pt idx="550">
                  <c:v>-865.70699646871435</c:v>
                </c:pt>
                <c:pt idx="551">
                  <c:v>-671.95864480696127</c:v>
                </c:pt>
                <c:pt idx="552">
                  <c:v>-579.87346422593873</c:v>
                </c:pt>
                <c:pt idx="553">
                  <c:v>-1255.0571155264338</c:v>
                </c:pt>
                <c:pt idx="554">
                  <c:v>-493.86670314721459</c:v>
                </c:pt>
                <c:pt idx="555">
                  <c:v>-1186.8212261993294</c:v>
                </c:pt>
                <c:pt idx="556">
                  <c:v>-1073.9295804911462</c:v>
                </c:pt>
                <c:pt idx="557">
                  <c:v>-1211.7818265577325</c:v>
                </c:pt>
                <c:pt idx="558">
                  <c:v>-1021.4546139701069</c:v>
                </c:pt>
                <c:pt idx="559">
                  <c:v>-1380.6396227664295</c:v>
                </c:pt>
                <c:pt idx="560">
                  <c:v>-890.69950494178602</c:v>
                </c:pt>
                <c:pt idx="561">
                  <c:v>-926.39742312878593</c:v>
                </c:pt>
                <c:pt idx="562">
                  <c:v>-844.12915708504443</c:v>
                </c:pt>
                <c:pt idx="563">
                  <c:v>-989.83818794052513</c:v>
                </c:pt>
                <c:pt idx="564">
                  <c:v>-1067.1091113044827</c:v>
                </c:pt>
                <c:pt idx="565">
                  <c:v>-538.90500206260685</c:v>
                </c:pt>
                <c:pt idx="566">
                  <c:v>-1061.1219653677413</c:v>
                </c:pt>
                <c:pt idx="567">
                  <c:v>-427.98541408820529</c:v>
                </c:pt>
                <c:pt idx="568">
                  <c:v>-549.57921031427122</c:v>
                </c:pt>
                <c:pt idx="569">
                  <c:v>-788.96757051972099</c:v>
                </c:pt>
                <c:pt idx="570">
                  <c:v>-1246.9699171091243</c:v>
                </c:pt>
                <c:pt idx="571">
                  <c:v>-967.78013806140984</c:v>
                </c:pt>
                <c:pt idx="572">
                  <c:v>-1155.4865295572272</c:v>
                </c:pt>
                <c:pt idx="573">
                  <c:v>-1040.7174429686097</c:v>
                </c:pt>
                <c:pt idx="574">
                  <c:v>-958.73759783220885</c:v>
                </c:pt>
                <c:pt idx="575">
                  <c:v>-1048.8755608223396</c:v>
                </c:pt>
                <c:pt idx="576">
                  <c:v>-1057.1423591574048</c:v>
                </c:pt>
                <c:pt idx="577">
                  <c:v>-1165.9186066185157</c:v>
                </c:pt>
                <c:pt idx="578">
                  <c:v>-884.65921046760832</c:v>
                </c:pt>
                <c:pt idx="579">
                  <c:v>-847.1335278373831</c:v>
                </c:pt>
                <c:pt idx="580">
                  <c:v>-1007.5895374288571</c:v>
                </c:pt>
                <c:pt idx="581">
                  <c:v>-839.61650547606268</c:v>
                </c:pt>
                <c:pt idx="582">
                  <c:v>-1081.8388203583122</c:v>
                </c:pt>
                <c:pt idx="583">
                  <c:v>-1036.9715046775432</c:v>
                </c:pt>
                <c:pt idx="584">
                  <c:v>-1505.701489672841</c:v>
                </c:pt>
                <c:pt idx="585">
                  <c:v>-712.96794425434655</c:v>
                </c:pt>
                <c:pt idx="586">
                  <c:v>-1045.421596062668</c:v>
                </c:pt>
                <c:pt idx="587">
                  <c:v>-963.25681430985151</c:v>
                </c:pt>
                <c:pt idx="588">
                  <c:v>-426.11681686456018</c:v>
                </c:pt>
                <c:pt idx="589">
                  <c:v>-503.32599175535643</c:v>
                </c:pt>
                <c:pt idx="590">
                  <c:v>-1039.534181137853</c:v>
                </c:pt>
                <c:pt idx="591">
                  <c:v>-494.22148051636964</c:v>
                </c:pt>
                <c:pt idx="592">
                  <c:v>-995.8726051447461</c:v>
                </c:pt>
                <c:pt idx="593">
                  <c:v>-715.57725859615039</c:v>
                </c:pt>
                <c:pt idx="594">
                  <c:v>-852.74170720202846</c:v>
                </c:pt>
                <c:pt idx="595">
                  <c:v>-1085.4730546003693</c:v>
                </c:pt>
                <c:pt idx="596">
                  <c:v>-539.90210757694513</c:v>
                </c:pt>
                <c:pt idx="597">
                  <c:v>-1243.6668703515393</c:v>
                </c:pt>
                <c:pt idx="598">
                  <c:v>-405.53704628194146</c:v>
                </c:pt>
                <c:pt idx="599">
                  <c:v>-979.01110399278355</c:v>
                </c:pt>
                <c:pt idx="600">
                  <c:v>-878.31193351561842</c:v>
                </c:pt>
                <c:pt idx="601">
                  <c:v>-1039.9127568847348</c:v>
                </c:pt>
                <c:pt idx="602">
                  <c:v>-958.8319292582828</c:v>
                </c:pt>
                <c:pt idx="603">
                  <c:v>-1235.7717748983009</c:v>
                </c:pt>
                <c:pt idx="604">
                  <c:v>-1183.6610569467525</c:v>
                </c:pt>
                <c:pt idx="605">
                  <c:v>-999.2916881726087</c:v>
                </c:pt>
                <c:pt idx="606">
                  <c:v>-1420.1352435923141</c:v>
                </c:pt>
                <c:pt idx="607">
                  <c:v>-1155.7939556763949</c:v>
                </c:pt>
                <c:pt idx="608">
                  <c:v>-1225.8152115676999</c:v>
                </c:pt>
                <c:pt idx="609">
                  <c:v>-1163.3364896361056</c:v>
                </c:pt>
                <c:pt idx="610">
                  <c:v>-946.90574474369191</c:v>
                </c:pt>
                <c:pt idx="611">
                  <c:v>-850.75859877815901</c:v>
                </c:pt>
                <c:pt idx="612">
                  <c:v>-817.36579791510712</c:v>
                </c:pt>
                <c:pt idx="613">
                  <c:v>-990.05042572384059</c:v>
                </c:pt>
                <c:pt idx="614">
                  <c:v>-773.18403612471002</c:v>
                </c:pt>
                <c:pt idx="615">
                  <c:v>-887.2234458220928</c:v>
                </c:pt>
                <c:pt idx="616">
                  <c:v>-606.34357285081387</c:v>
                </c:pt>
                <c:pt idx="617">
                  <c:v>-1327.4329030058834</c:v>
                </c:pt>
                <c:pt idx="618">
                  <c:v>-936.8101617229554</c:v>
                </c:pt>
                <c:pt idx="619">
                  <c:v>-1167.2470018728418</c:v>
                </c:pt>
                <c:pt idx="620">
                  <c:v>-936.86667596965572</c:v>
                </c:pt>
                <c:pt idx="621">
                  <c:v>-826.04593569273084</c:v>
                </c:pt>
                <c:pt idx="622">
                  <c:v>-653.04811382110483</c:v>
                </c:pt>
                <c:pt idx="623">
                  <c:v>-812.56211812336551</c:v>
                </c:pt>
                <c:pt idx="624">
                  <c:v>-1015.7302763094417</c:v>
                </c:pt>
                <c:pt idx="625">
                  <c:v>-954.23052162096701</c:v>
                </c:pt>
                <c:pt idx="626">
                  <c:v>-1633.2551751726155</c:v>
                </c:pt>
                <c:pt idx="627">
                  <c:v>-1188.340858825291</c:v>
                </c:pt>
                <c:pt idx="628">
                  <c:v>-856.60108291551842</c:v>
                </c:pt>
                <c:pt idx="629">
                  <c:v>-660.26500661879481</c:v>
                </c:pt>
                <c:pt idx="630">
                  <c:v>-1227.530369999241</c:v>
                </c:pt>
                <c:pt idx="631">
                  <c:v>-915.47876579145486</c:v>
                </c:pt>
                <c:pt idx="632">
                  <c:v>-562.27142041651859</c:v>
                </c:pt>
                <c:pt idx="633">
                  <c:v>-1128.4709089063765</c:v>
                </c:pt>
                <c:pt idx="634">
                  <c:v>-611.99656385821118</c:v>
                </c:pt>
                <c:pt idx="635">
                  <c:v>-1141.9409803254016</c:v>
                </c:pt>
                <c:pt idx="636">
                  <c:v>-1113.7291106492135</c:v>
                </c:pt>
                <c:pt idx="637">
                  <c:v>-1387.3198877232646</c:v>
                </c:pt>
                <c:pt idx="638">
                  <c:v>-891.48748163455957</c:v>
                </c:pt>
                <c:pt idx="639">
                  <c:v>-1213.1692358271898</c:v>
                </c:pt>
                <c:pt idx="640">
                  <c:v>-1022.8834551804448</c:v>
                </c:pt>
                <c:pt idx="641">
                  <c:v>-1331.1215005095505</c:v>
                </c:pt>
                <c:pt idx="642">
                  <c:v>-553.54289463536452</c:v>
                </c:pt>
                <c:pt idx="643">
                  <c:v>-797.05429724458736</c:v>
                </c:pt>
                <c:pt idx="644">
                  <c:v>-966.33416560361184</c:v>
                </c:pt>
                <c:pt idx="645">
                  <c:v>-637.75610406473879</c:v>
                </c:pt>
                <c:pt idx="646">
                  <c:v>-941.83814230585449</c:v>
                </c:pt>
                <c:pt idx="647">
                  <c:v>-769.98832213239348</c:v>
                </c:pt>
                <c:pt idx="648">
                  <c:v>-737.18785673442062</c:v>
                </c:pt>
                <c:pt idx="649">
                  <c:v>-1371.8501532370021</c:v>
                </c:pt>
                <c:pt idx="650">
                  <c:v>-738.71900562852488</c:v>
                </c:pt>
                <c:pt idx="651">
                  <c:v>-479.71904571128721</c:v>
                </c:pt>
                <c:pt idx="652">
                  <c:v>-526.19465904441927</c:v>
                </c:pt>
                <c:pt idx="653">
                  <c:v>-818.16377941689211</c:v>
                </c:pt>
                <c:pt idx="654">
                  <c:v>-878.87948962933001</c:v>
                </c:pt>
                <c:pt idx="655">
                  <c:v>-1315.1232353976302</c:v>
                </c:pt>
                <c:pt idx="656">
                  <c:v>-1205.7052711018614</c:v>
                </c:pt>
                <c:pt idx="657">
                  <c:v>-1125.1487399842881</c:v>
                </c:pt>
                <c:pt idx="658">
                  <c:v>-785.53357424039996</c:v>
                </c:pt>
                <c:pt idx="659">
                  <c:v>-937.2344762588823</c:v>
                </c:pt>
                <c:pt idx="660">
                  <c:v>-1031.9515234889172</c:v>
                </c:pt>
                <c:pt idx="661">
                  <c:v>-989.41124416884759</c:v>
                </c:pt>
                <c:pt idx="662">
                  <c:v>-1065.1019266202088</c:v>
                </c:pt>
                <c:pt idx="663">
                  <c:v>-725.86043664457657</c:v>
                </c:pt>
                <c:pt idx="664">
                  <c:v>-1062.0745977266045</c:v>
                </c:pt>
                <c:pt idx="665">
                  <c:v>-982.46580233821373</c:v>
                </c:pt>
                <c:pt idx="666">
                  <c:v>-1068.926734876477</c:v>
                </c:pt>
                <c:pt idx="667">
                  <c:v>-1211.7427552990603</c:v>
                </c:pt>
                <c:pt idx="668">
                  <c:v>-1094.2164880077949</c:v>
                </c:pt>
                <c:pt idx="669">
                  <c:v>-1098.8789475354415</c:v>
                </c:pt>
                <c:pt idx="670">
                  <c:v>-587.48755900680453</c:v>
                </c:pt>
                <c:pt idx="671">
                  <c:v>-726.40928605792215</c:v>
                </c:pt>
                <c:pt idx="672">
                  <c:v>-922.86314214506569</c:v>
                </c:pt>
                <c:pt idx="673">
                  <c:v>-774.38673395387059</c:v>
                </c:pt>
                <c:pt idx="674">
                  <c:v>-1013.1314015626942</c:v>
                </c:pt>
                <c:pt idx="675">
                  <c:v>-914.98460242663987</c:v>
                </c:pt>
                <c:pt idx="676">
                  <c:v>-654.57761335906116</c:v>
                </c:pt>
                <c:pt idx="677">
                  <c:v>-776.2719430169991</c:v>
                </c:pt>
                <c:pt idx="678">
                  <c:v>-1028.0738461702658</c:v>
                </c:pt>
                <c:pt idx="679">
                  <c:v>-569.09797840946794</c:v>
                </c:pt>
                <c:pt idx="680">
                  <c:v>-1172.834246891033</c:v>
                </c:pt>
                <c:pt idx="681">
                  <c:v>-953.29943949946778</c:v>
                </c:pt>
                <c:pt idx="682">
                  <c:v>-431.30827813898441</c:v>
                </c:pt>
                <c:pt idx="683">
                  <c:v>-562.25089251419377</c:v>
                </c:pt>
                <c:pt idx="684">
                  <c:v>-1093.3898475090059</c:v>
                </c:pt>
                <c:pt idx="685">
                  <c:v>-743.33839205840604</c:v>
                </c:pt>
                <c:pt idx="686">
                  <c:v>-916.40511374740504</c:v>
                </c:pt>
                <c:pt idx="687">
                  <c:v>-910.31858080798156</c:v>
                </c:pt>
                <c:pt idx="688">
                  <c:v>-883.15690855698267</c:v>
                </c:pt>
                <c:pt idx="689">
                  <c:v>-982.74484002717782</c:v>
                </c:pt>
                <c:pt idx="690">
                  <c:v>-913.70664274200772</c:v>
                </c:pt>
                <c:pt idx="691">
                  <c:v>-239.80769136852746</c:v>
                </c:pt>
                <c:pt idx="692">
                  <c:v>-1314.6326292402746</c:v>
                </c:pt>
                <c:pt idx="693">
                  <c:v>-697.96889468596555</c:v>
                </c:pt>
                <c:pt idx="694">
                  <c:v>-820.33764314834639</c:v>
                </c:pt>
                <c:pt idx="695">
                  <c:v>-570.23360705060236</c:v>
                </c:pt>
                <c:pt idx="696">
                  <c:v>-1211.9041699484346</c:v>
                </c:pt>
                <c:pt idx="697">
                  <c:v>-1115.0466053469695</c:v>
                </c:pt>
                <c:pt idx="698">
                  <c:v>-862.65240886590368</c:v>
                </c:pt>
                <c:pt idx="699">
                  <c:v>-1208.0419554119953</c:v>
                </c:pt>
                <c:pt idx="700">
                  <c:v>-1028.3430642636245</c:v>
                </c:pt>
                <c:pt idx="701">
                  <c:v>-703.1638265271572</c:v>
                </c:pt>
                <c:pt idx="702">
                  <c:v>-1051.3935511036711</c:v>
                </c:pt>
                <c:pt idx="703">
                  <c:v>-659.89764152122461</c:v>
                </c:pt>
                <c:pt idx="704">
                  <c:v>-711.63884276936005</c:v>
                </c:pt>
                <c:pt idx="705">
                  <c:v>-1201.5503406899384</c:v>
                </c:pt>
                <c:pt idx="706">
                  <c:v>-1079.210463912133</c:v>
                </c:pt>
                <c:pt idx="707">
                  <c:v>-1195.9794111430788</c:v>
                </c:pt>
                <c:pt idx="708">
                  <c:v>-960.17081888686153</c:v>
                </c:pt>
                <c:pt idx="709">
                  <c:v>-1010.0792488189718</c:v>
                </c:pt>
                <c:pt idx="710">
                  <c:v>-1538.9625770359321</c:v>
                </c:pt>
                <c:pt idx="711">
                  <c:v>-1095.8464356126819</c:v>
                </c:pt>
                <c:pt idx="712">
                  <c:v>-1219.1707280027113</c:v>
                </c:pt>
                <c:pt idx="713">
                  <c:v>-845.2382722155503</c:v>
                </c:pt>
                <c:pt idx="714">
                  <c:v>-530.26531918315231</c:v>
                </c:pt>
                <c:pt idx="715">
                  <c:v>-1025.7733103092855</c:v>
                </c:pt>
                <c:pt idx="716">
                  <c:v>-662.24212478565096</c:v>
                </c:pt>
                <c:pt idx="717">
                  <c:v>-992.67686155656043</c:v>
                </c:pt>
                <c:pt idx="718">
                  <c:v>-646.65186292984663</c:v>
                </c:pt>
                <c:pt idx="719">
                  <c:v>-1219.1641702626875</c:v>
                </c:pt>
                <c:pt idx="720">
                  <c:v>-557.36808697777224</c:v>
                </c:pt>
                <c:pt idx="721">
                  <c:v>-1045.1369438565853</c:v>
                </c:pt>
                <c:pt idx="722">
                  <c:v>-933.52555132939597</c:v>
                </c:pt>
                <c:pt idx="723">
                  <c:v>-874.79643074223873</c:v>
                </c:pt>
                <c:pt idx="724">
                  <c:v>-1259.5750274713482</c:v>
                </c:pt>
                <c:pt idx="725">
                  <c:v>-1091.6220148385296</c:v>
                </c:pt>
                <c:pt idx="726">
                  <c:v>-1208.2347085840029</c:v>
                </c:pt>
                <c:pt idx="727">
                  <c:v>-964.01849456431137</c:v>
                </c:pt>
                <c:pt idx="728">
                  <c:v>-1075.6031029355022</c:v>
                </c:pt>
                <c:pt idx="729">
                  <c:v>-1101.2238495213041</c:v>
                </c:pt>
                <c:pt idx="730">
                  <c:v>-1031.6088210941307</c:v>
                </c:pt>
                <c:pt idx="731">
                  <c:v>-760.2334879760374</c:v>
                </c:pt>
                <c:pt idx="732">
                  <c:v>-1288.9540380264202</c:v>
                </c:pt>
                <c:pt idx="733">
                  <c:v>-1278.6123437582332</c:v>
                </c:pt>
                <c:pt idx="734">
                  <c:v>-369.67979855559975</c:v>
                </c:pt>
                <c:pt idx="735">
                  <c:v>-675.43995103177258</c:v>
                </c:pt>
                <c:pt idx="736">
                  <c:v>-1482.0602152717265</c:v>
                </c:pt>
                <c:pt idx="737">
                  <c:v>-859.93341991212037</c:v>
                </c:pt>
                <c:pt idx="738">
                  <c:v>-617.96871165244102</c:v>
                </c:pt>
                <c:pt idx="739">
                  <c:v>-1022.6843736463447</c:v>
                </c:pt>
                <c:pt idx="740">
                  <c:v>-895.3080175966461</c:v>
                </c:pt>
                <c:pt idx="741">
                  <c:v>-1145.7940990260972</c:v>
                </c:pt>
                <c:pt idx="742">
                  <c:v>-1111.08211332881</c:v>
                </c:pt>
                <c:pt idx="743">
                  <c:v>-881.83540157473658</c:v>
                </c:pt>
                <c:pt idx="744">
                  <c:v>-773.11930749923204</c:v>
                </c:pt>
                <c:pt idx="745">
                  <c:v>-929.072252993446</c:v>
                </c:pt>
                <c:pt idx="746">
                  <c:v>-989.59948595351534</c:v>
                </c:pt>
                <c:pt idx="747">
                  <c:v>-1120.3472949602628</c:v>
                </c:pt>
                <c:pt idx="748">
                  <c:v>-888.21001881541997</c:v>
                </c:pt>
                <c:pt idx="749">
                  <c:v>-649.6394280446807</c:v>
                </c:pt>
                <c:pt idx="750">
                  <c:v>-1002.5487225694064</c:v>
                </c:pt>
                <c:pt idx="751">
                  <c:v>-955.95655914426516</c:v>
                </c:pt>
                <c:pt idx="752">
                  <c:v>-494.9553204693093</c:v>
                </c:pt>
                <c:pt idx="753">
                  <c:v>-482.21622839486145</c:v>
                </c:pt>
                <c:pt idx="754">
                  <c:v>-661.35149884198586</c:v>
                </c:pt>
                <c:pt idx="755">
                  <c:v>-969.48407277084334</c:v>
                </c:pt>
                <c:pt idx="756">
                  <c:v>-953.62255935191479</c:v>
                </c:pt>
                <c:pt idx="757">
                  <c:v>-613.11943881764864</c:v>
                </c:pt>
                <c:pt idx="758">
                  <c:v>-1532.8822390027576</c:v>
                </c:pt>
                <c:pt idx="759">
                  <c:v>-599.82419295150794</c:v>
                </c:pt>
                <c:pt idx="760">
                  <c:v>-989.53284019956936</c:v>
                </c:pt>
                <c:pt idx="761">
                  <c:v>-772.68065352938629</c:v>
                </c:pt>
                <c:pt idx="762">
                  <c:v>-936.45854841251094</c:v>
                </c:pt>
                <c:pt idx="763">
                  <c:v>-942.71097001959561</c:v>
                </c:pt>
                <c:pt idx="764">
                  <c:v>-1283.568543502384</c:v>
                </c:pt>
                <c:pt idx="765">
                  <c:v>-573.62569068902758</c:v>
                </c:pt>
                <c:pt idx="766">
                  <c:v>-1320.0643456592525</c:v>
                </c:pt>
                <c:pt idx="767">
                  <c:v>-1450.8959848733389</c:v>
                </c:pt>
                <c:pt idx="768">
                  <c:v>-1203.8346710123874</c:v>
                </c:pt>
                <c:pt idx="769">
                  <c:v>-919.62524407686851</c:v>
                </c:pt>
                <c:pt idx="770">
                  <c:v>-981.20408576952423</c:v>
                </c:pt>
                <c:pt idx="771">
                  <c:v>-657.86038248771774</c:v>
                </c:pt>
                <c:pt idx="772">
                  <c:v>-1702.2657554440329</c:v>
                </c:pt>
                <c:pt idx="773">
                  <c:v>-1310.7933489756074</c:v>
                </c:pt>
                <c:pt idx="774">
                  <c:v>-902.68138084393468</c:v>
                </c:pt>
                <c:pt idx="775">
                  <c:v>-933.60741585540927</c:v>
                </c:pt>
                <c:pt idx="776">
                  <c:v>-1136.7484076848664</c:v>
                </c:pt>
                <c:pt idx="777">
                  <c:v>-550.09511407925038</c:v>
                </c:pt>
                <c:pt idx="778">
                  <c:v>-684.51118207762784</c:v>
                </c:pt>
                <c:pt idx="779">
                  <c:v>-692.63403906952499</c:v>
                </c:pt>
                <c:pt idx="780">
                  <c:v>-806.03855456141582</c:v>
                </c:pt>
                <c:pt idx="781">
                  <c:v>-892.05548094185451</c:v>
                </c:pt>
                <c:pt idx="782">
                  <c:v>-824.29849094795554</c:v>
                </c:pt>
                <c:pt idx="783">
                  <c:v>-1102.226451308899</c:v>
                </c:pt>
                <c:pt idx="784">
                  <c:v>-807.17119464582356</c:v>
                </c:pt>
                <c:pt idx="785">
                  <c:v>-1362.2522527775095</c:v>
                </c:pt>
                <c:pt idx="786">
                  <c:v>-904.60676188062575</c:v>
                </c:pt>
                <c:pt idx="787">
                  <c:v>-697.02702053040775</c:v>
                </c:pt>
                <c:pt idx="788">
                  <c:v>-893.39405729149235</c:v>
                </c:pt>
                <c:pt idx="789">
                  <c:v>-988.45774241555728</c:v>
                </c:pt>
                <c:pt idx="790">
                  <c:v>-472.5972636302713</c:v>
                </c:pt>
                <c:pt idx="791">
                  <c:v>-720.75784502226361</c:v>
                </c:pt>
                <c:pt idx="792">
                  <c:v>-729.72684242203468</c:v>
                </c:pt>
                <c:pt idx="793">
                  <c:v>-713.86867036895501</c:v>
                </c:pt>
                <c:pt idx="794">
                  <c:v>-634.20572873487208</c:v>
                </c:pt>
                <c:pt idx="795">
                  <c:v>-1275.3066960682966</c:v>
                </c:pt>
                <c:pt idx="796">
                  <c:v>-1029.1895415880583</c:v>
                </c:pt>
                <c:pt idx="797">
                  <c:v>-1069.6527628300942</c:v>
                </c:pt>
                <c:pt idx="798">
                  <c:v>-596.38727292087879</c:v>
                </c:pt>
                <c:pt idx="799">
                  <c:v>-1357.2867808964743</c:v>
                </c:pt>
                <c:pt idx="800">
                  <c:v>-1100.2082022054287</c:v>
                </c:pt>
                <c:pt idx="801">
                  <c:v>-1111.2583985161914</c:v>
                </c:pt>
                <c:pt idx="802">
                  <c:v>-1463.4416808361423</c:v>
                </c:pt>
                <c:pt idx="803">
                  <c:v>-1348.9632518273693</c:v>
                </c:pt>
                <c:pt idx="804">
                  <c:v>-951.60973722085691</c:v>
                </c:pt>
                <c:pt idx="805">
                  <c:v>-953.82807458541333</c:v>
                </c:pt>
                <c:pt idx="806">
                  <c:v>-622.27622492687533</c:v>
                </c:pt>
                <c:pt idx="807">
                  <c:v>-841.84028076123877</c:v>
                </c:pt>
                <c:pt idx="808">
                  <c:v>-1284.44724090817</c:v>
                </c:pt>
                <c:pt idx="809">
                  <c:v>-976.89231787046219</c:v>
                </c:pt>
                <c:pt idx="810">
                  <c:v>-1133.3229752926613</c:v>
                </c:pt>
                <c:pt idx="811">
                  <c:v>-556.15208203798602</c:v>
                </c:pt>
                <c:pt idx="812">
                  <c:v>-883.52536321995558</c:v>
                </c:pt>
                <c:pt idx="813">
                  <c:v>-1043.5687853738823</c:v>
                </c:pt>
                <c:pt idx="814">
                  <c:v>-958.70616515642632</c:v>
                </c:pt>
                <c:pt idx="815">
                  <c:v>-1163.5084004777987</c:v>
                </c:pt>
                <c:pt idx="816">
                  <c:v>-1109.7471408149936</c:v>
                </c:pt>
                <c:pt idx="817">
                  <c:v>-939.14742241027307</c:v>
                </c:pt>
                <c:pt idx="818">
                  <c:v>-639.70637059110322</c:v>
                </c:pt>
                <c:pt idx="819">
                  <c:v>-838.63793050247932</c:v>
                </c:pt>
                <c:pt idx="820">
                  <c:v>-1063.404588661705</c:v>
                </c:pt>
                <c:pt idx="821">
                  <c:v>-852.17369560217821</c:v>
                </c:pt>
                <c:pt idx="822">
                  <c:v>-897.60250930430129</c:v>
                </c:pt>
                <c:pt idx="823">
                  <c:v>-1082.2534244876392</c:v>
                </c:pt>
                <c:pt idx="824">
                  <c:v>-775.13554497307837</c:v>
                </c:pt>
                <c:pt idx="825">
                  <c:v>-1019.818260009999</c:v>
                </c:pt>
                <c:pt idx="826">
                  <c:v>-853.39913434650612</c:v>
                </c:pt>
                <c:pt idx="827">
                  <c:v>-1040.5718882959004</c:v>
                </c:pt>
                <c:pt idx="828">
                  <c:v>-782.66143773737122</c:v>
                </c:pt>
                <c:pt idx="829">
                  <c:v>-532.60789445787987</c:v>
                </c:pt>
                <c:pt idx="830">
                  <c:v>-807.79656563543699</c:v>
                </c:pt>
                <c:pt idx="831">
                  <c:v>-1194.9864826174967</c:v>
                </c:pt>
                <c:pt idx="832">
                  <c:v>-920.78206677658773</c:v>
                </c:pt>
                <c:pt idx="833">
                  <c:v>-821.21788828175613</c:v>
                </c:pt>
                <c:pt idx="834">
                  <c:v>-784.01510394714296</c:v>
                </c:pt>
                <c:pt idx="835">
                  <c:v>-1130.8195060085031</c:v>
                </c:pt>
                <c:pt idx="836">
                  <c:v>-810.64208618654629</c:v>
                </c:pt>
                <c:pt idx="837">
                  <c:v>-1114.7927415608929</c:v>
                </c:pt>
                <c:pt idx="838">
                  <c:v>-677.52027080837024</c:v>
                </c:pt>
                <c:pt idx="839">
                  <c:v>-999.19181001123115</c:v>
                </c:pt>
                <c:pt idx="840">
                  <c:v>-1014.4417850657442</c:v>
                </c:pt>
                <c:pt idx="841">
                  <c:v>-934.92343570048206</c:v>
                </c:pt>
                <c:pt idx="842">
                  <c:v>-1262.7874937456863</c:v>
                </c:pt>
                <c:pt idx="843">
                  <c:v>-1161.2731603674565</c:v>
                </c:pt>
                <c:pt idx="844">
                  <c:v>-673.16830639829368</c:v>
                </c:pt>
                <c:pt idx="845">
                  <c:v>-951.88758350303442</c:v>
                </c:pt>
                <c:pt idx="846">
                  <c:v>-953.07309149359799</c:v>
                </c:pt>
                <c:pt idx="847">
                  <c:v>-612.17792158487237</c:v>
                </c:pt>
                <c:pt idx="848">
                  <c:v>-1098.4427166164978</c:v>
                </c:pt>
                <c:pt idx="849">
                  <c:v>-1064.1442157584547</c:v>
                </c:pt>
                <c:pt idx="850">
                  <c:v>-567.49104351077403</c:v>
                </c:pt>
                <c:pt idx="851">
                  <c:v>-667.80587219704648</c:v>
                </c:pt>
                <c:pt idx="852">
                  <c:v>-984.39977713410099</c:v>
                </c:pt>
                <c:pt idx="853">
                  <c:v>-764.77207673847533</c:v>
                </c:pt>
                <c:pt idx="854">
                  <c:v>-1046.0793264057465</c:v>
                </c:pt>
                <c:pt idx="855">
                  <c:v>-723.58879671962677</c:v>
                </c:pt>
                <c:pt idx="856">
                  <c:v>-1294.517562215176</c:v>
                </c:pt>
                <c:pt idx="857">
                  <c:v>-704.54045821663203</c:v>
                </c:pt>
                <c:pt idx="858">
                  <c:v>-958.62093421660302</c:v>
                </c:pt>
                <c:pt idx="859">
                  <c:v>-1245.4306280149749</c:v>
                </c:pt>
                <c:pt idx="860">
                  <c:v>-799.63597010199419</c:v>
                </c:pt>
                <c:pt idx="861">
                  <c:v>-1087.7830868780425</c:v>
                </c:pt>
                <c:pt idx="862">
                  <c:v>-940.39589885774785</c:v>
                </c:pt>
                <c:pt idx="863">
                  <c:v>-495.50247455824956</c:v>
                </c:pt>
                <c:pt idx="864">
                  <c:v>-785.06305549369335</c:v>
                </c:pt>
                <c:pt idx="865">
                  <c:v>-1176.2668946397546</c:v>
                </c:pt>
                <c:pt idx="866">
                  <c:v>-929.41909998127312</c:v>
                </c:pt>
                <c:pt idx="867">
                  <c:v>-1009.0877621084037</c:v>
                </c:pt>
                <c:pt idx="868">
                  <c:v>-1299.9470159418311</c:v>
                </c:pt>
                <c:pt idx="869">
                  <c:v>-920.46497092647201</c:v>
                </c:pt>
                <c:pt idx="870">
                  <c:v>-844.21808520617651</c:v>
                </c:pt>
                <c:pt idx="871">
                  <c:v>-983.15648977785895</c:v>
                </c:pt>
                <c:pt idx="872">
                  <c:v>-781.90942349426177</c:v>
                </c:pt>
                <c:pt idx="873">
                  <c:v>-871.50529336825093</c:v>
                </c:pt>
                <c:pt idx="874">
                  <c:v>-605.92978956417483</c:v>
                </c:pt>
                <c:pt idx="875">
                  <c:v>-763.93576355568575</c:v>
                </c:pt>
                <c:pt idx="876">
                  <c:v>-1248.0209684677366</c:v>
                </c:pt>
                <c:pt idx="877">
                  <c:v>-952.09318207859042</c:v>
                </c:pt>
                <c:pt idx="878">
                  <c:v>-1163.2360838527416</c:v>
                </c:pt>
                <c:pt idx="879">
                  <c:v>-1114.9417033850527</c:v>
                </c:pt>
                <c:pt idx="880">
                  <c:v>-969.64941435019</c:v>
                </c:pt>
                <c:pt idx="881">
                  <c:v>-1221.5034093123991</c:v>
                </c:pt>
                <c:pt idx="882">
                  <c:v>-1035.0863519401723</c:v>
                </c:pt>
                <c:pt idx="883">
                  <c:v>-859.18291623603136</c:v>
                </c:pt>
                <c:pt idx="884">
                  <c:v>-1119.1306546701271</c:v>
                </c:pt>
                <c:pt idx="885">
                  <c:v>-898.39605189031681</c:v>
                </c:pt>
                <c:pt idx="886">
                  <c:v>-1159.4739369856411</c:v>
                </c:pt>
                <c:pt idx="887">
                  <c:v>-993.82777676439082</c:v>
                </c:pt>
                <c:pt idx="888">
                  <c:v>-1077.7359354581467</c:v>
                </c:pt>
                <c:pt idx="889">
                  <c:v>-953.78263779622603</c:v>
                </c:pt>
                <c:pt idx="890">
                  <c:v>-1474.3944545334871</c:v>
                </c:pt>
                <c:pt idx="891">
                  <c:v>-913.30290236575365</c:v>
                </c:pt>
                <c:pt idx="892">
                  <c:v>-916.82890336306218</c:v>
                </c:pt>
                <c:pt idx="893">
                  <c:v>-1258.6797986857118</c:v>
                </c:pt>
                <c:pt idx="894">
                  <c:v>-330.26080511802638</c:v>
                </c:pt>
                <c:pt idx="895">
                  <c:v>-1260.4267201400048</c:v>
                </c:pt>
                <c:pt idx="896">
                  <c:v>-1053.8093256682484</c:v>
                </c:pt>
                <c:pt idx="897">
                  <c:v>-995.81322044714079</c:v>
                </c:pt>
                <c:pt idx="898">
                  <c:v>-918.61321821971387</c:v>
                </c:pt>
                <c:pt idx="899">
                  <c:v>-476.20337427933191</c:v>
                </c:pt>
                <c:pt idx="900">
                  <c:v>-558.98799953621892</c:v>
                </c:pt>
                <c:pt idx="901">
                  <c:v>-1140.7451765237802</c:v>
                </c:pt>
                <c:pt idx="902">
                  <c:v>-1074.1949858850458</c:v>
                </c:pt>
                <c:pt idx="903">
                  <c:v>-1334.8646701218645</c:v>
                </c:pt>
                <c:pt idx="904">
                  <c:v>-1205.5971623540518</c:v>
                </c:pt>
                <c:pt idx="905">
                  <c:v>-1096.6304828144384</c:v>
                </c:pt>
                <c:pt idx="906">
                  <c:v>-1492.4888545942049</c:v>
                </c:pt>
                <c:pt idx="907">
                  <c:v>-732.41865712254003</c:v>
                </c:pt>
                <c:pt idx="908">
                  <c:v>-616.68770433860186</c:v>
                </c:pt>
                <c:pt idx="909">
                  <c:v>-1151.8826950991524</c:v>
                </c:pt>
                <c:pt idx="910">
                  <c:v>-723.0928758621817</c:v>
                </c:pt>
                <c:pt idx="911">
                  <c:v>-1199.3086033199443</c:v>
                </c:pt>
                <c:pt idx="912">
                  <c:v>-912.26445596404483</c:v>
                </c:pt>
                <c:pt idx="913">
                  <c:v>-892.86489502402765</c:v>
                </c:pt>
                <c:pt idx="914">
                  <c:v>-1270.100981482778</c:v>
                </c:pt>
                <c:pt idx="915">
                  <c:v>-1320.834615380194</c:v>
                </c:pt>
                <c:pt idx="916">
                  <c:v>-880.16198208426431</c:v>
                </c:pt>
                <c:pt idx="917">
                  <c:v>-1080.0968549881627</c:v>
                </c:pt>
                <c:pt idx="918">
                  <c:v>-1098.6911527960892</c:v>
                </c:pt>
                <c:pt idx="919">
                  <c:v>-352.5040560855532</c:v>
                </c:pt>
                <c:pt idx="920">
                  <c:v>-1030.5018107530241</c:v>
                </c:pt>
                <c:pt idx="921">
                  <c:v>-695.98305059935842</c:v>
                </c:pt>
                <c:pt idx="922">
                  <c:v>-1011.3709523441044</c:v>
                </c:pt>
                <c:pt idx="923">
                  <c:v>-1196.7227513296039</c:v>
                </c:pt>
                <c:pt idx="924">
                  <c:v>-1456.2396055653085</c:v>
                </c:pt>
                <c:pt idx="925">
                  <c:v>-817.01699406775242</c:v>
                </c:pt>
                <c:pt idx="926">
                  <c:v>-1270.8554795797913</c:v>
                </c:pt>
                <c:pt idx="927">
                  <c:v>-1026.2738870324702</c:v>
                </c:pt>
                <c:pt idx="928">
                  <c:v>-944.31183245783313</c:v>
                </c:pt>
                <c:pt idx="929">
                  <c:v>-1292.0703616231776</c:v>
                </c:pt>
                <c:pt idx="930">
                  <c:v>-1142.0083430942577</c:v>
                </c:pt>
                <c:pt idx="931">
                  <c:v>-987.24553045043285</c:v>
                </c:pt>
                <c:pt idx="932">
                  <c:v>-574.21175873068887</c:v>
                </c:pt>
                <c:pt idx="933">
                  <c:v>-934.81344112656643</c:v>
                </c:pt>
                <c:pt idx="934">
                  <c:v>-845.45140390830829</c:v>
                </c:pt>
                <c:pt idx="935">
                  <c:v>-749.24375318991588</c:v>
                </c:pt>
                <c:pt idx="936">
                  <c:v>-799.52746834892378</c:v>
                </c:pt>
                <c:pt idx="937">
                  <c:v>-825.27943712777505</c:v>
                </c:pt>
                <c:pt idx="938">
                  <c:v>-807.71965829953115</c:v>
                </c:pt>
                <c:pt idx="939">
                  <c:v>-929.49081559358865</c:v>
                </c:pt>
                <c:pt idx="940">
                  <c:v>-770.48535102315054</c:v>
                </c:pt>
                <c:pt idx="941">
                  <c:v>-1032.4337974554728</c:v>
                </c:pt>
                <c:pt idx="942">
                  <c:v>-1035.2871075889859</c:v>
                </c:pt>
                <c:pt idx="943">
                  <c:v>-958.71582980976791</c:v>
                </c:pt>
                <c:pt idx="944">
                  <c:v>-764.00706795071846</c:v>
                </c:pt>
                <c:pt idx="945">
                  <c:v>-1029.4983444936202</c:v>
                </c:pt>
                <c:pt idx="946">
                  <c:v>-832.59766721289861</c:v>
                </c:pt>
                <c:pt idx="947">
                  <c:v>-1083.7538998067885</c:v>
                </c:pt>
                <c:pt idx="948">
                  <c:v>-449.84813511522225</c:v>
                </c:pt>
                <c:pt idx="949">
                  <c:v>-776.92706348481215</c:v>
                </c:pt>
                <c:pt idx="950">
                  <c:v>-946.02018439203539</c:v>
                </c:pt>
                <c:pt idx="951">
                  <c:v>-1841.5561932561818</c:v>
                </c:pt>
                <c:pt idx="952">
                  <c:v>-782.61517570868045</c:v>
                </c:pt>
                <c:pt idx="953">
                  <c:v>-658.12843868477103</c:v>
                </c:pt>
                <c:pt idx="954">
                  <c:v>-1044.5633768575403</c:v>
                </c:pt>
                <c:pt idx="955">
                  <c:v>-1093.3063784895144</c:v>
                </c:pt>
                <c:pt idx="956">
                  <c:v>-697.1126925996</c:v>
                </c:pt>
                <c:pt idx="957">
                  <c:v>-961.44195835068922</c:v>
                </c:pt>
                <c:pt idx="958">
                  <c:v>-731.12484519910163</c:v>
                </c:pt>
                <c:pt idx="959">
                  <c:v>-816.89851833873172</c:v>
                </c:pt>
                <c:pt idx="960">
                  <c:v>-864.01017109869781</c:v>
                </c:pt>
                <c:pt idx="961">
                  <c:v>-712.24303008496827</c:v>
                </c:pt>
                <c:pt idx="962">
                  <c:v>-830.36152128246977</c:v>
                </c:pt>
                <c:pt idx="963">
                  <c:v>-838.65660380287636</c:v>
                </c:pt>
                <c:pt idx="964">
                  <c:v>-1045.1296298699917</c:v>
                </c:pt>
                <c:pt idx="965">
                  <c:v>-1009.5889019647045</c:v>
                </c:pt>
                <c:pt idx="966">
                  <c:v>-1141.4063829390946</c:v>
                </c:pt>
                <c:pt idx="967">
                  <c:v>-963.7704566310772</c:v>
                </c:pt>
                <c:pt idx="968">
                  <c:v>-868.75963026582644</c:v>
                </c:pt>
                <c:pt idx="969">
                  <c:v>-1412.4049784510273</c:v>
                </c:pt>
                <c:pt idx="970">
                  <c:v>-773.72416208510867</c:v>
                </c:pt>
                <c:pt idx="971">
                  <c:v>-1323.1075764638281</c:v>
                </c:pt>
                <c:pt idx="972">
                  <c:v>-401.26118496101253</c:v>
                </c:pt>
                <c:pt idx="973">
                  <c:v>-612.13639327901774</c:v>
                </c:pt>
                <c:pt idx="974">
                  <c:v>-830.70730948434812</c:v>
                </c:pt>
                <c:pt idx="975">
                  <c:v>-1163.5701920846432</c:v>
                </c:pt>
                <c:pt idx="976">
                  <c:v>-781.75886293864869</c:v>
                </c:pt>
                <c:pt idx="977">
                  <c:v>-1655.2164400011029</c:v>
                </c:pt>
                <c:pt idx="978">
                  <c:v>-1408.0963808903862</c:v>
                </c:pt>
                <c:pt idx="979">
                  <c:v>-745.69586369717877</c:v>
                </c:pt>
                <c:pt idx="980">
                  <c:v>-1284.2474060200457</c:v>
                </c:pt>
                <c:pt idx="981">
                  <c:v>-1636.7706529646757</c:v>
                </c:pt>
                <c:pt idx="982">
                  <c:v>-350.41591246049393</c:v>
                </c:pt>
                <c:pt idx="983">
                  <c:v>-854.02341785270119</c:v>
                </c:pt>
                <c:pt idx="984">
                  <c:v>-781.92327675427441</c:v>
                </c:pt>
                <c:pt idx="985">
                  <c:v>-1264.1047846813794</c:v>
                </c:pt>
                <c:pt idx="986">
                  <c:v>-1494.410987284547</c:v>
                </c:pt>
                <c:pt idx="987">
                  <c:v>-1128.9583924263907</c:v>
                </c:pt>
                <c:pt idx="988">
                  <c:v>-1238.9101188612176</c:v>
                </c:pt>
                <c:pt idx="989">
                  <c:v>-1157.6929824400245</c:v>
                </c:pt>
                <c:pt idx="990">
                  <c:v>-905.45677543356351</c:v>
                </c:pt>
                <c:pt idx="991">
                  <c:v>-684.1685710201109</c:v>
                </c:pt>
                <c:pt idx="992">
                  <c:v>-1016.7461358435294</c:v>
                </c:pt>
                <c:pt idx="993">
                  <c:v>-659.11679565387431</c:v>
                </c:pt>
                <c:pt idx="994">
                  <c:v>-1125.0349694908246</c:v>
                </c:pt>
                <c:pt idx="995">
                  <c:v>-1204.9635159709192</c:v>
                </c:pt>
                <c:pt idx="996">
                  <c:v>-1552.8578215190823</c:v>
                </c:pt>
                <c:pt idx="997">
                  <c:v>-1233.8401345442398</c:v>
                </c:pt>
                <c:pt idx="998">
                  <c:v>-872.07074206791231</c:v>
                </c:pt>
                <c:pt idx="999">
                  <c:v>-821.48032583710756</c:v>
                </c:pt>
              </c:numCache>
            </c:numRef>
          </c:yVal>
          <c:smooth val="0"/>
          <c:extLst>
            <c:ext xmlns:c16="http://schemas.microsoft.com/office/drawing/2014/chart" uri="{C3380CC4-5D6E-409C-BE32-E72D297353CC}">
              <c16:uniqueId val="{00000005-46EA-48D7-8109-19533355BB6D}"/>
            </c:ext>
          </c:extLst>
        </c:ser>
        <c:ser>
          <c:idx val="2"/>
          <c:order val="1"/>
          <c:tx>
            <c:v>Tomossíntese versus Mamografia</c:v>
          </c:tx>
          <c:spPr>
            <a:ln w="25400" cap="rnd">
              <a:noFill/>
              <a:round/>
            </a:ln>
            <a:effectLst/>
          </c:spPr>
          <c:marker>
            <c:symbol val="circle"/>
            <c:size val="5"/>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w="9525">
                <a:solidFill>
                  <a:schemeClr val="accent3"/>
                </a:solidFill>
                <a:round/>
              </a:ln>
              <a:effectLst/>
            </c:spPr>
          </c:marker>
          <c:xVal>
            <c:numRef>
              <c:f>CEASimulation!$H$11:$H$1010</c:f>
              <c:numCache>
                <c:formatCode>0</c:formatCode>
                <c:ptCount val="1000"/>
                <c:pt idx="0">
                  <c:v>5.9980369602212651</c:v>
                </c:pt>
                <c:pt idx="1">
                  <c:v>4.6709402228269745</c:v>
                </c:pt>
                <c:pt idx="2">
                  <c:v>5.7279997855254319</c:v>
                </c:pt>
                <c:pt idx="3">
                  <c:v>5.6119407773836105</c:v>
                </c:pt>
                <c:pt idx="4">
                  <c:v>5.3457611594472016</c:v>
                </c:pt>
                <c:pt idx="5">
                  <c:v>5.4980969482635036</c:v>
                </c:pt>
                <c:pt idx="6">
                  <c:v>5.336086459895931</c:v>
                </c:pt>
                <c:pt idx="7">
                  <c:v>4.392859554661884</c:v>
                </c:pt>
                <c:pt idx="8">
                  <c:v>5.9242415422951051</c:v>
                </c:pt>
                <c:pt idx="9">
                  <c:v>4.8796924398829606</c:v>
                </c:pt>
                <c:pt idx="10">
                  <c:v>5.8632337453424626</c:v>
                </c:pt>
                <c:pt idx="11">
                  <c:v>4.8160443561379758</c:v>
                </c:pt>
                <c:pt idx="12">
                  <c:v>4.9769816425701112</c:v>
                </c:pt>
                <c:pt idx="13">
                  <c:v>4.8821626162341705</c:v>
                </c:pt>
                <c:pt idx="14">
                  <c:v>5.281760868677674</c:v>
                </c:pt>
                <c:pt idx="15">
                  <c:v>3.8917189059482968</c:v>
                </c:pt>
                <c:pt idx="16">
                  <c:v>4.8733033526776559</c:v>
                </c:pt>
                <c:pt idx="17">
                  <c:v>4.4619966080699083</c:v>
                </c:pt>
                <c:pt idx="18">
                  <c:v>5.151091909208688</c:v>
                </c:pt>
                <c:pt idx="19">
                  <c:v>6.461120978482926</c:v>
                </c:pt>
                <c:pt idx="20">
                  <c:v>6.4336636995010483</c:v>
                </c:pt>
                <c:pt idx="21">
                  <c:v>4.56516569807442</c:v>
                </c:pt>
                <c:pt idx="22">
                  <c:v>5.6735917388606101</c:v>
                </c:pt>
                <c:pt idx="23">
                  <c:v>5.5478304976289756</c:v>
                </c:pt>
                <c:pt idx="24">
                  <c:v>4.0134438258140825</c:v>
                </c:pt>
                <c:pt idx="25">
                  <c:v>5.5786819865165107</c:v>
                </c:pt>
                <c:pt idx="26">
                  <c:v>4.8272642661917793</c:v>
                </c:pt>
                <c:pt idx="27">
                  <c:v>4.5267988258257379</c:v>
                </c:pt>
                <c:pt idx="28">
                  <c:v>4.0591296057891721</c:v>
                </c:pt>
                <c:pt idx="29">
                  <c:v>5.0930586331954721</c:v>
                </c:pt>
                <c:pt idx="30">
                  <c:v>5.0542204080948387</c:v>
                </c:pt>
                <c:pt idx="31">
                  <c:v>4.0490884940453409</c:v>
                </c:pt>
                <c:pt idx="32">
                  <c:v>5.8539721269277738</c:v>
                </c:pt>
                <c:pt idx="33">
                  <c:v>5.5277956224805109</c:v>
                </c:pt>
                <c:pt idx="34">
                  <c:v>6.7227172277519358</c:v>
                </c:pt>
                <c:pt idx="35">
                  <c:v>4.8475971361353665</c:v>
                </c:pt>
                <c:pt idx="36">
                  <c:v>4.5755457993680615</c:v>
                </c:pt>
                <c:pt idx="37">
                  <c:v>5.4117741657758067</c:v>
                </c:pt>
                <c:pt idx="38">
                  <c:v>5.3523371411084923</c:v>
                </c:pt>
                <c:pt idx="39">
                  <c:v>4.6715761111380303</c:v>
                </c:pt>
                <c:pt idx="40">
                  <c:v>4.8191814422515673</c:v>
                </c:pt>
                <c:pt idx="41">
                  <c:v>5.2917590575507774</c:v>
                </c:pt>
                <c:pt idx="42">
                  <c:v>5.1128737111786986</c:v>
                </c:pt>
                <c:pt idx="43">
                  <c:v>5.0112259044438741</c:v>
                </c:pt>
                <c:pt idx="44">
                  <c:v>4.3543272605561629</c:v>
                </c:pt>
                <c:pt idx="45">
                  <c:v>5.943782631833038</c:v>
                </c:pt>
                <c:pt idx="46">
                  <c:v>4.2337515313128478</c:v>
                </c:pt>
                <c:pt idx="47">
                  <c:v>5.6610872091517397</c:v>
                </c:pt>
                <c:pt idx="48">
                  <c:v>5.4753886283815838</c:v>
                </c:pt>
                <c:pt idx="49">
                  <c:v>5.9595450378684198</c:v>
                </c:pt>
                <c:pt idx="50">
                  <c:v>4.5302946593277866</c:v>
                </c:pt>
                <c:pt idx="51">
                  <c:v>5.4793741875943418</c:v>
                </c:pt>
                <c:pt idx="52">
                  <c:v>5.4232025865892535</c:v>
                </c:pt>
                <c:pt idx="53">
                  <c:v>5.4552460913493341</c:v>
                </c:pt>
                <c:pt idx="54">
                  <c:v>5.1471090653473404</c:v>
                </c:pt>
                <c:pt idx="55">
                  <c:v>4.7678112836979913</c:v>
                </c:pt>
                <c:pt idx="56">
                  <c:v>5.2897593126338815</c:v>
                </c:pt>
                <c:pt idx="57">
                  <c:v>5.7021547088936124</c:v>
                </c:pt>
                <c:pt idx="58">
                  <c:v>5.0956049333900868</c:v>
                </c:pt>
                <c:pt idx="59">
                  <c:v>4.2327989792392131</c:v>
                </c:pt>
                <c:pt idx="60">
                  <c:v>5.5440863410398649</c:v>
                </c:pt>
                <c:pt idx="61">
                  <c:v>3.5015301806871726</c:v>
                </c:pt>
                <c:pt idx="62">
                  <c:v>4.8334419065982619</c:v>
                </c:pt>
                <c:pt idx="63">
                  <c:v>5.5026956931389783</c:v>
                </c:pt>
                <c:pt idx="64">
                  <c:v>4.8378369392893372</c:v>
                </c:pt>
                <c:pt idx="65">
                  <c:v>5.8803557534930562</c:v>
                </c:pt>
                <c:pt idx="66">
                  <c:v>4.5516652748002269</c:v>
                </c:pt>
                <c:pt idx="67">
                  <c:v>5.193209171731489</c:v>
                </c:pt>
                <c:pt idx="68">
                  <c:v>4.4801647632193742</c:v>
                </c:pt>
                <c:pt idx="69">
                  <c:v>4.3830488496795361</c:v>
                </c:pt>
                <c:pt idx="70">
                  <c:v>5.3991481577340075</c:v>
                </c:pt>
                <c:pt idx="71">
                  <c:v>5.2332344113884943</c:v>
                </c:pt>
                <c:pt idx="72">
                  <c:v>4.9605506973899054</c:v>
                </c:pt>
                <c:pt idx="73">
                  <c:v>5.9003039107592254</c:v>
                </c:pt>
                <c:pt idx="74">
                  <c:v>5.7983500158008301</c:v>
                </c:pt>
                <c:pt idx="75">
                  <c:v>4.4717239008765741</c:v>
                </c:pt>
                <c:pt idx="76">
                  <c:v>4.7069661017119504</c:v>
                </c:pt>
                <c:pt idx="77">
                  <c:v>5.8388328949199266</c:v>
                </c:pt>
                <c:pt idx="78">
                  <c:v>5.3586546480152908</c:v>
                </c:pt>
                <c:pt idx="79">
                  <c:v>4.1825381668824981</c:v>
                </c:pt>
                <c:pt idx="80">
                  <c:v>4.6904884879750615</c:v>
                </c:pt>
                <c:pt idx="81">
                  <c:v>5.7575049973677981</c:v>
                </c:pt>
                <c:pt idx="82">
                  <c:v>5.6183039662872964</c:v>
                </c:pt>
                <c:pt idx="83">
                  <c:v>5.2728617462622083</c:v>
                </c:pt>
                <c:pt idx="84">
                  <c:v>4.4375618857486199</c:v>
                </c:pt>
                <c:pt idx="85">
                  <c:v>5.2303640074724935</c:v>
                </c:pt>
                <c:pt idx="86">
                  <c:v>5.217434465486777</c:v>
                </c:pt>
                <c:pt idx="87">
                  <c:v>6.4103877604444204</c:v>
                </c:pt>
                <c:pt idx="88">
                  <c:v>5.5056335570918584</c:v>
                </c:pt>
                <c:pt idx="89">
                  <c:v>4.1423108040280034</c:v>
                </c:pt>
                <c:pt idx="90">
                  <c:v>5.0543220391956236</c:v>
                </c:pt>
                <c:pt idx="91">
                  <c:v>4.7394407292886633</c:v>
                </c:pt>
                <c:pt idx="92">
                  <c:v>5.1236154352774204</c:v>
                </c:pt>
                <c:pt idx="93">
                  <c:v>6.1297911179582787</c:v>
                </c:pt>
                <c:pt idx="94">
                  <c:v>4.9807524955363949</c:v>
                </c:pt>
                <c:pt idx="95">
                  <c:v>5.4841706345029326</c:v>
                </c:pt>
                <c:pt idx="96">
                  <c:v>4.7515009459333086</c:v>
                </c:pt>
                <c:pt idx="97">
                  <c:v>4.9171243816761727</c:v>
                </c:pt>
                <c:pt idx="98">
                  <c:v>5.9327464828299803</c:v>
                </c:pt>
                <c:pt idx="99">
                  <c:v>4.9254648422231728</c:v>
                </c:pt>
                <c:pt idx="100">
                  <c:v>5.5211143698135139</c:v>
                </c:pt>
                <c:pt idx="101">
                  <c:v>4.7271649054259015</c:v>
                </c:pt>
                <c:pt idx="102">
                  <c:v>4.5018614736918003</c:v>
                </c:pt>
                <c:pt idx="103">
                  <c:v>5.0227595678766317</c:v>
                </c:pt>
                <c:pt idx="104">
                  <c:v>5.6494467268947179</c:v>
                </c:pt>
                <c:pt idx="105">
                  <c:v>5.4137705884003058</c:v>
                </c:pt>
                <c:pt idx="106">
                  <c:v>4.9687740827449431</c:v>
                </c:pt>
                <c:pt idx="107">
                  <c:v>5.5662401150853462</c:v>
                </c:pt>
                <c:pt idx="108">
                  <c:v>4.0248143800654148</c:v>
                </c:pt>
                <c:pt idx="109">
                  <c:v>4.0829504927700651</c:v>
                </c:pt>
                <c:pt idx="110">
                  <c:v>5.4517583401301799</c:v>
                </c:pt>
                <c:pt idx="111">
                  <c:v>4.9697880170983861</c:v>
                </c:pt>
                <c:pt idx="112">
                  <c:v>5.2790113454579775</c:v>
                </c:pt>
                <c:pt idx="113">
                  <c:v>4.7040345886424468</c:v>
                </c:pt>
                <c:pt idx="114">
                  <c:v>5.0991321347864211</c:v>
                </c:pt>
                <c:pt idx="115">
                  <c:v>4.5177889089781846</c:v>
                </c:pt>
                <c:pt idx="116">
                  <c:v>4.8516754399234383</c:v>
                </c:pt>
                <c:pt idx="117">
                  <c:v>5.8773185280515587</c:v>
                </c:pt>
                <c:pt idx="118">
                  <c:v>5.4704450103778353</c:v>
                </c:pt>
                <c:pt idx="119">
                  <c:v>5.1342893205029103</c:v>
                </c:pt>
                <c:pt idx="120">
                  <c:v>5.3445785648583435</c:v>
                </c:pt>
                <c:pt idx="121">
                  <c:v>6.5782773144096485</c:v>
                </c:pt>
                <c:pt idx="122">
                  <c:v>5.4934422277740236</c:v>
                </c:pt>
                <c:pt idx="123">
                  <c:v>4.5761403523060018</c:v>
                </c:pt>
                <c:pt idx="124">
                  <c:v>4.1551851131007229</c:v>
                </c:pt>
                <c:pt idx="125">
                  <c:v>6.322659352460331</c:v>
                </c:pt>
                <c:pt idx="126">
                  <c:v>5.3233834677565923</c:v>
                </c:pt>
                <c:pt idx="127">
                  <c:v>4.5824450394209908</c:v>
                </c:pt>
                <c:pt idx="128">
                  <c:v>5.742442030318422</c:v>
                </c:pt>
                <c:pt idx="129">
                  <c:v>5.8716280048805114</c:v>
                </c:pt>
                <c:pt idx="130">
                  <c:v>6.5171929590181925</c:v>
                </c:pt>
                <c:pt idx="131">
                  <c:v>5.7340718218911118</c:v>
                </c:pt>
                <c:pt idx="132">
                  <c:v>5.3668316707234425</c:v>
                </c:pt>
                <c:pt idx="133">
                  <c:v>5.4130508244711741</c:v>
                </c:pt>
                <c:pt idx="134">
                  <c:v>5.2759521111818906</c:v>
                </c:pt>
                <c:pt idx="135">
                  <c:v>4.8308281248787175</c:v>
                </c:pt>
                <c:pt idx="136">
                  <c:v>3.9732149247277757</c:v>
                </c:pt>
                <c:pt idx="137">
                  <c:v>3.6343783011458708</c:v>
                </c:pt>
                <c:pt idx="138">
                  <c:v>5.6955743334294056</c:v>
                </c:pt>
                <c:pt idx="139">
                  <c:v>5.1242642152008013</c:v>
                </c:pt>
                <c:pt idx="140">
                  <c:v>4.2787865488714356</c:v>
                </c:pt>
                <c:pt idx="141">
                  <c:v>4.4326837686301577</c:v>
                </c:pt>
                <c:pt idx="142">
                  <c:v>5.4962264114744084</c:v>
                </c:pt>
                <c:pt idx="143">
                  <c:v>6.3808089992002675</c:v>
                </c:pt>
                <c:pt idx="144">
                  <c:v>5.9795125316036977</c:v>
                </c:pt>
                <c:pt idx="145">
                  <c:v>5.4584616704398883</c:v>
                </c:pt>
                <c:pt idx="146">
                  <c:v>4.6737185119071025</c:v>
                </c:pt>
                <c:pt idx="147">
                  <c:v>5.1297025316330185</c:v>
                </c:pt>
                <c:pt idx="148">
                  <c:v>5.088150178162655</c:v>
                </c:pt>
                <c:pt idx="149">
                  <c:v>4.8346100639267267</c:v>
                </c:pt>
                <c:pt idx="150">
                  <c:v>5.6943731594922014</c:v>
                </c:pt>
                <c:pt idx="151">
                  <c:v>6.2440518314972842</c:v>
                </c:pt>
                <c:pt idx="152">
                  <c:v>5.327069526993542</c:v>
                </c:pt>
                <c:pt idx="153">
                  <c:v>4.0674873765026565</c:v>
                </c:pt>
                <c:pt idx="154">
                  <c:v>5.3049269133589583</c:v>
                </c:pt>
                <c:pt idx="155">
                  <c:v>5.6005952092497857</c:v>
                </c:pt>
                <c:pt idx="156">
                  <c:v>4.8039558244036655</c:v>
                </c:pt>
                <c:pt idx="157">
                  <c:v>5.8235154060933585</c:v>
                </c:pt>
                <c:pt idx="158">
                  <c:v>5.841928300662417</c:v>
                </c:pt>
                <c:pt idx="159">
                  <c:v>4.8919963093562071</c:v>
                </c:pt>
                <c:pt idx="160">
                  <c:v>3.9908515691602293</c:v>
                </c:pt>
                <c:pt idx="161">
                  <c:v>4.444260282481828</c:v>
                </c:pt>
                <c:pt idx="162">
                  <c:v>4.4851135998500968</c:v>
                </c:pt>
                <c:pt idx="163">
                  <c:v>5.0831920424611603</c:v>
                </c:pt>
                <c:pt idx="164">
                  <c:v>5.495184081214898</c:v>
                </c:pt>
                <c:pt idx="165">
                  <c:v>4.8756951306875838</c:v>
                </c:pt>
                <c:pt idx="166">
                  <c:v>5.4093709367320013</c:v>
                </c:pt>
                <c:pt idx="167">
                  <c:v>4.6202029656852019</c:v>
                </c:pt>
                <c:pt idx="168">
                  <c:v>5.2148522484587527</c:v>
                </c:pt>
                <c:pt idx="169">
                  <c:v>4.828900215565092</c:v>
                </c:pt>
                <c:pt idx="170">
                  <c:v>4.7498257790104486</c:v>
                </c:pt>
                <c:pt idx="171">
                  <c:v>5.4815705995106949</c:v>
                </c:pt>
                <c:pt idx="172">
                  <c:v>4.2865794278371308</c:v>
                </c:pt>
                <c:pt idx="173">
                  <c:v>5.6170405239447554</c:v>
                </c:pt>
                <c:pt idx="174">
                  <c:v>5.5739065269576766</c:v>
                </c:pt>
                <c:pt idx="175">
                  <c:v>4.6843375412911232</c:v>
                </c:pt>
                <c:pt idx="176">
                  <c:v>5.6643991145572663</c:v>
                </c:pt>
                <c:pt idx="177">
                  <c:v>4.3967604497523229</c:v>
                </c:pt>
                <c:pt idx="178">
                  <c:v>4.9834121048095348</c:v>
                </c:pt>
                <c:pt idx="179">
                  <c:v>4.0655145984994476</c:v>
                </c:pt>
                <c:pt idx="180">
                  <c:v>5.2052549286422547</c:v>
                </c:pt>
                <c:pt idx="181">
                  <c:v>5.5574834727132281</c:v>
                </c:pt>
                <c:pt idx="182">
                  <c:v>5.0810606507792659</c:v>
                </c:pt>
                <c:pt idx="183">
                  <c:v>5.0820554682943406</c:v>
                </c:pt>
                <c:pt idx="184">
                  <c:v>5.2608385123403369</c:v>
                </c:pt>
                <c:pt idx="185">
                  <c:v>4.4941799953529333</c:v>
                </c:pt>
                <c:pt idx="186">
                  <c:v>5.6230506891535743</c:v>
                </c:pt>
                <c:pt idx="187">
                  <c:v>5.7764317811165977</c:v>
                </c:pt>
                <c:pt idx="188">
                  <c:v>4.2476055530819306</c:v>
                </c:pt>
                <c:pt idx="189">
                  <c:v>4.6594302596555508</c:v>
                </c:pt>
                <c:pt idx="190">
                  <c:v>5.9168215508424531</c:v>
                </c:pt>
                <c:pt idx="191">
                  <c:v>4.1818775629312235</c:v>
                </c:pt>
                <c:pt idx="192">
                  <c:v>5.9479927260739718</c:v>
                </c:pt>
                <c:pt idx="193">
                  <c:v>5.2285537530376711</c:v>
                </c:pt>
                <c:pt idx="194">
                  <c:v>5.2100155656236744</c:v>
                </c:pt>
                <c:pt idx="195">
                  <c:v>4.757718936409038</c:v>
                </c:pt>
                <c:pt idx="196">
                  <c:v>5.5369916926389493</c:v>
                </c:pt>
                <c:pt idx="197">
                  <c:v>5.8056278930711844</c:v>
                </c:pt>
                <c:pt idx="198">
                  <c:v>5.3936231013203244</c:v>
                </c:pt>
                <c:pt idx="199">
                  <c:v>4.4997707012867227</c:v>
                </c:pt>
                <c:pt idx="200">
                  <c:v>5.9341667808741931</c:v>
                </c:pt>
                <c:pt idx="201">
                  <c:v>5.6719709775779368</c:v>
                </c:pt>
                <c:pt idx="202">
                  <c:v>5.5002816266954326</c:v>
                </c:pt>
                <c:pt idx="203">
                  <c:v>5.2252154959670563</c:v>
                </c:pt>
                <c:pt idx="204">
                  <c:v>5.3314358334925736</c:v>
                </c:pt>
                <c:pt idx="205">
                  <c:v>4.6822240744078858</c:v>
                </c:pt>
                <c:pt idx="206">
                  <c:v>5.4420481311831299</c:v>
                </c:pt>
                <c:pt idx="207">
                  <c:v>4.244265357464343</c:v>
                </c:pt>
                <c:pt idx="208">
                  <c:v>5.8513310508113214</c:v>
                </c:pt>
                <c:pt idx="209">
                  <c:v>5.7022767955707501</c:v>
                </c:pt>
                <c:pt idx="210">
                  <c:v>4.7870229871301824</c:v>
                </c:pt>
                <c:pt idx="211">
                  <c:v>4.837164185426726</c:v>
                </c:pt>
                <c:pt idx="212">
                  <c:v>6.0368447674019521</c:v>
                </c:pt>
                <c:pt idx="213">
                  <c:v>5.2633535213866072</c:v>
                </c:pt>
                <c:pt idx="214">
                  <c:v>5.0507614374837164</c:v>
                </c:pt>
                <c:pt idx="215">
                  <c:v>5.887732387002762</c:v>
                </c:pt>
                <c:pt idx="216">
                  <c:v>5.1948160848716221</c:v>
                </c:pt>
                <c:pt idx="217">
                  <c:v>5.9644529257000229</c:v>
                </c:pt>
                <c:pt idx="218">
                  <c:v>5.2101866324625181</c:v>
                </c:pt>
                <c:pt idx="219">
                  <c:v>5.0965930022098966</c:v>
                </c:pt>
                <c:pt idx="220">
                  <c:v>5.5651423322586311</c:v>
                </c:pt>
                <c:pt idx="221">
                  <c:v>5.4890592911347973</c:v>
                </c:pt>
                <c:pt idx="222">
                  <c:v>5.4456473318153016</c:v>
                </c:pt>
                <c:pt idx="223">
                  <c:v>5.3790048283062291</c:v>
                </c:pt>
                <c:pt idx="224">
                  <c:v>4.6318838368857485</c:v>
                </c:pt>
                <c:pt idx="225">
                  <c:v>5.17787425518285</c:v>
                </c:pt>
                <c:pt idx="226">
                  <c:v>4.1689149104988967</c:v>
                </c:pt>
                <c:pt idx="227">
                  <c:v>5.723988972114693</c:v>
                </c:pt>
                <c:pt idx="228">
                  <c:v>3.5590281719114447</c:v>
                </c:pt>
                <c:pt idx="229">
                  <c:v>5.0764432065685998</c:v>
                </c:pt>
                <c:pt idx="230">
                  <c:v>4.6276294522842605</c:v>
                </c:pt>
                <c:pt idx="231">
                  <c:v>5.6988122873578568</c:v>
                </c:pt>
                <c:pt idx="232">
                  <c:v>5.3151735235495661</c:v>
                </c:pt>
                <c:pt idx="233">
                  <c:v>5.5608486480154635</c:v>
                </c:pt>
                <c:pt idx="234">
                  <c:v>5.4707442630105998</c:v>
                </c:pt>
                <c:pt idx="235">
                  <c:v>5.9539700852628847</c:v>
                </c:pt>
                <c:pt idx="236">
                  <c:v>4.8728544976665784</c:v>
                </c:pt>
                <c:pt idx="237">
                  <c:v>4.9293966421361244</c:v>
                </c:pt>
                <c:pt idx="238">
                  <c:v>4.5440515797338037</c:v>
                </c:pt>
                <c:pt idx="239">
                  <c:v>5.7529198394892074</c:v>
                </c:pt>
                <c:pt idx="240">
                  <c:v>3.9384707058452317</c:v>
                </c:pt>
                <c:pt idx="241">
                  <c:v>4.8817198898875152</c:v>
                </c:pt>
                <c:pt idx="242">
                  <c:v>6.4431514676219042</c:v>
                </c:pt>
                <c:pt idx="243">
                  <c:v>5.3620584596585879</c:v>
                </c:pt>
                <c:pt idx="244">
                  <c:v>4.9597312971448613</c:v>
                </c:pt>
                <c:pt idx="245">
                  <c:v>5.4041574170595528</c:v>
                </c:pt>
                <c:pt idx="246">
                  <c:v>5.487081432583345</c:v>
                </c:pt>
                <c:pt idx="247">
                  <c:v>5.2897236070538156</c:v>
                </c:pt>
                <c:pt idx="248">
                  <c:v>5.5739806279502755</c:v>
                </c:pt>
                <c:pt idx="249">
                  <c:v>5.0005515619028547</c:v>
                </c:pt>
                <c:pt idx="250">
                  <c:v>4.9705936698113398</c:v>
                </c:pt>
                <c:pt idx="251">
                  <c:v>4.4764508044833864</c:v>
                </c:pt>
                <c:pt idx="252">
                  <c:v>5.2507499106170847</c:v>
                </c:pt>
                <c:pt idx="253">
                  <c:v>5.6812698807975934</c:v>
                </c:pt>
                <c:pt idx="254">
                  <c:v>5.4813241199628511</c:v>
                </c:pt>
                <c:pt idx="255">
                  <c:v>3.8926702247047213</c:v>
                </c:pt>
                <c:pt idx="256">
                  <c:v>5.6743663172257683</c:v>
                </c:pt>
                <c:pt idx="257">
                  <c:v>4.4052500794998863</c:v>
                </c:pt>
                <c:pt idx="258">
                  <c:v>5.315816636166371</c:v>
                </c:pt>
                <c:pt idx="259">
                  <c:v>4.3062893677596872</c:v>
                </c:pt>
                <c:pt idx="260">
                  <c:v>4.6541627971059896</c:v>
                </c:pt>
                <c:pt idx="261">
                  <c:v>5.0924204676137119</c:v>
                </c:pt>
                <c:pt idx="262">
                  <c:v>5.512844259346009</c:v>
                </c:pt>
                <c:pt idx="263">
                  <c:v>6.1243332284987044</c:v>
                </c:pt>
                <c:pt idx="264">
                  <c:v>5.5784019899591151</c:v>
                </c:pt>
                <c:pt idx="265">
                  <c:v>5.3674769044951578</c:v>
                </c:pt>
                <c:pt idx="266">
                  <c:v>5.276192293239653</c:v>
                </c:pt>
                <c:pt idx="267">
                  <c:v>5.4726088176094922</c:v>
                </c:pt>
                <c:pt idx="268">
                  <c:v>4.5261324906390357</c:v>
                </c:pt>
                <c:pt idx="269">
                  <c:v>4.5977417440500226</c:v>
                </c:pt>
                <c:pt idx="270">
                  <c:v>4.5818127147218561</c:v>
                </c:pt>
                <c:pt idx="271">
                  <c:v>6.0914791912016781</c:v>
                </c:pt>
                <c:pt idx="272">
                  <c:v>5.5869127751095089</c:v>
                </c:pt>
                <c:pt idx="273">
                  <c:v>5.6791385776599252</c:v>
                </c:pt>
                <c:pt idx="274">
                  <c:v>5.3748912975359087</c:v>
                </c:pt>
                <c:pt idx="275">
                  <c:v>5.8479585423592724</c:v>
                </c:pt>
                <c:pt idx="276">
                  <c:v>4.9787169733277121</c:v>
                </c:pt>
                <c:pt idx="277">
                  <c:v>5.7170935170182684</c:v>
                </c:pt>
                <c:pt idx="278">
                  <c:v>4.425381497050239</c:v>
                </c:pt>
                <c:pt idx="279">
                  <c:v>5.1931296456680442</c:v>
                </c:pt>
                <c:pt idx="280">
                  <c:v>5.765311913143595</c:v>
                </c:pt>
                <c:pt idx="281">
                  <c:v>5.3528527557216936</c:v>
                </c:pt>
                <c:pt idx="282">
                  <c:v>4.7900655191103851</c:v>
                </c:pt>
                <c:pt idx="283">
                  <c:v>4.0541542415010809</c:v>
                </c:pt>
                <c:pt idx="284">
                  <c:v>4.0130355235337571</c:v>
                </c:pt>
                <c:pt idx="285">
                  <c:v>4.9337487505071707</c:v>
                </c:pt>
                <c:pt idx="286">
                  <c:v>5.1737081156917668</c:v>
                </c:pt>
                <c:pt idx="287">
                  <c:v>6.0360023362993527</c:v>
                </c:pt>
                <c:pt idx="288">
                  <c:v>4.795310606816102</c:v>
                </c:pt>
                <c:pt idx="289">
                  <c:v>5.1145582086539019</c:v>
                </c:pt>
                <c:pt idx="290">
                  <c:v>4.1483864027481658</c:v>
                </c:pt>
                <c:pt idx="291">
                  <c:v>5.1763555902852723</c:v>
                </c:pt>
                <c:pt idx="292">
                  <c:v>4.7324775441188827</c:v>
                </c:pt>
                <c:pt idx="293">
                  <c:v>3.7800132570751312</c:v>
                </c:pt>
                <c:pt idx="294">
                  <c:v>4.2487644857764444</c:v>
                </c:pt>
                <c:pt idx="295">
                  <c:v>5.4245723855015591</c:v>
                </c:pt>
                <c:pt idx="296">
                  <c:v>6.0101850156179086</c:v>
                </c:pt>
                <c:pt idx="297">
                  <c:v>5.6405380255903896</c:v>
                </c:pt>
                <c:pt idx="298">
                  <c:v>6.1876471687732408</c:v>
                </c:pt>
                <c:pt idx="299">
                  <c:v>4.4527119673261151</c:v>
                </c:pt>
                <c:pt idx="300">
                  <c:v>6.2039514754281679</c:v>
                </c:pt>
                <c:pt idx="301">
                  <c:v>4.8189114042386567</c:v>
                </c:pt>
                <c:pt idx="302">
                  <c:v>5.1282110377888017</c:v>
                </c:pt>
                <c:pt idx="303">
                  <c:v>6.0757873569885827</c:v>
                </c:pt>
                <c:pt idx="304">
                  <c:v>5.0030705729686815</c:v>
                </c:pt>
                <c:pt idx="305">
                  <c:v>3.9588656655855949</c:v>
                </c:pt>
                <c:pt idx="306">
                  <c:v>5.2856430132138499</c:v>
                </c:pt>
                <c:pt idx="307">
                  <c:v>4.5033871911068033</c:v>
                </c:pt>
                <c:pt idx="308">
                  <c:v>5.067337200966664</c:v>
                </c:pt>
                <c:pt idx="309">
                  <c:v>4.2557822565458263</c:v>
                </c:pt>
                <c:pt idx="310">
                  <c:v>4.7635771487903078</c:v>
                </c:pt>
                <c:pt idx="311">
                  <c:v>4.9014947767622381</c:v>
                </c:pt>
                <c:pt idx="312">
                  <c:v>4.465460068929282</c:v>
                </c:pt>
                <c:pt idx="313">
                  <c:v>5.1766817799233529</c:v>
                </c:pt>
                <c:pt idx="314">
                  <c:v>5.2100924824041837</c:v>
                </c:pt>
                <c:pt idx="315">
                  <c:v>5.1095837756110036</c:v>
                </c:pt>
                <c:pt idx="316">
                  <c:v>5.290769176341886</c:v>
                </c:pt>
                <c:pt idx="317">
                  <c:v>4.5551599492206591</c:v>
                </c:pt>
                <c:pt idx="318">
                  <c:v>5.7528444676363879</c:v>
                </c:pt>
                <c:pt idx="319">
                  <c:v>6.1937906159164164</c:v>
                </c:pt>
                <c:pt idx="320">
                  <c:v>3.8647927596715377</c:v>
                </c:pt>
                <c:pt idx="321">
                  <c:v>4.8449541911570986</c:v>
                </c:pt>
                <c:pt idx="322">
                  <c:v>5.178248265558242</c:v>
                </c:pt>
                <c:pt idx="323">
                  <c:v>3.7123869288729168</c:v>
                </c:pt>
                <c:pt idx="324">
                  <c:v>4.5354340103989852</c:v>
                </c:pt>
                <c:pt idx="325">
                  <c:v>5.1343761937570669</c:v>
                </c:pt>
                <c:pt idx="326">
                  <c:v>4.434094327250186</c:v>
                </c:pt>
                <c:pt idx="327">
                  <c:v>5.1577744967170194</c:v>
                </c:pt>
                <c:pt idx="328">
                  <c:v>4.2694883025259358</c:v>
                </c:pt>
                <c:pt idx="329">
                  <c:v>5.0182123838548431</c:v>
                </c:pt>
                <c:pt idx="330">
                  <c:v>5.4404930131283198</c:v>
                </c:pt>
                <c:pt idx="331">
                  <c:v>5.6077481819259773</c:v>
                </c:pt>
                <c:pt idx="332">
                  <c:v>3.8965015817463549</c:v>
                </c:pt>
                <c:pt idx="333">
                  <c:v>4.6559442535102118</c:v>
                </c:pt>
                <c:pt idx="334">
                  <c:v>4.706629357509744</c:v>
                </c:pt>
                <c:pt idx="335">
                  <c:v>5.3661370588349318</c:v>
                </c:pt>
                <c:pt idx="336">
                  <c:v>5.8028624717413138</c:v>
                </c:pt>
                <c:pt idx="337">
                  <c:v>5.4529084882428975</c:v>
                </c:pt>
                <c:pt idx="338">
                  <c:v>5.5106186886932598</c:v>
                </c:pt>
                <c:pt idx="339">
                  <c:v>5.3484247580358346</c:v>
                </c:pt>
                <c:pt idx="340">
                  <c:v>5.2216117455546947</c:v>
                </c:pt>
                <c:pt idx="341">
                  <c:v>5.99951342323779</c:v>
                </c:pt>
                <c:pt idx="342">
                  <c:v>5.1749572383783384</c:v>
                </c:pt>
                <c:pt idx="343">
                  <c:v>5.3951454550362037</c:v>
                </c:pt>
                <c:pt idx="344">
                  <c:v>4.4095391155650958</c:v>
                </c:pt>
                <c:pt idx="345">
                  <c:v>5.9543982792118335</c:v>
                </c:pt>
                <c:pt idx="346">
                  <c:v>5.0911531462889084</c:v>
                </c:pt>
                <c:pt idx="347">
                  <c:v>5.0229251101931514</c:v>
                </c:pt>
                <c:pt idx="348">
                  <c:v>5.4071445273036645</c:v>
                </c:pt>
                <c:pt idx="349">
                  <c:v>5.0528867147413958</c:v>
                </c:pt>
                <c:pt idx="350">
                  <c:v>4.6967818132096877</c:v>
                </c:pt>
                <c:pt idx="351">
                  <c:v>4.4605456175106806</c:v>
                </c:pt>
                <c:pt idx="352">
                  <c:v>6.2011465203076526</c:v>
                </c:pt>
                <c:pt idx="353">
                  <c:v>5.0914075911550007</c:v>
                </c:pt>
                <c:pt idx="354">
                  <c:v>5.0007066327462155</c:v>
                </c:pt>
                <c:pt idx="355">
                  <c:v>6.1751998231657552</c:v>
                </c:pt>
                <c:pt idx="356">
                  <c:v>4.7217344572329996</c:v>
                </c:pt>
                <c:pt idx="357">
                  <c:v>6.1200217061307871</c:v>
                </c:pt>
                <c:pt idx="358">
                  <c:v>6.3502333410345297</c:v>
                </c:pt>
                <c:pt idx="359">
                  <c:v>3.7763285218892424</c:v>
                </c:pt>
                <c:pt idx="360">
                  <c:v>5.0725577122358718</c:v>
                </c:pt>
                <c:pt idx="361">
                  <c:v>4.7936135742415118</c:v>
                </c:pt>
                <c:pt idx="362">
                  <c:v>5.3390772525817241</c:v>
                </c:pt>
                <c:pt idx="363">
                  <c:v>5.9078828197630635</c:v>
                </c:pt>
                <c:pt idx="364">
                  <c:v>6.3477150135579041</c:v>
                </c:pt>
                <c:pt idx="365">
                  <c:v>5.3364793390220395</c:v>
                </c:pt>
                <c:pt idx="366">
                  <c:v>6.5656063293533151</c:v>
                </c:pt>
                <c:pt idx="367">
                  <c:v>6.4669728345231388</c:v>
                </c:pt>
                <c:pt idx="368">
                  <c:v>5.6070643823299271</c:v>
                </c:pt>
                <c:pt idx="369">
                  <c:v>4.4776882008300039</c:v>
                </c:pt>
                <c:pt idx="370">
                  <c:v>4.3181428166143476</c:v>
                </c:pt>
                <c:pt idx="371">
                  <c:v>5.9874916523508528</c:v>
                </c:pt>
                <c:pt idx="372">
                  <c:v>4.7557197153798629</c:v>
                </c:pt>
                <c:pt idx="373">
                  <c:v>4.1635111121769732</c:v>
                </c:pt>
                <c:pt idx="374">
                  <c:v>5.8974119397413762</c:v>
                </c:pt>
                <c:pt idx="375">
                  <c:v>5.0926959149526638</c:v>
                </c:pt>
                <c:pt idx="376">
                  <c:v>5.2504059880032621</c:v>
                </c:pt>
                <c:pt idx="377">
                  <c:v>4.7442967597214025</c:v>
                </c:pt>
                <c:pt idx="378">
                  <c:v>4.8719694332404568</c:v>
                </c:pt>
                <c:pt idx="379">
                  <c:v>4.129240666924769</c:v>
                </c:pt>
                <c:pt idx="380">
                  <c:v>6.1164678514406727</c:v>
                </c:pt>
                <c:pt idx="381">
                  <c:v>4.7074382553003637</c:v>
                </c:pt>
                <c:pt idx="382">
                  <c:v>6.239324080455928</c:v>
                </c:pt>
                <c:pt idx="383">
                  <c:v>5.3205397261811331</c:v>
                </c:pt>
                <c:pt idx="384">
                  <c:v>4.9193963328898143</c:v>
                </c:pt>
                <c:pt idx="385">
                  <c:v>7.1520394874129973</c:v>
                </c:pt>
                <c:pt idx="386">
                  <c:v>5.8195178784597328</c:v>
                </c:pt>
                <c:pt idx="387">
                  <c:v>5.2430294334942271</c:v>
                </c:pt>
                <c:pt idx="388">
                  <c:v>5.2596018760587331</c:v>
                </c:pt>
                <c:pt idx="389">
                  <c:v>4.6766100722780859</c:v>
                </c:pt>
                <c:pt idx="390">
                  <c:v>5.2857119966855866</c:v>
                </c:pt>
                <c:pt idx="391">
                  <c:v>5.7293744066573851</c:v>
                </c:pt>
                <c:pt idx="392">
                  <c:v>5.4820180120368587</c:v>
                </c:pt>
                <c:pt idx="393">
                  <c:v>5.0983803177641747</c:v>
                </c:pt>
                <c:pt idx="394">
                  <c:v>4.6805160971878106</c:v>
                </c:pt>
                <c:pt idx="395">
                  <c:v>4.102204868268986</c:v>
                </c:pt>
                <c:pt idx="396">
                  <c:v>5.1990542257653161</c:v>
                </c:pt>
                <c:pt idx="397">
                  <c:v>4.8951347028695977</c:v>
                </c:pt>
                <c:pt idx="398">
                  <c:v>5.38697910820534</c:v>
                </c:pt>
                <c:pt idx="399">
                  <c:v>4.6240185553896307</c:v>
                </c:pt>
                <c:pt idx="400">
                  <c:v>4.7255481038660765</c:v>
                </c:pt>
                <c:pt idx="401">
                  <c:v>6.1470757478434592</c:v>
                </c:pt>
                <c:pt idx="402">
                  <c:v>5.6744719693811767</c:v>
                </c:pt>
                <c:pt idx="403">
                  <c:v>5.291703262107287</c:v>
                </c:pt>
                <c:pt idx="404">
                  <c:v>6.0386981800133448</c:v>
                </c:pt>
                <c:pt idx="405">
                  <c:v>5.0072920554210558</c:v>
                </c:pt>
                <c:pt idx="406">
                  <c:v>5.004809173766736</c:v>
                </c:pt>
                <c:pt idx="407">
                  <c:v>5.749731322088607</c:v>
                </c:pt>
                <c:pt idx="408">
                  <c:v>5.2813361199658839</c:v>
                </c:pt>
                <c:pt idx="409">
                  <c:v>5.9095005438761916</c:v>
                </c:pt>
                <c:pt idx="410">
                  <c:v>5.7832057641367793</c:v>
                </c:pt>
                <c:pt idx="411">
                  <c:v>5.3998282537300231</c:v>
                </c:pt>
                <c:pt idx="412">
                  <c:v>5.9989720701375049</c:v>
                </c:pt>
                <c:pt idx="413">
                  <c:v>5.2180877235262191</c:v>
                </c:pt>
                <c:pt idx="414">
                  <c:v>4.4640989545258289</c:v>
                </c:pt>
                <c:pt idx="415">
                  <c:v>6.139349071580126</c:v>
                </c:pt>
                <c:pt idx="416">
                  <c:v>5.5973589520567639</c:v>
                </c:pt>
                <c:pt idx="417">
                  <c:v>5.5043612700800661</c:v>
                </c:pt>
                <c:pt idx="418">
                  <c:v>5.4989493743018922</c:v>
                </c:pt>
                <c:pt idx="419">
                  <c:v>5.5693374552351287</c:v>
                </c:pt>
                <c:pt idx="420">
                  <c:v>3.7328408016218102</c:v>
                </c:pt>
                <c:pt idx="421">
                  <c:v>4.8982416321210618</c:v>
                </c:pt>
                <c:pt idx="422">
                  <c:v>4.407729940338216</c:v>
                </c:pt>
                <c:pt idx="423">
                  <c:v>4.8092241422492688</c:v>
                </c:pt>
                <c:pt idx="424">
                  <c:v>5.4985212450618928</c:v>
                </c:pt>
                <c:pt idx="425">
                  <c:v>3.7139646135262439</c:v>
                </c:pt>
                <c:pt idx="426">
                  <c:v>4.4486963884488109</c:v>
                </c:pt>
                <c:pt idx="427">
                  <c:v>5.3452851089105646</c:v>
                </c:pt>
                <c:pt idx="428">
                  <c:v>5.0333748112177918</c:v>
                </c:pt>
                <c:pt idx="429">
                  <c:v>5.6883637458017144</c:v>
                </c:pt>
                <c:pt idx="430">
                  <c:v>5.1940784004414109</c:v>
                </c:pt>
                <c:pt idx="431">
                  <c:v>5.6557385777244438</c:v>
                </c:pt>
                <c:pt idx="432">
                  <c:v>5.7501839900857643</c:v>
                </c:pt>
                <c:pt idx="433">
                  <c:v>5.2596477791038918</c:v>
                </c:pt>
                <c:pt idx="434">
                  <c:v>4.6574434561357432</c:v>
                </c:pt>
                <c:pt idx="435">
                  <c:v>4.5602453073169347</c:v>
                </c:pt>
                <c:pt idx="436">
                  <c:v>4.1404520963977802</c:v>
                </c:pt>
                <c:pt idx="437">
                  <c:v>5.4449783201438109</c:v>
                </c:pt>
                <c:pt idx="438">
                  <c:v>4.9656997278398176</c:v>
                </c:pt>
                <c:pt idx="439">
                  <c:v>4.8105443421124257</c:v>
                </c:pt>
                <c:pt idx="440">
                  <c:v>5.7645622852727243</c:v>
                </c:pt>
                <c:pt idx="441">
                  <c:v>4.8223540464101742</c:v>
                </c:pt>
                <c:pt idx="442">
                  <c:v>5.2436672870407506</c:v>
                </c:pt>
                <c:pt idx="443">
                  <c:v>5.3504130001864869</c:v>
                </c:pt>
                <c:pt idx="444">
                  <c:v>4.2893070161687987</c:v>
                </c:pt>
                <c:pt idx="445">
                  <c:v>5.8182259786050103</c:v>
                </c:pt>
                <c:pt idx="446">
                  <c:v>5.7263884617087708</c:v>
                </c:pt>
                <c:pt idx="447">
                  <c:v>5.7771518929068524</c:v>
                </c:pt>
                <c:pt idx="448">
                  <c:v>5.6488368539678344</c:v>
                </c:pt>
                <c:pt idx="449">
                  <c:v>6.8998584084999397</c:v>
                </c:pt>
                <c:pt idx="450">
                  <c:v>5.6613925439231352</c:v>
                </c:pt>
                <c:pt idx="451">
                  <c:v>5.2119405212072856</c:v>
                </c:pt>
                <c:pt idx="452">
                  <c:v>4.2937475899512272</c:v>
                </c:pt>
                <c:pt idx="453">
                  <c:v>4.5836043216931994</c:v>
                </c:pt>
                <c:pt idx="454">
                  <c:v>4.9923660894322666</c:v>
                </c:pt>
                <c:pt idx="455">
                  <c:v>4.2551633995814218</c:v>
                </c:pt>
                <c:pt idx="456">
                  <c:v>4.7253378442895073</c:v>
                </c:pt>
                <c:pt idx="457">
                  <c:v>4.6631706803660418</c:v>
                </c:pt>
                <c:pt idx="458">
                  <c:v>6.0839725791392407</c:v>
                </c:pt>
                <c:pt idx="459">
                  <c:v>5.9632680737434836</c:v>
                </c:pt>
                <c:pt idx="460">
                  <c:v>5.9088067715587069</c:v>
                </c:pt>
                <c:pt idx="461">
                  <c:v>4.4885706362430753</c:v>
                </c:pt>
                <c:pt idx="462">
                  <c:v>4.5413345661995415</c:v>
                </c:pt>
                <c:pt idx="463">
                  <c:v>5.4988934193153813</c:v>
                </c:pt>
                <c:pt idx="464">
                  <c:v>5.1111911826354834</c:v>
                </c:pt>
                <c:pt idx="465">
                  <c:v>3.8004854870564149</c:v>
                </c:pt>
                <c:pt idx="466">
                  <c:v>5.5655839245855443</c:v>
                </c:pt>
                <c:pt idx="467">
                  <c:v>5.9969277557172465</c:v>
                </c:pt>
                <c:pt idx="468">
                  <c:v>4.9559656418371887</c:v>
                </c:pt>
                <c:pt idx="469">
                  <c:v>5.1140139302247913</c:v>
                </c:pt>
                <c:pt idx="470">
                  <c:v>4.3855314428759034</c:v>
                </c:pt>
                <c:pt idx="471">
                  <c:v>4.7806500851419944</c:v>
                </c:pt>
                <c:pt idx="472">
                  <c:v>6.2092040291428159</c:v>
                </c:pt>
                <c:pt idx="473">
                  <c:v>6.0168182564605459</c:v>
                </c:pt>
                <c:pt idx="474">
                  <c:v>5.3889529909172094</c:v>
                </c:pt>
                <c:pt idx="475">
                  <c:v>5.8484675311511758</c:v>
                </c:pt>
                <c:pt idx="476">
                  <c:v>4.9087769524382541</c:v>
                </c:pt>
                <c:pt idx="477">
                  <c:v>4.7879136860723541</c:v>
                </c:pt>
                <c:pt idx="478">
                  <c:v>4.6827830830842707</c:v>
                </c:pt>
                <c:pt idx="479">
                  <c:v>5.7529589096539517</c:v>
                </c:pt>
                <c:pt idx="480">
                  <c:v>5.4444592827760356</c:v>
                </c:pt>
                <c:pt idx="481">
                  <c:v>5.7267039300452396</c:v>
                </c:pt>
                <c:pt idx="482">
                  <c:v>3.9022531865546526</c:v>
                </c:pt>
                <c:pt idx="483">
                  <c:v>6.1214625242911094</c:v>
                </c:pt>
                <c:pt idx="484">
                  <c:v>5.3949295952111367</c:v>
                </c:pt>
                <c:pt idx="485">
                  <c:v>4.7657787356952426</c:v>
                </c:pt>
                <c:pt idx="486">
                  <c:v>5.6069202810282999</c:v>
                </c:pt>
                <c:pt idx="487">
                  <c:v>5.0490305168423699</c:v>
                </c:pt>
                <c:pt idx="488">
                  <c:v>5.3164638248871192</c:v>
                </c:pt>
                <c:pt idx="489">
                  <c:v>4.4045583375037918</c:v>
                </c:pt>
                <c:pt idx="490">
                  <c:v>5.1829575851907155</c:v>
                </c:pt>
                <c:pt idx="491">
                  <c:v>4.9253429496567822</c:v>
                </c:pt>
                <c:pt idx="492">
                  <c:v>5.621199966025161</c:v>
                </c:pt>
                <c:pt idx="493">
                  <c:v>5.1418870524904836</c:v>
                </c:pt>
                <c:pt idx="494">
                  <c:v>5.1182457487071407</c:v>
                </c:pt>
                <c:pt idx="495">
                  <c:v>5.5935237554682953</c:v>
                </c:pt>
                <c:pt idx="496">
                  <c:v>4.7201660902042413</c:v>
                </c:pt>
                <c:pt idx="497">
                  <c:v>4.4688247029150361</c:v>
                </c:pt>
                <c:pt idx="498">
                  <c:v>4.7642735804984326</c:v>
                </c:pt>
                <c:pt idx="499">
                  <c:v>5.9353641862602515</c:v>
                </c:pt>
                <c:pt idx="500">
                  <c:v>3.5013210119052545</c:v>
                </c:pt>
                <c:pt idx="501">
                  <c:v>4.7564588836806774</c:v>
                </c:pt>
                <c:pt idx="502">
                  <c:v>5.6984442115245031</c:v>
                </c:pt>
                <c:pt idx="503">
                  <c:v>5.1466309088440987</c:v>
                </c:pt>
                <c:pt idx="504">
                  <c:v>5.0704610833670323</c:v>
                </c:pt>
                <c:pt idx="505">
                  <c:v>4.18261352838074</c:v>
                </c:pt>
                <c:pt idx="506">
                  <c:v>5.2600550049886863</c:v>
                </c:pt>
                <c:pt idx="507">
                  <c:v>5.6758172048276201</c:v>
                </c:pt>
                <c:pt idx="508">
                  <c:v>5.0422684230576529</c:v>
                </c:pt>
                <c:pt idx="509">
                  <c:v>5.3713030126369805</c:v>
                </c:pt>
                <c:pt idx="510">
                  <c:v>5.0095431551115102</c:v>
                </c:pt>
                <c:pt idx="511">
                  <c:v>5.5202625465597475</c:v>
                </c:pt>
                <c:pt idx="512">
                  <c:v>5.3112589370691126</c:v>
                </c:pt>
                <c:pt idx="513">
                  <c:v>6.3181177876496637</c:v>
                </c:pt>
                <c:pt idx="514">
                  <c:v>4.5944513455013904</c:v>
                </c:pt>
                <c:pt idx="515">
                  <c:v>5.5125436836655499</c:v>
                </c:pt>
                <c:pt idx="516">
                  <c:v>4.5125280414948481</c:v>
                </c:pt>
                <c:pt idx="517">
                  <c:v>6.1199408163740561</c:v>
                </c:pt>
                <c:pt idx="518">
                  <c:v>5.5557396396434093</c:v>
                </c:pt>
                <c:pt idx="519">
                  <c:v>5.2516010529605222</c:v>
                </c:pt>
                <c:pt idx="520">
                  <c:v>4.9473915668889212</c:v>
                </c:pt>
                <c:pt idx="521">
                  <c:v>5.5356430301779405</c:v>
                </c:pt>
                <c:pt idx="522">
                  <c:v>6.361252876878428</c:v>
                </c:pt>
                <c:pt idx="523">
                  <c:v>4.9588788404219635</c:v>
                </c:pt>
                <c:pt idx="524">
                  <c:v>5.6934016169071544</c:v>
                </c:pt>
                <c:pt idx="525">
                  <c:v>4.3783641419349291</c:v>
                </c:pt>
                <c:pt idx="526">
                  <c:v>4.9797721634711092</c:v>
                </c:pt>
                <c:pt idx="527">
                  <c:v>5.5529508200648845</c:v>
                </c:pt>
                <c:pt idx="528">
                  <c:v>5.3119340790385721</c:v>
                </c:pt>
                <c:pt idx="529">
                  <c:v>5.813520899701814</c:v>
                </c:pt>
                <c:pt idx="530">
                  <c:v>4.6239372774688441</c:v>
                </c:pt>
                <c:pt idx="531">
                  <c:v>3.6629315143105003</c:v>
                </c:pt>
                <c:pt idx="532">
                  <c:v>5.4813479241091585</c:v>
                </c:pt>
                <c:pt idx="533">
                  <c:v>5.1814404866249575</c:v>
                </c:pt>
                <c:pt idx="534">
                  <c:v>6.0968334992636439</c:v>
                </c:pt>
                <c:pt idx="535">
                  <c:v>5.2121927878521728</c:v>
                </c:pt>
                <c:pt idx="536">
                  <c:v>4.9815387370327961</c:v>
                </c:pt>
                <c:pt idx="537">
                  <c:v>4.7836287044315835</c:v>
                </c:pt>
                <c:pt idx="538">
                  <c:v>4.6531404421948626</c:v>
                </c:pt>
                <c:pt idx="539">
                  <c:v>4.7413714859666651</c:v>
                </c:pt>
                <c:pt idx="540">
                  <c:v>5.8185720639186762</c:v>
                </c:pt>
                <c:pt idx="541">
                  <c:v>4.898246600910845</c:v>
                </c:pt>
                <c:pt idx="542">
                  <c:v>5.8722833553905627</c:v>
                </c:pt>
                <c:pt idx="543">
                  <c:v>5.1115477043607456</c:v>
                </c:pt>
                <c:pt idx="544">
                  <c:v>5.4762230444550841</c:v>
                </c:pt>
                <c:pt idx="545">
                  <c:v>4.4734964008966234</c:v>
                </c:pt>
                <c:pt idx="546">
                  <c:v>5.9869675733876857</c:v>
                </c:pt>
                <c:pt idx="547">
                  <c:v>5.1763698924813344</c:v>
                </c:pt>
                <c:pt idx="548">
                  <c:v>5.1661297102162234</c:v>
                </c:pt>
                <c:pt idx="549">
                  <c:v>5.3785710135305944</c:v>
                </c:pt>
                <c:pt idx="550">
                  <c:v>4.7088657278824329</c:v>
                </c:pt>
                <c:pt idx="551">
                  <c:v>4.4273126605211388</c:v>
                </c:pt>
                <c:pt idx="552">
                  <c:v>4.4245739831123991</c:v>
                </c:pt>
                <c:pt idx="553">
                  <c:v>5.4369523282093688</c:v>
                </c:pt>
                <c:pt idx="554">
                  <c:v>3.4946492804688027</c:v>
                </c:pt>
                <c:pt idx="555">
                  <c:v>4.8767745036587513</c:v>
                </c:pt>
                <c:pt idx="556">
                  <c:v>5.9836331175264537</c:v>
                </c:pt>
                <c:pt idx="557">
                  <c:v>5.070381749580406</c:v>
                </c:pt>
                <c:pt idx="558">
                  <c:v>5.4414804912947972</c:v>
                </c:pt>
                <c:pt idx="559">
                  <c:v>6.1352087739100494</c:v>
                </c:pt>
                <c:pt idx="560">
                  <c:v>5.6627349505419691</c:v>
                </c:pt>
                <c:pt idx="561">
                  <c:v>4.3503919612620017</c:v>
                </c:pt>
                <c:pt idx="562">
                  <c:v>5.6617895368191782</c:v>
                </c:pt>
                <c:pt idx="563">
                  <c:v>5.5108296950212132</c:v>
                </c:pt>
                <c:pt idx="564">
                  <c:v>5.2957869766920194</c:v>
                </c:pt>
                <c:pt idx="565">
                  <c:v>5.7542839129877645</c:v>
                </c:pt>
                <c:pt idx="566">
                  <c:v>3.8486368109332787</c:v>
                </c:pt>
                <c:pt idx="567">
                  <c:v>5.3698239978086928</c:v>
                </c:pt>
                <c:pt idx="568">
                  <c:v>5.0977501247308297</c:v>
                </c:pt>
                <c:pt idx="569">
                  <c:v>5.004793090229084</c:v>
                </c:pt>
                <c:pt idx="570">
                  <c:v>4.574964192329313</c:v>
                </c:pt>
                <c:pt idx="571">
                  <c:v>5.8054445194529976</c:v>
                </c:pt>
                <c:pt idx="572">
                  <c:v>4.9938036450881249</c:v>
                </c:pt>
                <c:pt idx="573">
                  <c:v>4.8823975451218278</c:v>
                </c:pt>
                <c:pt idx="574">
                  <c:v>5.1957202890406027</c:v>
                </c:pt>
                <c:pt idx="575">
                  <c:v>5.6960692764288989</c:v>
                </c:pt>
                <c:pt idx="576">
                  <c:v>5.5816478351114185</c:v>
                </c:pt>
                <c:pt idx="577">
                  <c:v>6.0642882724101241</c:v>
                </c:pt>
                <c:pt idx="578">
                  <c:v>5.0716356595202701</c:v>
                </c:pt>
                <c:pt idx="579">
                  <c:v>5.4122895019783019</c:v>
                </c:pt>
                <c:pt idx="580">
                  <c:v>3.9154814271065774</c:v>
                </c:pt>
                <c:pt idx="581">
                  <c:v>5.2694756367809212</c:v>
                </c:pt>
                <c:pt idx="582">
                  <c:v>4.2931043851437423</c:v>
                </c:pt>
                <c:pt idx="583">
                  <c:v>5.052298158229334</c:v>
                </c:pt>
                <c:pt idx="584">
                  <c:v>4.6889694564883975</c:v>
                </c:pt>
                <c:pt idx="585">
                  <c:v>5.6402801486381406</c:v>
                </c:pt>
                <c:pt idx="586">
                  <c:v>4.8880899464159597</c:v>
                </c:pt>
                <c:pt idx="587">
                  <c:v>4.7876611039871566</c:v>
                </c:pt>
                <c:pt idx="588">
                  <c:v>4.3383705014407941</c:v>
                </c:pt>
                <c:pt idx="589">
                  <c:v>4.2769156680336753</c:v>
                </c:pt>
                <c:pt idx="590">
                  <c:v>5.6609951741733369</c:v>
                </c:pt>
                <c:pt idx="591">
                  <c:v>5.7277740631032863</c:v>
                </c:pt>
                <c:pt idx="592">
                  <c:v>5.4798775862722575</c:v>
                </c:pt>
                <c:pt idx="593">
                  <c:v>5.4123720800671435</c:v>
                </c:pt>
                <c:pt idx="594">
                  <c:v>6.3871068738344956</c:v>
                </c:pt>
                <c:pt idx="595">
                  <c:v>5.4350333354034852</c:v>
                </c:pt>
                <c:pt idx="596">
                  <c:v>5.6133456767727541</c:v>
                </c:pt>
                <c:pt idx="597">
                  <c:v>4.6080803936696153</c:v>
                </c:pt>
                <c:pt idx="598">
                  <c:v>5.8273808286181215</c:v>
                </c:pt>
                <c:pt idx="599">
                  <c:v>5.8197273354341839</c:v>
                </c:pt>
                <c:pt idx="600">
                  <c:v>5.2792329154060518</c:v>
                </c:pt>
                <c:pt idx="601">
                  <c:v>4.7917673478428107</c:v>
                </c:pt>
                <c:pt idx="602">
                  <c:v>5.3789927107752433</c:v>
                </c:pt>
                <c:pt idx="603">
                  <c:v>5.7403441501866759</c:v>
                </c:pt>
                <c:pt idx="604">
                  <c:v>5.2819385302481638</c:v>
                </c:pt>
                <c:pt idx="605">
                  <c:v>6.1527193134279532</c:v>
                </c:pt>
                <c:pt idx="606">
                  <c:v>5.3644857095787994</c:v>
                </c:pt>
                <c:pt idx="607">
                  <c:v>5.0167125821402276</c:v>
                </c:pt>
                <c:pt idx="608">
                  <c:v>5.2991243292411809</c:v>
                </c:pt>
                <c:pt idx="609">
                  <c:v>4.6269087022437265</c:v>
                </c:pt>
                <c:pt idx="610">
                  <c:v>5.1404488414561396</c:v>
                </c:pt>
                <c:pt idx="611">
                  <c:v>5.0941413565666789</c:v>
                </c:pt>
                <c:pt idx="612">
                  <c:v>5.5810617208302578</c:v>
                </c:pt>
                <c:pt idx="613">
                  <c:v>4.5599751101365555</c:v>
                </c:pt>
                <c:pt idx="614">
                  <c:v>5.0300626626614147</c:v>
                </c:pt>
                <c:pt idx="615">
                  <c:v>4.61783519684586</c:v>
                </c:pt>
                <c:pt idx="616">
                  <c:v>6.0046491657195755</c:v>
                </c:pt>
                <c:pt idx="617">
                  <c:v>5.207573663010713</c:v>
                </c:pt>
                <c:pt idx="618">
                  <c:v>4.4141995015479267</c:v>
                </c:pt>
                <c:pt idx="619">
                  <c:v>5.4137029110857355</c:v>
                </c:pt>
                <c:pt idx="620">
                  <c:v>5.1072772891860758</c:v>
                </c:pt>
                <c:pt idx="621">
                  <c:v>5.30398637640163</c:v>
                </c:pt>
                <c:pt idx="622">
                  <c:v>4.2709977869253635</c:v>
                </c:pt>
                <c:pt idx="623">
                  <c:v>5.1450038705639187</c:v>
                </c:pt>
                <c:pt idx="624">
                  <c:v>5.2133135735548422</c:v>
                </c:pt>
                <c:pt idx="625">
                  <c:v>5.5004167338978966</c:v>
                </c:pt>
                <c:pt idx="626">
                  <c:v>6.2623744206826313</c:v>
                </c:pt>
                <c:pt idx="627">
                  <c:v>5.5143162557555847</c:v>
                </c:pt>
                <c:pt idx="628">
                  <c:v>5.2152840502813778</c:v>
                </c:pt>
                <c:pt idx="629">
                  <c:v>4.4655797212303998</c:v>
                </c:pt>
                <c:pt idx="630">
                  <c:v>5.189650307522971</c:v>
                </c:pt>
                <c:pt idx="631">
                  <c:v>5.8370279131314238</c:v>
                </c:pt>
                <c:pt idx="632">
                  <c:v>5.2446488835901093</c:v>
                </c:pt>
                <c:pt idx="633">
                  <c:v>5.1993688344488014</c:v>
                </c:pt>
                <c:pt idx="634">
                  <c:v>4.6550038663555267</c:v>
                </c:pt>
                <c:pt idx="635">
                  <c:v>5.92270107524193</c:v>
                </c:pt>
                <c:pt idx="636">
                  <c:v>5.8150385548319399</c:v>
                </c:pt>
                <c:pt idx="637">
                  <c:v>4.3095871718139307</c:v>
                </c:pt>
                <c:pt idx="638">
                  <c:v>5.545521462594305</c:v>
                </c:pt>
                <c:pt idx="639">
                  <c:v>5.1772429828829427</c:v>
                </c:pt>
                <c:pt idx="640">
                  <c:v>5.038209597205773</c:v>
                </c:pt>
                <c:pt idx="641">
                  <c:v>5.2683755963634908</c:v>
                </c:pt>
                <c:pt idx="642">
                  <c:v>5.4339426532827417</c:v>
                </c:pt>
                <c:pt idx="643">
                  <c:v>5.2510084337898064</c:v>
                </c:pt>
                <c:pt idx="644">
                  <c:v>4.8265381317615752</c:v>
                </c:pt>
                <c:pt idx="645">
                  <c:v>3.7671471755571773</c:v>
                </c:pt>
                <c:pt idx="646">
                  <c:v>5.5173674770843508</c:v>
                </c:pt>
                <c:pt idx="647">
                  <c:v>5.3329774376880952</c:v>
                </c:pt>
                <c:pt idx="648">
                  <c:v>4.2584719065452692</c:v>
                </c:pt>
                <c:pt idx="649">
                  <c:v>5.2769521800493298</c:v>
                </c:pt>
                <c:pt idx="650">
                  <c:v>4.7539943572461283</c:v>
                </c:pt>
                <c:pt idx="651">
                  <c:v>5.2765092655767418</c:v>
                </c:pt>
                <c:pt idx="652">
                  <c:v>5.0708856272442802</c:v>
                </c:pt>
                <c:pt idx="653">
                  <c:v>4.753745620708445</c:v>
                </c:pt>
                <c:pt idx="654">
                  <c:v>5.1765482079049612</c:v>
                </c:pt>
                <c:pt idx="655">
                  <c:v>5.9240654997489433</c:v>
                </c:pt>
                <c:pt idx="656">
                  <c:v>4.4676781891581445</c:v>
                </c:pt>
                <c:pt idx="657">
                  <c:v>6.046155866514237</c:v>
                </c:pt>
                <c:pt idx="658">
                  <c:v>6.1609197248776173</c:v>
                </c:pt>
                <c:pt idx="659">
                  <c:v>4.7838067740071182</c:v>
                </c:pt>
                <c:pt idx="660">
                  <c:v>5.3280967466483045</c:v>
                </c:pt>
                <c:pt idx="661">
                  <c:v>4.4034578298290974</c:v>
                </c:pt>
                <c:pt idx="662">
                  <c:v>4.5973079021515755</c:v>
                </c:pt>
                <c:pt idx="663">
                  <c:v>4.8692487642612949</c:v>
                </c:pt>
                <c:pt idx="664">
                  <c:v>4.5963130897320337</c:v>
                </c:pt>
                <c:pt idx="665">
                  <c:v>5.1428984447318946</c:v>
                </c:pt>
                <c:pt idx="666">
                  <c:v>5.0581899426750656</c:v>
                </c:pt>
                <c:pt idx="667">
                  <c:v>5.4357398619624355</c:v>
                </c:pt>
                <c:pt idx="668">
                  <c:v>5.1598729969850421</c:v>
                </c:pt>
                <c:pt idx="669">
                  <c:v>5.1150977464022738</c:v>
                </c:pt>
                <c:pt idx="670">
                  <c:v>4.6970935706536245</c:v>
                </c:pt>
                <c:pt idx="671">
                  <c:v>5.5047765716203791</c:v>
                </c:pt>
                <c:pt idx="672">
                  <c:v>5.2663197077406796</c:v>
                </c:pt>
                <c:pt idx="673">
                  <c:v>5.557716388386666</c:v>
                </c:pt>
                <c:pt idx="674">
                  <c:v>4.0161079985521955</c:v>
                </c:pt>
                <c:pt idx="675">
                  <c:v>5.1996933060330672</c:v>
                </c:pt>
                <c:pt idx="676">
                  <c:v>5.6027896467724361</c:v>
                </c:pt>
                <c:pt idx="677">
                  <c:v>5.0215088756371316</c:v>
                </c:pt>
                <c:pt idx="678">
                  <c:v>5.6337685482139488</c:v>
                </c:pt>
                <c:pt idx="679">
                  <c:v>5.19126096366643</c:v>
                </c:pt>
                <c:pt idx="680">
                  <c:v>5.5494482368893348</c:v>
                </c:pt>
                <c:pt idx="681">
                  <c:v>5.221779005629239</c:v>
                </c:pt>
                <c:pt idx="682">
                  <c:v>3.952922158773541</c:v>
                </c:pt>
                <c:pt idx="683">
                  <c:v>5.082736985979162</c:v>
                </c:pt>
                <c:pt idx="684">
                  <c:v>4.5526534564873202</c:v>
                </c:pt>
                <c:pt idx="685">
                  <c:v>6.0954194533573816</c:v>
                </c:pt>
                <c:pt idx="686">
                  <c:v>5.5545705556857001</c:v>
                </c:pt>
                <c:pt idx="687">
                  <c:v>5.472654672888952</c:v>
                </c:pt>
                <c:pt idx="688">
                  <c:v>5.3725026766781312</c:v>
                </c:pt>
                <c:pt idx="689">
                  <c:v>3.8699832069908382</c:v>
                </c:pt>
                <c:pt idx="690">
                  <c:v>4.1287960028461459</c:v>
                </c:pt>
                <c:pt idx="691">
                  <c:v>5.0299655147044291</c:v>
                </c:pt>
                <c:pt idx="692">
                  <c:v>5.4175841934055313</c:v>
                </c:pt>
                <c:pt idx="693">
                  <c:v>5.229997399341487</c:v>
                </c:pt>
                <c:pt idx="694">
                  <c:v>5.040184569837562</c:v>
                </c:pt>
                <c:pt idx="695">
                  <c:v>4.7761831170853881</c:v>
                </c:pt>
                <c:pt idx="696">
                  <c:v>5.0748419503058564</c:v>
                </c:pt>
                <c:pt idx="697">
                  <c:v>4.6472489806988069</c:v>
                </c:pt>
                <c:pt idx="698">
                  <c:v>4.789883375953389</c:v>
                </c:pt>
                <c:pt idx="699">
                  <c:v>5.5087858384845081</c:v>
                </c:pt>
                <c:pt idx="700">
                  <c:v>4.6466591562056507</c:v>
                </c:pt>
                <c:pt idx="701">
                  <c:v>6.0469587575538259</c:v>
                </c:pt>
                <c:pt idx="702">
                  <c:v>4.0071699828523606</c:v>
                </c:pt>
                <c:pt idx="703">
                  <c:v>4.8491018942162967</c:v>
                </c:pt>
                <c:pt idx="704">
                  <c:v>5.2009310597632457</c:v>
                </c:pt>
                <c:pt idx="705">
                  <c:v>5.5292742392497409</c:v>
                </c:pt>
                <c:pt idx="706">
                  <c:v>4.4809548235064085</c:v>
                </c:pt>
                <c:pt idx="707">
                  <c:v>4.9909208116456902</c:v>
                </c:pt>
                <c:pt idx="708">
                  <c:v>5.5850007886340833</c:v>
                </c:pt>
                <c:pt idx="709">
                  <c:v>5.1020389071131262</c:v>
                </c:pt>
                <c:pt idx="710">
                  <c:v>5.4700219958241636</c:v>
                </c:pt>
                <c:pt idx="711">
                  <c:v>5.5233181215444738</c:v>
                </c:pt>
                <c:pt idx="712">
                  <c:v>6.1597653418589484</c:v>
                </c:pt>
                <c:pt idx="713">
                  <c:v>5.7026693655123051</c:v>
                </c:pt>
                <c:pt idx="714">
                  <c:v>5.3454828430364412</c:v>
                </c:pt>
                <c:pt idx="715">
                  <c:v>3.2984488016777185</c:v>
                </c:pt>
                <c:pt idx="716">
                  <c:v>4.5389560750274125</c:v>
                </c:pt>
                <c:pt idx="717">
                  <c:v>4.7150358886441168</c:v>
                </c:pt>
                <c:pt idx="718">
                  <c:v>5.8301836675378684</c:v>
                </c:pt>
                <c:pt idx="719">
                  <c:v>4.8098817591423444</c:v>
                </c:pt>
                <c:pt idx="720">
                  <c:v>5.1064614779017727</c:v>
                </c:pt>
                <c:pt idx="721">
                  <c:v>4.8823326666580762</c:v>
                </c:pt>
                <c:pt idx="722">
                  <c:v>5.3365638248745491</c:v>
                </c:pt>
                <c:pt idx="723">
                  <c:v>5.0477608302784258</c:v>
                </c:pt>
                <c:pt idx="724">
                  <c:v>4.9446110264912999</c:v>
                </c:pt>
                <c:pt idx="725">
                  <c:v>4.5053267140594073</c:v>
                </c:pt>
                <c:pt idx="726">
                  <c:v>5.0279914638746792</c:v>
                </c:pt>
                <c:pt idx="727">
                  <c:v>4.5315310612656301</c:v>
                </c:pt>
                <c:pt idx="728">
                  <c:v>5.5884225988284815</c:v>
                </c:pt>
                <c:pt idx="729">
                  <c:v>5.8738038144139271</c:v>
                </c:pt>
                <c:pt idx="730">
                  <c:v>4.8084362758547901</c:v>
                </c:pt>
                <c:pt idx="731">
                  <c:v>5.7681671585925525</c:v>
                </c:pt>
                <c:pt idx="732">
                  <c:v>5.729521175840901</c:v>
                </c:pt>
                <c:pt idx="733">
                  <c:v>5.5111278223270155</c:v>
                </c:pt>
                <c:pt idx="734">
                  <c:v>4.3339384726253662</c:v>
                </c:pt>
                <c:pt idx="735">
                  <c:v>5.9520550393475649</c:v>
                </c:pt>
                <c:pt idx="736">
                  <c:v>5.055481674140891</c:v>
                </c:pt>
                <c:pt idx="737">
                  <c:v>5.3021228482673131</c:v>
                </c:pt>
                <c:pt idx="738">
                  <c:v>4.9919814476955473</c:v>
                </c:pt>
                <c:pt idx="739">
                  <c:v>5.9444279751887112</c:v>
                </c:pt>
                <c:pt idx="740">
                  <c:v>4.9556087239387434</c:v>
                </c:pt>
                <c:pt idx="741">
                  <c:v>6.5263907564367916</c:v>
                </c:pt>
                <c:pt idx="742">
                  <c:v>5.2772080373690589</c:v>
                </c:pt>
                <c:pt idx="743">
                  <c:v>5.4056491511969362</c:v>
                </c:pt>
                <c:pt idx="744">
                  <c:v>6.5541568427833887</c:v>
                </c:pt>
                <c:pt idx="745">
                  <c:v>5.8565836195123904</c:v>
                </c:pt>
                <c:pt idx="746">
                  <c:v>4.4010443375213431</c:v>
                </c:pt>
                <c:pt idx="747">
                  <c:v>4.6784129951554085</c:v>
                </c:pt>
                <c:pt idx="748">
                  <c:v>5.1897331210508924</c:v>
                </c:pt>
                <c:pt idx="749">
                  <c:v>5.612408058854145</c:v>
                </c:pt>
                <c:pt idx="750">
                  <c:v>4.8228007159536119</c:v>
                </c:pt>
                <c:pt idx="751">
                  <c:v>6.0721625929739584</c:v>
                </c:pt>
                <c:pt idx="752">
                  <c:v>4.5349511333170938</c:v>
                </c:pt>
                <c:pt idx="753">
                  <c:v>5.3585266655955781</c:v>
                </c:pt>
                <c:pt idx="754">
                  <c:v>6.0703788949866233</c:v>
                </c:pt>
                <c:pt idx="755">
                  <c:v>4.5102395904466324</c:v>
                </c:pt>
                <c:pt idx="756">
                  <c:v>3.8694207585635265</c:v>
                </c:pt>
                <c:pt idx="757">
                  <c:v>5.5383333394806051</c:v>
                </c:pt>
                <c:pt idx="758">
                  <c:v>5.3126957413268592</c:v>
                </c:pt>
                <c:pt idx="759">
                  <c:v>5.7354805669990672</c:v>
                </c:pt>
                <c:pt idx="760">
                  <c:v>5.1756974167922234</c:v>
                </c:pt>
                <c:pt idx="761">
                  <c:v>5.2449081493974834</c:v>
                </c:pt>
                <c:pt idx="762">
                  <c:v>4.8552257794352549</c:v>
                </c:pt>
                <c:pt idx="763">
                  <c:v>4.8280332068569898</c:v>
                </c:pt>
                <c:pt idx="764">
                  <c:v>4.0010363338269652</c:v>
                </c:pt>
                <c:pt idx="765">
                  <c:v>4.732269542409</c:v>
                </c:pt>
                <c:pt idx="766">
                  <c:v>6.4601274488748519</c:v>
                </c:pt>
                <c:pt idx="767">
                  <c:v>5.7984818813259782</c:v>
                </c:pt>
                <c:pt idx="768">
                  <c:v>4.3988267069897287</c:v>
                </c:pt>
                <c:pt idx="769">
                  <c:v>4.5569870721112569</c:v>
                </c:pt>
                <c:pt idx="770">
                  <c:v>5.0611015326336304</c:v>
                </c:pt>
                <c:pt idx="771">
                  <c:v>4.9033318544080977</c:v>
                </c:pt>
                <c:pt idx="772">
                  <c:v>6.0049642952747284</c:v>
                </c:pt>
                <c:pt idx="773">
                  <c:v>5.6727567778598846</c:v>
                </c:pt>
                <c:pt idx="774">
                  <c:v>4.7094327325199199</c:v>
                </c:pt>
                <c:pt idx="775">
                  <c:v>4.9074550306752887</c:v>
                </c:pt>
                <c:pt idx="776">
                  <c:v>4.3114689446045915</c:v>
                </c:pt>
                <c:pt idx="777">
                  <c:v>6.1539355131876796</c:v>
                </c:pt>
                <c:pt idx="778">
                  <c:v>3.8530534381326689</c:v>
                </c:pt>
                <c:pt idx="779">
                  <c:v>3.9008951766861575</c:v>
                </c:pt>
                <c:pt idx="780">
                  <c:v>5.0790406241008963</c:v>
                </c:pt>
                <c:pt idx="781">
                  <c:v>5.1386704291658614</c:v>
                </c:pt>
                <c:pt idx="782">
                  <c:v>5.6541391661959288</c:v>
                </c:pt>
                <c:pt idx="783">
                  <c:v>4.1052311309148948</c:v>
                </c:pt>
                <c:pt idx="784">
                  <c:v>4.7481709574489077</c:v>
                </c:pt>
                <c:pt idx="785">
                  <c:v>5.6026190557025135</c:v>
                </c:pt>
                <c:pt idx="786">
                  <c:v>4.2494869132354172</c:v>
                </c:pt>
                <c:pt idx="787">
                  <c:v>4.56693545040274</c:v>
                </c:pt>
                <c:pt idx="788">
                  <c:v>4.9336884431781698</c:v>
                </c:pt>
                <c:pt idx="789">
                  <c:v>4.6631570206265565</c:v>
                </c:pt>
                <c:pt idx="790">
                  <c:v>5.5159644584692256</c:v>
                </c:pt>
                <c:pt idx="791">
                  <c:v>5.4707374660240937</c:v>
                </c:pt>
                <c:pt idx="792">
                  <c:v>5.9149054509685275</c:v>
                </c:pt>
                <c:pt idx="793">
                  <c:v>5.0721331731972814</c:v>
                </c:pt>
                <c:pt idx="794">
                  <c:v>5.2160818320549751</c:v>
                </c:pt>
                <c:pt idx="795">
                  <c:v>6.0347468851743766</c:v>
                </c:pt>
                <c:pt idx="796">
                  <c:v>4.9575143014352694</c:v>
                </c:pt>
                <c:pt idx="797">
                  <c:v>6.0990654574467662</c:v>
                </c:pt>
                <c:pt idx="798">
                  <c:v>5.466957774882987</c:v>
                </c:pt>
                <c:pt idx="799">
                  <c:v>5.5609853596540617</c:v>
                </c:pt>
                <c:pt idx="800">
                  <c:v>5.2215267554435627</c:v>
                </c:pt>
                <c:pt idx="801">
                  <c:v>5.719375385927874</c:v>
                </c:pt>
                <c:pt idx="802">
                  <c:v>5.3597854368848044</c:v>
                </c:pt>
                <c:pt idx="803">
                  <c:v>6.4004409004986726</c:v>
                </c:pt>
                <c:pt idx="804">
                  <c:v>5.4691926144400878</c:v>
                </c:pt>
                <c:pt idx="805">
                  <c:v>5.9021605081583601</c:v>
                </c:pt>
                <c:pt idx="806">
                  <c:v>5.256721416850306</c:v>
                </c:pt>
                <c:pt idx="807">
                  <c:v>4.4714220343325035</c:v>
                </c:pt>
                <c:pt idx="808">
                  <c:v>5.3539170550371349</c:v>
                </c:pt>
                <c:pt idx="809">
                  <c:v>5.7034394564839968</c:v>
                </c:pt>
                <c:pt idx="810">
                  <c:v>5.3509575185889471</c:v>
                </c:pt>
                <c:pt idx="811">
                  <c:v>4.4033722094376113</c:v>
                </c:pt>
                <c:pt idx="812">
                  <c:v>4.7642260632378921</c:v>
                </c:pt>
                <c:pt idx="813">
                  <c:v>4.8190157768271273</c:v>
                </c:pt>
                <c:pt idx="814">
                  <c:v>3.3660156431346255</c:v>
                </c:pt>
                <c:pt idx="815">
                  <c:v>4.6234461898631949</c:v>
                </c:pt>
                <c:pt idx="816">
                  <c:v>4.7240912731865219</c:v>
                </c:pt>
                <c:pt idx="817">
                  <c:v>5.3874843221066691</c:v>
                </c:pt>
                <c:pt idx="818">
                  <c:v>4.418679086925632</c:v>
                </c:pt>
                <c:pt idx="819">
                  <c:v>5.6126679190753705</c:v>
                </c:pt>
                <c:pt idx="820">
                  <c:v>5.5768344384508595</c:v>
                </c:pt>
                <c:pt idx="821">
                  <c:v>4.3657016898500824</c:v>
                </c:pt>
                <c:pt idx="822">
                  <c:v>5.7116118838730614</c:v>
                </c:pt>
                <c:pt idx="823">
                  <c:v>5.3081460864830241</c:v>
                </c:pt>
                <c:pt idx="824">
                  <c:v>5.4519046674411964</c:v>
                </c:pt>
                <c:pt idx="825">
                  <c:v>5.770531617632388</c:v>
                </c:pt>
                <c:pt idx="826">
                  <c:v>6.0719664295199802</c:v>
                </c:pt>
                <c:pt idx="827">
                  <c:v>6.0482836828161091</c:v>
                </c:pt>
                <c:pt idx="828">
                  <c:v>5.6230637441774789</c:v>
                </c:pt>
                <c:pt idx="829">
                  <c:v>5.0479437243204544</c:v>
                </c:pt>
                <c:pt idx="830">
                  <c:v>5.1146515927682241</c:v>
                </c:pt>
                <c:pt idx="831">
                  <c:v>5.2754843211540425</c:v>
                </c:pt>
                <c:pt idx="832">
                  <c:v>4.5899140571369337</c:v>
                </c:pt>
                <c:pt idx="833">
                  <c:v>4.9570255846766962</c:v>
                </c:pt>
                <c:pt idx="834">
                  <c:v>6.1908420991910127</c:v>
                </c:pt>
                <c:pt idx="835">
                  <c:v>4.9138954577118916</c:v>
                </c:pt>
                <c:pt idx="836">
                  <c:v>5.1990025549127701</c:v>
                </c:pt>
                <c:pt idx="837">
                  <c:v>5.259481510426836</c:v>
                </c:pt>
                <c:pt idx="838">
                  <c:v>4.8966716589875858</c:v>
                </c:pt>
                <c:pt idx="839">
                  <c:v>4.579124510090022</c:v>
                </c:pt>
                <c:pt idx="840">
                  <c:v>6.1483722072941926</c:v>
                </c:pt>
                <c:pt idx="841">
                  <c:v>5.4603081592007001</c:v>
                </c:pt>
                <c:pt idx="842">
                  <c:v>6.0413207011101875</c:v>
                </c:pt>
                <c:pt idx="843">
                  <c:v>4.871497805123937</c:v>
                </c:pt>
                <c:pt idx="844">
                  <c:v>5.2123782673177583</c:v>
                </c:pt>
                <c:pt idx="845">
                  <c:v>5.8849112302657325</c:v>
                </c:pt>
                <c:pt idx="846">
                  <c:v>5.8803863721903387</c:v>
                </c:pt>
                <c:pt idx="847">
                  <c:v>3.9307746870462967</c:v>
                </c:pt>
                <c:pt idx="848">
                  <c:v>5.3493280867807051</c:v>
                </c:pt>
                <c:pt idx="849">
                  <c:v>4.6280958455572598</c:v>
                </c:pt>
                <c:pt idx="850">
                  <c:v>5.8097474281053572</c:v>
                </c:pt>
                <c:pt idx="851">
                  <c:v>6.0927482503341199</c:v>
                </c:pt>
                <c:pt idx="852">
                  <c:v>5.5903046307185562</c:v>
                </c:pt>
                <c:pt idx="853">
                  <c:v>5.2976656580797119</c:v>
                </c:pt>
                <c:pt idx="854">
                  <c:v>3.7880604198266639</c:v>
                </c:pt>
                <c:pt idx="855">
                  <c:v>4.9255088380734939</c:v>
                </c:pt>
                <c:pt idx="856">
                  <c:v>5.56670204018417</c:v>
                </c:pt>
                <c:pt idx="857">
                  <c:v>4.7515842080514474</c:v>
                </c:pt>
                <c:pt idx="858">
                  <c:v>4.5683871990681766</c:v>
                </c:pt>
                <c:pt idx="859">
                  <c:v>4.4080774672270522</c:v>
                </c:pt>
                <c:pt idx="860">
                  <c:v>5.0338850669413766</c:v>
                </c:pt>
                <c:pt idx="861">
                  <c:v>4.3786362260480445</c:v>
                </c:pt>
                <c:pt idx="862">
                  <c:v>6.3802817778185634</c:v>
                </c:pt>
                <c:pt idx="863">
                  <c:v>5.0564158767304725</c:v>
                </c:pt>
                <c:pt idx="864">
                  <c:v>5.2289746641421306</c:v>
                </c:pt>
                <c:pt idx="865">
                  <c:v>5.4920497929230674</c:v>
                </c:pt>
                <c:pt idx="866">
                  <c:v>5.4779489881291639</c:v>
                </c:pt>
                <c:pt idx="867">
                  <c:v>5.1796846535388195</c:v>
                </c:pt>
                <c:pt idx="868">
                  <c:v>5.7176432741317509</c:v>
                </c:pt>
                <c:pt idx="869">
                  <c:v>5.7475811163066233</c:v>
                </c:pt>
                <c:pt idx="870">
                  <c:v>5.1589740968737381</c:v>
                </c:pt>
                <c:pt idx="871">
                  <c:v>4.7548601558124854</c:v>
                </c:pt>
                <c:pt idx="872">
                  <c:v>4.1860623379389672</c:v>
                </c:pt>
                <c:pt idx="873">
                  <c:v>5.0704500167787927</c:v>
                </c:pt>
                <c:pt idx="874">
                  <c:v>4.6735964400189527</c:v>
                </c:pt>
                <c:pt idx="875">
                  <c:v>5.0474479540211199</c:v>
                </c:pt>
                <c:pt idx="876">
                  <c:v>4.1856949774792245</c:v>
                </c:pt>
                <c:pt idx="877">
                  <c:v>5.2320975867795276</c:v>
                </c:pt>
                <c:pt idx="878">
                  <c:v>5.2100121275022175</c:v>
                </c:pt>
                <c:pt idx="879">
                  <c:v>5.1150036600397399</c:v>
                </c:pt>
                <c:pt idx="880">
                  <c:v>5.1779705740981719</c:v>
                </c:pt>
                <c:pt idx="881">
                  <c:v>4.8910523448313938</c:v>
                </c:pt>
                <c:pt idx="882">
                  <c:v>5.1979575074656967</c:v>
                </c:pt>
                <c:pt idx="883">
                  <c:v>4.6909916244714598</c:v>
                </c:pt>
                <c:pt idx="884">
                  <c:v>5.3050171177906993</c:v>
                </c:pt>
                <c:pt idx="885">
                  <c:v>4.8312169662512829</c:v>
                </c:pt>
                <c:pt idx="886">
                  <c:v>4.422621790534814</c:v>
                </c:pt>
                <c:pt idx="887">
                  <c:v>3.7053794900048267</c:v>
                </c:pt>
                <c:pt idx="888">
                  <c:v>5.0432082523635451</c:v>
                </c:pt>
                <c:pt idx="889">
                  <c:v>5.2950626106669514</c:v>
                </c:pt>
                <c:pt idx="890">
                  <c:v>4.944691391729604</c:v>
                </c:pt>
                <c:pt idx="891">
                  <c:v>4.2912202262878907</c:v>
                </c:pt>
                <c:pt idx="892">
                  <c:v>5.6732562425011057</c:v>
                </c:pt>
                <c:pt idx="893">
                  <c:v>4.6942544582679471</c:v>
                </c:pt>
                <c:pt idx="894">
                  <c:v>5.6935475334634162</c:v>
                </c:pt>
                <c:pt idx="895">
                  <c:v>5.2876356082815761</c:v>
                </c:pt>
                <c:pt idx="896">
                  <c:v>4.7112988279664645</c:v>
                </c:pt>
                <c:pt idx="897">
                  <c:v>5.3186306338150651</c:v>
                </c:pt>
                <c:pt idx="898">
                  <c:v>4.9636504027475787</c:v>
                </c:pt>
                <c:pt idx="899">
                  <c:v>5.4962927157034756</c:v>
                </c:pt>
                <c:pt idx="900">
                  <c:v>4.3746971634899943</c:v>
                </c:pt>
                <c:pt idx="901">
                  <c:v>5.608472707932993</c:v>
                </c:pt>
                <c:pt idx="902">
                  <c:v>5.4691178842668986</c:v>
                </c:pt>
                <c:pt idx="903">
                  <c:v>4.5642092216339361</c:v>
                </c:pt>
                <c:pt idx="904">
                  <c:v>5.1962008519985545</c:v>
                </c:pt>
                <c:pt idx="905">
                  <c:v>5.8699932811689397</c:v>
                </c:pt>
                <c:pt idx="906">
                  <c:v>6.0379392011465871</c:v>
                </c:pt>
                <c:pt idx="907">
                  <c:v>5.1027234126035967</c:v>
                </c:pt>
                <c:pt idx="908">
                  <c:v>5.6573915521624905</c:v>
                </c:pt>
                <c:pt idx="909">
                  <c:v>4.6973790511374407</c:v>
                </c:pt>
                <c:pt idx="910">
                  <c:v>5.5926479534200961</c:v>
                </c:pt>
                <c:pt idx="911">
                  <c:v>5.5911869240346839</c:v>
                </c:pt>
                <c:pt idx="912">
                  <c:v>4.6047905285279569</c:v>
                </c:pt>
                <c:pt idx="913">
                  <c:v>4.9212601421865454</c:v>
                </c:pt>
                <c:pt idx="914">
                  <c:v>5.7057263799972944</c:v>
                </c:pt>
                <c:pt idx="915">
                  <c:v>6.1929940566496189</c:v>
                </c:pt>
                <c:pt idx="916">
                  <c:v>4.4522023728054982</c:v>
                </c:pt>
                <c:pt idx="917">
                  <c:v>4.995030147505986</c:v>
                </c:pt>
                <c:pt idx="918">
                  <c:v>4.7720089147749825</c:v>
                </c:pt>
                <c:pt idx="919">
                  <c:v>4.6479991294657719</c:v>
                </c:pt>
                <c:pt idx="920">
                  <c:v>5.2097203843946946</c:v>
                </c:pt>
                <c:pt idx="921">
                  <c:v>4.8638567838850264</c:v>
                </c:pt>
                <c:pt idx="922">
                  <c:v>5.8049831711023216</c:v>
                </c:pt>
                <c:pt idx="923">
                  <c:v>5.1153343243373453</c:v>
                </c:pt>
                <c:pt idx="924">
                  <c:v>5.470034910469268</c:v>
                </c:pt>
                <c:pt idx="925">
                  <c:v>4.0386134584686513</c:v>
                </c:pt>
                <c:pt idx="926">
                  <c:v>4.82296824876682</c:v>
                </c:pt>
                <c:pt idx="927">
                  <c:v>4.9361779264576562</c:v>
                </c:pt>
                <c:pt idx="928">
                  <c:v>5.2014439583938437</c:v>
                </c:pt>
                <c:pt idx="929">
                  <c:v>4.5323364090290887</c:v>
                </c:pt>
                <c:pt idx="930">
                  <c:v>4.3444293996301671</c:v>
                </c:pt>
                <c:pt idx="931">
                  <c:v>4.9584843876236633</c:v>
                </c:pt>
                <c:pt idx="932">
                  <c:v>7.1336295164111494</c:v>
                </c:pt>
                <c:pt idx="933">
                  <c:v>6.06527803109514</c:v>
                </c:pt>
                <c:pt idx="934">
                  <c:v>4.1660448020509389</c:v>
                </c:pt>
                <c:pt idx="935">
                  <c:v>4.983802323857832</c:v>
                </c:pt>
                <c:pt idx="936">
                  <c:v>5.7063078477530009</c:v>
                </c:pt>
                <c:pt idx="937">
                  <c:v>4.3667497254725856</c:v>
                </c:pt>
                <c:pt idx="938">
                  <c:v>6.7089444813013674</c:v>
                </c:pt>
                <c:pt idx="939">
                  <c:v>5.8930725790149552</c:v>
                </c:pt>
                <c:pt idx="940">
                  <c:v>5.7470188762309693</c:v>
                </c:pt>
                <c:pt idx="941">
                  <c:v>5.2434871696056007</c:v>
                </c:pt>
                <c:pt idx="942">
                  <c:v>4.800466029208911</c:v>
                </c:pt>
                <c:pt idx="943">
                  <c:v>5.3948675917102786</c:v>
                </c:pt>
                <c:pt idx="944">
                  <c:v>5.1524186147206876</c:v>
                </c:pt>
                <c:pt idx="945">
                  <c:v>4.9037964565608565</c:v>
                </c:pt>
                <c:pt idx="946">
                  <c:v>6.1037002649545364</c:v>
                </c:pt>
                <c:pt idx="947">
                  <c:v>4.9896332163311943</c:v>
                </c:pt>
                <c:pt idx="948">
                  <c:v>4.1625720071141732</c:v>
                </c:pt>
                <c:pt idx="949">
                  <c:v>4.5023982866226433</c:v>
                </c:pt>
                <c:pt idx="950">
                  <c:v>5.4843080190291715</c:v>
                </c:pt>
                <c:pt idx="951">
                  <c:v>4.7316511742537077</c:v>
                </c:pt>
                <c:pt idx="952">
                  <c:v>5.4082303426214793</c:v>
                </c:pt>
                <c:pt idx="953">
                  <c:v>4.2685196124759326</c:v>
                </c:pt>
                <c:pt idx="954">
                  <c:v>5.8705457961247003</c:v>
                </c:pt>
                <c:pt idx="955">
                  <c:v>5.3151310556787745</c:v>
                </c:pt>
                <c:pt idx="956">
                  <c:v>5.0226820911976642</c:v>
                </c:pt>
                <c:pt idx="957">
                  <c:v>5.1061287522232828</c:v>
                </c:pt>
                <c:pt idx="958">
                  <c:v>5.6668372413081052</c:v>
                </c:pt>
                <c:pt idx="959">
                  <c:v>5.4133048167017961</c:v>
                </c:pt>
                <c:pt idx="960">
                  <c:v>5.4725519694323612</c:v>
                </c:pt>
                <c:pt idx="961">
                  <c:v>5.2459698075631707</c:v>
                </c:pt>
                <c:pt idx="962">
                  <c:v>5.8828947809504477</c:v>
                </c:pt>
                <c:pt idx="963">
                  <c:v>5.9500808069703588</c:v>
                </c:pt>
                <c:pt idx="964">
                  <c:v>4.1595901492226641</c:v>
                </c:pt>
                <c:pt idx="965">
                  <c:v>4.9743945931157718</c:v>
                </c:pt>
                <c:pt idx="966">
                  <c:v>5.9916160079607117</c:v>
                </c:pt>
                <c:pt idx="967">
                  <c:v>4.4834455957208981</c:v>
                </c:pt>
                <c:pt idx="968">
                  <c:v>4.3865499393115481</c:v>
                </c:pt>
                <c:pt idx="969">
                  <c:v>4.7962768703632079</c:v>
                </c:pt>
                <c:pt idx="970">
                  <c:v>5.2639583889599084</c:v>
                </c:pt>
                <c:pt idx="971">
                  <c:v>5.8320777567446296</c:v>
                </c:pt>
                <c:pt idx="972">
                  <c:v>6.2602648630639059</c:v>
                </c:pt>
                <c:pt idx="973">
                  <c:v>5.004185113532186</c:v>
                </c:pt>
                <c:pt idx="974">
                  <c:v>5.4204060019969962</c:v>
                </c:pt>
                <c:pt idx="975">
                  <c:v>4.6656517377391662</c:v>
                </c:pt>
                <c:pt idx="976">
                  <c:v>5.0351091918190161</c:v>
                </c:pt>
                <c:pt idx="977">
                  <c:v>5.1951050954495717</c:v>
                </c:pt>
                <c:pt idx="978">
                  <c:v>4.7258354424868063</c:v>
                </c:pt>
                <c:pt idx="979">
                  <c:v>4.0252703336814868</c:v>
                </c:pt>
                <c:pt idx="980">
                  <c:v>5.512537085299499</c:v>
                </c:pt>
                <c:pt idx="981">
                  <c:v>4.8408923476982668</c:v>
                </c:pt>
                <c:pt idx="982">
                  <c:v>5.0236680379638212</c:v>
                </c:pt>
                <c:pt idx="983">
                  <c:v>5.0878370672469249</c:v>
                </c:pt>
                <c:pt idx="984">
                  <c:v>5.6390205886384983</c:v>
                </c:pt>
                <c:pt idx="985">
                  <c:v>5.6207722927332426</c:v>
                </c:pt>
                <c:pt idx="986">
                  <c:v>4.6603867291156753</c:v>
                </c:pt>
                <c:pt idx="987">
                  <c:v>5.7568787621559121</c:v>
                </c:pt>
                <c:pt idx="988">
                  <c:v>4.7074694903123522</c:v>
                </c:pt>
                <c:pt idx="989">
                  <c:v>5.2215083297930711</c:v>
                </c:pt>
                <c:pt idx="990">
                  <c:v>6.1234516155819261</c:v>
                </c:pt>
                <c:pt idx="991">
                  <c:v>4.6770883437660444</c:v>
                </c:pt>
                <c:pt idx="992">
                  <c:v>5.6513538846529414</c:v>
                </c:pt>
                <c:pt idx="993">
                  <c:v>5.750183810967993</c:v>
                </c:pt>
                <c:pt idx="994">
                  <c:v>4.6910011447934128</c:v>
                </c:pt>
                <c:pt idx="995">
                  <c:v>5.2527110612810048</c:v>
                </c:pt>
                <c:pt idx="996">
                  <c:v>4.860700729291759</c:v>
                </c:pt>
                <c:pt idx="997">
                  <c:v>6.0058752109224276</c:v>
                </c:pt>
                <c:pt idx="998">
                  <c:v>5.578426516237819</c:v>
                </c:pt>
                <c:pt idx="999">
                  <c:v>6.2615257628275955</c:v>
                </c:pt>
              </c:numCache>
            </c:numRef>
          </c:xVal>
          <c:yVal>
            <c:numRef>
              <c:f>CEASimulation!$G$11:$G$1010</c:f>
              <c:numCache>
                <c:formatCode>0</c:formatCode>
                <c:ptCount val="1000"/>
                <c:pt idx="0">
                  <c:v>-816.61981703107267</c:v>
                </c:pt>
                <c:pt idx="1">
                  <c:v>-1297.0625128526092</c:v>
                </c:pt>
                <c:pt idx="2">
                  <c:v>-931.91159646384949</c:v>
                </c:pt>
                <c:pt idx="3">
                  <c:v>-1198.3643829548889</c:v>
                </c:pt>
                <c:pt idx="4">
                  <c:v>-980.47318038028016</c:v>
                </c:pt>
                <c:pt idx="5">
                  <c:v>-1008.5859025232448</c:v>
                </c:pt>
                <c:pt idx="6">
                  <c:v>-1010.846838793233</c:v>
                </c:pt>
                <c:pt idx="7">
                  <c:v>-1171.5112746941609</c:v>
                </c:pt>
                <c:pt idx="8">
                  <c:v>-1504.5295097442149</c:v>
                </c:pt>
                <c:pt idx="9">
                  <c:v>-833.87763331081464</c:v>
                </c:pt>
                <c:pt idx="10">
                  <c:v>-441.80907475813729</c:v>
                </c:pt>
                <c:pt idx="11">
                  <c:v>-1120.9077595060298</c:v>
                </c:pt>
                <c:pt idx="12">
                  <c:v>-1027.4449111165336</c:v>
                </c:pt>
                <c:pt idx="13">
                  <c:v>-1290.3913946357852</c:v>
                </c:pt>
                <c:pt idx="14">
                  <c:v>-501.22783294285409</c:v>
                </c:pt>
                <c:pt idx="15">
                  <c:v>-1028.359705594868</c:v>
                </c:pt>
                <c:pt idx="16">
                  <c:v>-1400.9140534576254</c:v>
                </c:pt>
                <c:pt idx="17">
                  <c:v>-868.16897626840864</c:v>
                </c:pt>
                <c:pt idx="18">
                  <c:v>-617.85529171998269</c:v>
                </c:pt>
                <c:pt idx="19">
                  <c:v>-1105.3173113265357</c:v>
                </c:pt>
                <c:pt idx="20">
                  <c:v>-1391.7396120697986</c:v>
                </c:pt>
                <c:pt idx="21">
                  <c:v>-767.3609173879131</c:v>
                </c:pt>
                <c:pt idx="22">
                  <c:v>-1312.6655271154013</c:v>
                </c:pt>
                <c:pt idx="23">
                  <c:v>-732.70325404399455</c:v>
                </c:pt>
                <c:pt idx="24">
                  <c:v>-892.16935819380569</c:v>
                </c:pt>
                <c:pt idx="25">
                  <c:v>-897.01577438602862</c:v>
                </c:pt>
                <c:pt idx="26">
                  <c:v>-965.73740836438401</c:v>
                </c:pt>
                <c:pt idx="27">
                  <c:v>-1322.6674669727627</c:v>
                </c:pt>
                <c:pt idx="28">
                  <c:v>-891.93778148537604</c:v>
                </c:pt>
                <c:pt idx="29">
                  <c:v>-1173.9004308326425</c:v>
                </c:pt>
                <c:pt idx="30">
                  <c:v>-808.70532828911928</c:v>
                </c:pt>
                <c:pt idx="31">
                  <c:v>-968.62489800368712</c:v>
                </c:pt>
                <c:pt idx="32">
                  <c:v>-728.26899489714742</c:v>
                </c:pt>
                <c:pt idx="33">
                  <c:v>-741.43960769740443</c:v>
                </c:pt>
                <c:pt idx="34">
                  <c:v>-829.70797727375293</c:v>
                </c:pt>
                <c:pt idx="35">
                  <c:v>-523.49445979448865</c:v>
                </c:pt>
                <c:pt idx="36">
                  <c:v>-798.85837918069387</c:v>
                </c:pt>
                <c:pt idx="37">
                  <c:v>-945.89443116157281</c:v>
                </c:pt>
                <c:pt idx="38">
                  <c:v>-1175.1724269000238</c:v>
                </c:pt>
                <c:pt idx="39">
                  <c:v>-779.8823388902947</c:v>
                </c:pt>
                <c:pt idx="40">
                  <c:v>-808.80889571367516</c:v>
                </c:pt>
                <c:pt idx="41">
                  <c:v>-842.47708882103007</c:v>
                </c:pt>
                <c:pt idx="42">
                  <c:v>-1046.4441072022214</c:v>
                </c:pt>
                <c:pt idx="43">
                  <c:v>-1166.7296491507241</c:v>
                </c:pt>
                <c:pt idx="44">
                  <c:v>-800.4177616450138</c:v>
                </c:pt>
                <c:pt idx="45">
                  <c:v>-1046.2705618775381</c:v>
                </c:pt>
                <c:pt idx="46">
                  <c:v>-1109.3582795917118</c:v>
                </c:pt>
                <c:pt idx="47">
                  <c:v>-865.78764288865705</c:v>
                </c:pt>
                <c:pt idx="48">
                  <c:v>-1055.1363865399453</c:v>
                </c:pt>
                <c:pt idx="49">
                  <c:v>-911.17422693001799</c:v>
                </c:pt>
                <c:pt idx="50">
                  <c:v>-1000.1361338776983</c:v>
                </c:pt>
                <c:pt idx="51">
                  <c:v>-1310.8799963773859</c:v>
                </c:pt>
                <c:pt idx="52">
                  <c:v>-1017.1031583551021</c:v>
                </c:pt>
                <c:pt idx="53">
                  <c:v>-1115.7352946572719</c:v>
                </c:pt>
                <c:pt idx="54">
                  <c:v>-644.83249311658574</c:v>
                </c:pt>
                <c:pt idx="55">
                  <c:v>-1175.6825185076964</c:v>
                </c:pt>
                <c:pt idx="56">
                  <c:v>-1030.4010637115257</c:v>
                </c:pt>
                <c:pt idx="57">
                  <c:v>-857.26026112110003</c:v>
                </c:pt>
                <c:pt idx="58">
                  <c:v>-984.36516028605183</c:v>
                </c:pt>
                <c:pt idx="59">
                  <c:v>-460.03922603186447</c:v>
                </c:pt>
                <c:pt idx="60">
                  <c:v>-980.47935057838913</c:v>
                </c:pt>
                <c:pt idx="61">
                  <c:v>-676.13238524034114</c:v>
                </c:pt>
                <c:pt idx="62">
                  <c:v>-970.45738699065896</c:v>
                </c:pt>
                <c:pt idx="63">
                  <c:v>-1309.5686194363466</c:v>
                </c:pt>
                <c:pt idx="64">
                  <c:v>-1134.5567804441644</c:v>
                </c:pt>
                <c:pt idx="65">
                  <c:v>-1081.6680381629455</c:v>
                </c:pt>
                <c:pt idx="66">
                  <c:v>-1042.2998525911489</c:v>
                </c:pt>
                <c:pt idx="67">
                  <c:v>-400.09478080893359</c:v>
                </c:pt>
                <c:pt idx="68">
                  <c:v>-1473.0572453010125</c:v>
                </c:pt>
                <c:pt idx="69">
                  <c:v>-762.71464514215813</c:v>
                </c:pt>
                <c:pt idx="70">
                  <c:v>-788.07438560823493</c:v>
                </c:pt>
                <c:pt idx="71">
                  <c:v>-989.33829158628805</c:v>
                </c:pt>
                <c:pt idx="72">
                  <c:v>-951.08875052639542</c:v>
                </c:pt>
                <c:pt idx="73">
                  <c:v>-995.98009423035637</c:v>
                </c:pt>
                <c:pt idx="74">
                  <c:v>-841.52113213164557</c:v>
                </c:pt>
                <c:pt idx="75">
                  <c:v>-1818.9185237692413</c:v>
                </c:pt>
                <c:pt idx="76">
                  <c:v>-1084.2867917789995</c:v>
                </c:pt>
                <c:pt idx="77">
                  <c:v>-1116.5950901602237</c:v>
                </c:pt>
                <c:pt idx="78">
                  <c:v>-1147.2785298956405</c:v>
                </c:pt>
                <c:pt idx="79">
                  <c:v>-1105.8128748967258</c:v>
                </c:pt>
                <c:pt idx="80">
                  <c:v>-1355.0545636160614</c:v>
                </c:pt>
                <c:pt idx="81">
                  <c:v>-924.466249620707</c:v>
                </c:pt>
                <c:pt idx="82">
                  <c:v>-1347.3892978361587</c:v>
                </c:pt>
                <c:pt idx="83">
                  <c:v>-411.59713809750701</c:v>
                </c:pt>
                <c:pt idx="84">
                  <c:v>-924.93938165372788</c:v>
                </c:pt>
                <c:pt idx="85">
                  <c:v>-1160.8953895214477</c:v>
                </c:pt>
                <c:pt idx="86">
                  <c:v>-1508.3646868498313</c:v>
                </c:pt>
                <c:pt idx="87">
                  <c:v>-1332.7167176066541</c:v>
                </c:pt>
                <c:pt idx="88">
                  <c:v>-772.00842152283894</c:v>
                </c:pt>
                <c:pt idx="89">
                  <c:v>-433.20916655754672</c:v>
                </c:pt>
                <c:pt idx="90">
                  <c:v>-1266.2339766942964</c:v>
                </c:pt>
                <c:pt idx="91">
                  <c:v>-973.89778336369864</c:v>
                </c:pt>
                <c:pt idx="92">
                  <c:v>-1186.0180143821672</c:v>
                </c:pt>
                <c:pt idx="93">
                  <c:v>-1089.578390603604</c:v>
                </c:pt>
                <c:pt idx="94">
                  <c:v>-455.54725022207185</c:v>
                </c:pt>
                <c:pt idx="95">
                  <c:v>-677.60567487200342</c:v>
                </c:pt>
                <c:pt idx="96">
                  <c:v>-989.13258597050299</c:v>
                </c:pt>
                <c:pt idx="97">
                  <c:v>-986.37484639103923</c:v>
                </c:pt>
                <c:pt idx="98">
                  <c:v>-992.65874097425194</c:v>
                </c:pt>
                <c:pt idx="99">
                  <c:v>-683.0899073045739</c:v>
                </c:pt>
                <c:pt idx="100">
                  <c:v>-925.20309801618032</c:v>
                </c:pt>
                <c:pt idx="101">
                  <c:v>-881.06940796576828</c:v>
                </c:pt>
                <c:pt idx="102">
                  <c:v>-544.67747626804521</c:v>
                </c:pt>
                <c:pt idx="103">
                  <c:v>-809.49771296104882</c:v>
                </c:pt>
                <c:pt idx="104">
                  <c:v>-1245.2144579924502</c:v>
                </c:pt>
                <c:pt idx="105">
                  <c:v>-913.66757224670255</c:v>
                </c:pt>
                <c:pt idx="106">
                  <c:v>-665.77899738519636</c:v>
                </c:pt>
                <c:pt idx="107">
                  <c:v>-816.15217398863615</c:v>
                </c:pt>
                <c:pt idx="108">
                  <c:v>-1399.6542782785591</c:v>
                </c:pt>
                <c:pt idx="109">
                  <c:v>-733.69848208502844</c:v>
                </c:pt>
                <c:pt idx="110">
                  <c:v>-687.10430927177458</c:v>
                </c:pt>
                <c:pt idx="111">
                  <c:v>-1042.9256609309589</c:v>
                </c:pt>
                <c:pt idx="112">
                  <c:v>-1423.8400153723401</c:v>
                </c:pt>
                <c:pt idx="113">
                  <c:v>-1184.4645494592955</c:v>
                </c:pt>
                <c:pt idx="114">
                  <c:v>-1106.3313540491563</c:v>
                </c:pt>
                <c:pt idx="115">
                  <c:v>-1099.5477705248895</c:v>
                </c:pt>
                <c:pt idx="116">
                  <c:v>-713.06853261594688</c:v>
                </c:pt>
                <c:pt idx="117">
                  <c:v>-796.4964544770487</c:v>
                </c:pt>
                <c:pt idx="118">
                  <c:v>-1181.7141427098186</c:v>
                </c:pt>
                <c:pt idx="119">
                  <c:v>-610.81206414005419</c:v>
                </c:pt>
                <c:pt idx="120">
                  <c:v>-1405.9284588069168</c:v>
                </c:pt>
                <c:pt idx="121">
                  <c:v>-738.64099667771779</c:v>
                </c:pt>
                <c:pt idx="122">
                  <c:v>-1225.0841687977231</c:v>
                </c:pt>
                <c:pt idx="123">
                  <c:v>-901.27327251709949</c:v>
                </c:pt>
                <c:pt idx="124">
                  <c:v>-852.54207587702604</c:v>
                </c:pt>
                <c:pt idx="125">
                  <c:v>-760.57813113457451</c:v>
                </c:pt>
                <c:pt idx="126">
                  <c:v>-893.75973587893895</c:v>
                </c:pt>
                <c:pt idx="127">
                  <c:v>-1217.0808648075893</c:v>
                </c:pt>
                <c:pt idx="128">
                  <c:v>-1154.1125747745832</c:v>
                </c:pt>
                <c:pt idx="129">
                  <c:v>-919.2382156281783</c:v>
                </c:pt>
                <c:pt idx="130">
                  <c:v>-922.71883018012613</c:v>
                </c:pt>
                <c:pt idx="131">
                  <c:v>-673.93593453688345</c:v>
                </c:pt>
                <c:pt idx="132">
                  <c:v>-929.12072395011728</c:v>
                </c:pt>
                <c:pt idx="133">
                  <c:v>-864.7446475579527</c:v>
                </c:pt>
                <c:pt idx="134">
                  <c:v>-1432.6646746435626</c:v>
                </c:pt>
                <c:pt idx="135">
                  <c:v>-1337.7207845640653</c:v>
                </c:pt>
                <c:pt idx="136">
                  <c:v>-1138.8416791613217</c:v>
                </c:pt>
                <c:pt idx="137">
                  <c:v>-1109.8573436054362</c:v>
                </c:pt>
                <c:pt idx="138">
                  <c:v>-864.20796792387546</c:v>
                </c:pt>
                <c:pt idx="139">
                  <c:v>-1276.3765692636989</c:v>
                </c:pt>
                <c:pt idx="140">
                  <c:v>-856.90076785614428</c:v>
                </c:pt>
                <c:pt idx="141">
                  <c:v>-1421.1782868104196</c:v>
                </c:pt>
                <c:pt idx="142">
                  <c:v>-1266.0982772855152</c:v>
                </c:pt>
                <c:pt idx="143">
                  <c:v>-1195.2078872961447</c:v>
                </c:pt>
                <c:pt idx="144">
                  <c:v>-1113.3703538351724</c:v>
                </c:pt>
                <c:pt idx="145">
                  <c:v>-764.23897153464259</c:v>
                </c:pt>
                <c:pt idx="146">
                  <c:v>-1416.4527328710819</c:v>
                </c:pt>
                <c:pt idx="147">
                  <c:v>-670.44036664330315</c:v>
                </c:pt>
                <c:pt idx="148">
                  <c:v>-1044.5504539604804</c:v>
                </c:pt>
                <c:pt idx="149">
                  <c:v>-1073.7111347488176</c:v>
                </c:pt>
                <c:pt idx="150">
                  <c:v>-993.71294561042669</c:v>
                </c:pt>
                <c:pt idx="151">
                  <c:v>-1164.217069571185</c:v>
                </c:pt>
                <c:pt idx="152">
                  <c:v>-847.1990762629207</c:v>
                </c:pt>
                <c:pt idx="153">
                  <c:v>-1150.3097510235962</c:v>
                </c:pt>
                <c:pt idx="154">
                  <c:v>-1255.9006583942412</c:v>
                </c:pt>
                <c:pt idx="155">
                  <c:v>-1019.6173796464129</c:v>
                </c:pt>
                <c:pt idx="156">
                  <c:v>-713.44378582196646</c:v>
                </c:pt>
                <c:pt idx="157">
                  <c:v>-1014.7552207911594</c:v>
                </c:pt>
                <c:pt idx="158">
                  <c:v>-984.76561612759906</c:v>
                </c:pt>
                <c:pt idx="159">
                  <c:v>-1086.9385209347204</c:v>
                </c:pt>
                <c:pt idx="160">
                  <c:v>-1145.8689126492554</c:v>
                </c:pt>
                <c:pt idx="161">
                  <c:v>-940.42199671476533</c:v>
                </c:pt>
                <c:pt idx="162">
                  <c:v>-557.35177010249754</c:v>
                </c:pt>
                <c:pt idx="163">
                  <c:v>-1379.2050795291889</c:v>
                </c:pt>
                <c:pt idx="164">
                  <c:v>-804.46589996609214</c:v>
                </c:pt>
                <c:pt idx="165">
                  <c:v>-946.87933831577993</c:v>
                </c:pt>
                <c:pt idx="166">
                  <c:v>-559.85923671081628</c:v>
                </c:pt>
                <c:pt idx="167">
                  <c:v>-332.23832687714867</c:v>
                </c:pt>
                <c:pt idx="168">
                  <c:v>-1082.8981928746473</c:v>
                </c:pt>
                <c:pt idx="169">
                  <c:v>-644.85441577040683</c:v>
                </c:pt>
                <c:pt idx="170">
                  <c:v>-1164.2835635594088</c:v>
                </c:pt>
                <c:pt idx="171">
                  <c:v>-724.44979804410968</c:v>
                </c:pt>
                <c:pt idx="172">
                  <c:v>-1466.3678797613966</c:v>
                </c:pt>
                <c:pt idx="173">
                  <c:v>-857.42435085749457</c:v>
                </c:pt>
                <c:pt idx="174">
                  <c:v>-394.93215297167353</c:v>
                </c:pt>
                <c:pt idx="175">
                  <c:v>-1253.0186001789289</c:v>
                </c:pt>
                <c:pt idx="176">
                  <c:v>-1510.3562829417374</c:v>
                </c:pt>
                <c:pt idx="177">
                  <c:v>-1155.3151404420937</c:v>
                </c:pt>
                <c:pt idx="178">
                  <c:v>-1044.3477163521779</c:v>
                </c:pt>
                <c:pt idx="179">
                  <c:v>-1616.3004256918725</c:v>
                </c:pt>
                <c:pt idx="180">
                  <c:v>-587.72253844032502</c:v>
                </c:pt>
                <c:pt idx="181">
                  <c:v>-1093.1933119800342</c:v>
                </c:pt>
                <c:pt idx="182">
                  <c:v>-694.64440417068272</c:v>
                </c:pt>
                <c:pt idx="183">
                  <c:v>-1052.9049637209082</c:v>
                </c:pt>
                <c:pt idx="184">
                  <c:v>-964.520066562794</c:v>
                </c:pt>
                <c:pt idx="185">
                  <c:v>-422.65636699238985</c:v>
                </c:pt>
                <c:pt idx="186">
                  <c:v>-782.99913410294766</c:v>
                </c:pt>
                <c:pt idx="187">
                  <c:v>-788.22415005637549</c:v>
                </c:pt>
                <c:pt idx="188">
                  <c:v>-1260.8883346842317</c:v>
                </c:pt>
                <c:pt idx="189">
                  <c:v>-1119.395181621665</c:v>
                </c:pt>
                <c:pt idx="190">
                  <c:v>-849.94287388132216</c:v>
                </c:pt>
                <c:pt idx="191">
                  <c:v>-518.12247861394735</c:v>
                </c:pt>
                <c:pt idx="192">
                  <c:v>-1149.7466031005756</c:v>
                </c:pt>
                <c:pt idx="193">
                  <c:v>-1101.2322033058963</c:v>
                </c:pt>
                <c:pt idx="194">
                  <c:v>-773.63803924054582</c:v>
                </c:pt>
                <c:pt idx="195">
                  <c:v>-684.32737213638666</c:v>
                </c:pt>
                <c:pt idx="196">
                  <c:v>-1035.5771538985305</c:v>
                </c:pt>
                <c:pt idx="197">
                  <c:v>-798.78075356922932</c:v>
                </c:pt>
                <c:pt idx="198">
                  <c:v>-686.731957640769</c:v>
                </c:pt>
                <c:pt idx="199">
                  <c:v>-757.78951953213436</c:v>
                </c:pt>
                <c:pt idx="200">
                  <c:v>-976.40610827030332</c:v>
                </c:pt>
                <c:pt idx="201">
                  <c:v>-404.816795307343</c:v>
                </c:pt>
                <c:pt idx="202">
                  <c:v>-1406.7860112322219</c:v>
                </c:pt>
                <c:pt idx="203">
                  <c:v>-712.24967975094569</c:v>
                </c:pt>
                <c:pt idx="204">
                  <c:v>-1165.1581557013878</c:v>
                </c:pt>
                <c:pt idx="205">
                  <c:v>-996.38528602037968</c:v>
                </c:pt>
                <c:pt idx="206">
                  <c:v>-884.63642435964357</c:v>
                </c:pt>
                <c:pt idx="207">
                  <c:v>-858.16820510316211</c:v>
                </c:pt>
                <c:pt idx="208">
                  <c:v>-769.12984444054973</c:v>
                </c:pt>
                <c:pt idx="209">
                  <c:v>-488.75306539068242</c:v>
                </c:pt>
                <c:pt idx="210">
                  <c:v>-799.69413749088608</c:v>
                </c:pt>
                <c:pt idx="211">
                  <c:v>-1208.4956355991521</c:v>
                </c:pt>
                <c:pt idx="212">
                  <c:v>-1112.1270192081656</c:v>
                </c:pt>
                <c:pt idx="213">
                  <c:v>-1223.8670727345157</c:v>
                </c:pt>
                <c:pt idx="214">
                  <c:v>-726.25311070745556</c:v>
                </c:pt>
                <c:pt idx="215">
                  <c:v>-1264.3628440727339</c:v>
                </c:pt>
                <c:pt idx="216">
                  <c:v>-1038.6693708692028</c:v>
                </c:pt>
                <c:pt idx="217">
                  <c:v>-881.51323238635723</c:v>
                </c:pt>
                <c:pt idx="218">
                  <c:v>-978.42958355967767</c:v>
                </c:pt>
                <c:pt idx="219">
                  <c:v>-779.70465210099246</c:v>
                </c:pt>
                <c:pt idx="220">
                  <c:v>-759.45240571191562</c:v>
                </c:pt>
                <c:pt idx="221">
                  <c:v>-800.99919319296851</c:v>
                </c:pt>
                <c:pt idx="222">
                  <c:v>-972.87522729284956</c:v>
                </c:pt>
                <c:pt idx="223">
                  <c:v>-1207.7176822979256</c:v>
                </c:pt>
                <c:pt idx="224">
                  <c:v>-807.76880073007987</c:v>
                </c:pt>
                <c:pt idx="225">
                  <c:v>-757.09208998435724</c:v>
                </c:pt>
                <c:pt idx="226">
                  <c:v>-1182.2192979125823</c:v>
                </c:pt>
                <c:pt idx="227">
                  <c:v>-1488.6348243437733</c:v>
                </c:pt>
                <c:pt idx="228">
                  <c:v>-940.62792845418812</c:v>
                </c:pt>
                <c:pt idx="229">
                  <c:v>-568.00182778917724</c:v>
                </c:pt>
                <c:pt idx="230">
                  <c:v>-1479.6924061207535</c:v>
                </c:pt>
                <c:pt idx="231">
                  <c:v>-801.9650343350304</c:v>
                </c:pt>
                <c:pt idx="232">
                  <c:v>-806.03810164339893</c:v>
                </c:pt>
                <c:pt idx="233">
                  <c:v>-910.19584073108695</c:v>
                </c:pt>
                <c:pt idx="234">
                  <c:v>-1196.0554891345541</c:v>
                </c:pt>
                <c:pt idx="235">
                  <c:v>-922.79486935045406</c:v>
                </c:pt>
                <c:pt idx="236">
                  <c:v>-848.90996000039331</c:v>
                </c:pt>
                <c:pt idx="237">
                  <c:v>-778.04031804998567</c:v>
                </c:pt>
                <c:pt idx="238">
                  <c:v>-1257.6426927687012</c:v>
                </c:pt>
                <c:pt idx="239">
                  <c:v>-1019.2641930086688</c:v>
                </c:pt>
                <c:pt idx="240">
                  <c:v>-457.61620620563826</c:v>
                </c:pt>
                <c:pt idx="241">
                  <c:v>-935.42560123466319</c:v>
                </c:pt>
                <c:pt idx="242">
                  <c:v>-1033.4313011293848</c:v>
                </c:pt>
                <c:pt idx="243">
                  <c:v>-502.36523243845795</c:v>
                </c:pt>
                <c:pt idx="244">
                  <c:v>-766.72583356811674</c:v>
                </c:pt>
                <c:pt idx="245">
                  <c:v>-680.7862422965859</c:v>
                </c:pt>
                <c:pt idx="246">
                  <c:v>-844.1752786724569</c:v>
                </c:pt>
                <c:pt idx="247">
                  <c:v>-702.17314303251214</c:v>
                </c:pt>
                <c:pt idx="248">
                  <c:v>-1405.7263927611803</c:v>
                </c:pt>
                <c:pt idx="249">
                  <c:v>-774.4544997931539</c:v>
                </c:pt>
                <c:pt idx="250">
                  <c:v>-612.72396106993801</c:v>
                </c:pt>
                <c:pt idx="251">
                  <c:v>-932.0377112104693</c:v>
                </c:pt>
                <c:pt idx="252">
                  <c:v>-1329.2706256585493</c:v>
                </c:pt>
                <c:pt idx="253">
                  <c:v>-1473.3754601366786</c:v>
                </c:pt>
                <c:pt idx="254">
                  <c:v>-981.43811331195775</c:v>
                </c:pt>
                <c:pt idx="255">
                  <c:v>-1027.2869846744909</c:v>
                </c:pt>
                <c:pt idx="256">
                  <c:v>-646.50768455929574</c:v>
                </c:pt>
                <c:pt idx="257">
                  <c:v>-437.99550799479721</c:v>
                </c:pt>
                <c:pt idx="258">
                  <c:v>-1106.5364876292688</c:v>
                </c:pt>
                <c:pt idx="259">
                  <c:v>-1377.8736300716907</c:v>
                </c:pt>
                <c:pt idx="260">
                  <c:v>-1035.2042669509879</c:v>
                </c:pt>
                <c:pt idx="261">
                  <c:v>-877.98923467654686</c:v>
                </c:pt>
                <c:pt idx="262">
                  <c:v>-733.57965955869804</c:v>
                </c:pt>
                <c:pt idx="263">
                  <c:v>-1427.5425441017337</c:v>
                </c:pt>
                <c:pt idx="264">
                  <c:v>-519.24365437357392</c:v>
                </c:pt>
                <c:pt idx="265">
                  <c:v>-997.14209329401547</c:v>
                </c:pt>
                <c:pt idx="266">
                  <c:v>-1407.1309286320707</c:v>
                </c:pt>
                <c:pt idx="267">
                  <c:v>-933.46011920629098</c:v>
                </c:pt>
                <c:pt idx="268">
                  <c:v>-1006.9535479268391</c:v>
                </c:pt>
                <c:pt idx="269">
                  <c:v>-1058.9480832320842</c:v>
                </c:pt>
                <c:pt idx="270">
                  <c:v>-1003.1517818805332</c:v>
                </c:pt>
                <c:pt idx="271">
                  <c:v>-1247.3673007364696</c:v>
                </c:pt>
                <c:pt idx="272">
                  <c:v>-1372.5650806620397</c:v>
                </c:pt>
                <c:pt idx="273">
                  <c:v>-632.09703950485527</c:v>
                </c:pt>
                <c:pt idx="274">
                  <c:v>-720.4722107089683</c:v>
                </c:pt>
                <c:pt idx="275">
                  <c:v>-899.70633389462773</c:v>
                </c:pt>
                <c:pt idx="276">
                  <c:v>-1293.2559698061627</c:v>
                </c:pt>
                <c:pt idx="277">
                  <c:v>-1100.9280440791244</c:v>
                </c:pt>
                <c:pt idx="278">
                  <c:v>-840.99729867152064</c:v>
                </c:pt>
                <c:pt idx="279">
                  <c:v>-1360.7956203872627</c:v>
                </c:pt>
                <c:pt idx="280">
                  <c:v>-571.04186043701475</c:v>
                </c:pt>
                <c:pt idx="281">
                  <c:v>-1218.2532366216938</c:v>
                </c:pt>
                <c:pt idx="282">
                  <c:v>-1250.945676153729</c:v>
                </c:pt>
                <c:pt idx="283">
                  <c:v>-933.31043498791223</c:v>
                </c:pt>
                <c:pt idx="284">
                  <c:v>-1137.7176907519802</c:v>
                </c:pt>
                <c:pt idx="285">
                  <c:v>-953.60749366696746</c:v>
                </c:pt>
                <c:pt idx="286">
                  <c:v>-1049.1642702434592</c:v>
                </c:pt>
                <c:pt idx="287">
                  <c:v>-642.76442855220421</c:v>
                </c:pt>
                <c:pt idx="288">
                  <c:v>-1009.6592291672519</c:v>
                </c:pt>
                <c:pt idx="289">
                  <c:v>-1111.4403321325033</c:v>
                </c:pt>
                <c:pt idx="290">
                  <c:v>-1196.1789957724329</c:v>
                </c:pt>
                <c:pt idx="291">
                  <c:v>-1124.2280477800305</c:v>
                </c:pt>
                <c:pt idx="292">
                  <c:v>-824.39187041139758</c:v>
                </c:pt>
                <c:pt idx="293">
                  <c:v>-858.21342625947455</c:v>
                </c:pt>
                <c:pt idx="294">
                  <c:v>-1073.6178105610743</c:v>
                </c:pt>
                <c:pt idx="295">
                  <c:v>-435.93644284284164</c:v>
                </c:pt>
                <c:pt idx="296">
                  <c:v>-405.97633788882695</c:v>
                </c:pt>
                <c:pt idx="297">
                  <c:v>-937.3757191784598</c:v>
                </c:pt>
                <c:pt idx="298">
                  <c:v>-932.10879977031664</c:v>
                </c:pt>
                <c:pt idx="299">
                  <c:v>-603.60384717810712</c:v>
                </c:pt>
                <c:pt idx="300">
                  <c:v>-876.54645404498501</c:v>
                </c:pt>
                <c:pt idx="301">
                  <c:v>-561.47039138342143</c:v>
                </c:pt>
                <c:pt idx="302">
                  <c:v>-776.79021592957338</c:v>
                </c:pt>
                <c:pt idx="303">
                  <c:v>-1017.3282336197449</c:v>
                </c:pt>
                <c:pt idx="304">
                  <c:v>-1146.5347167928117</c:v>
                </c:pt>
                <c:pt idx="305">
                  <c:v>-605.83685254537795</c:v>
                </c:pt>
                <c:pt idx="306">
                  <c:v>-757.83672584846863</c:v>
                </c:pt>
                <c:pt idx="307">
                  <c:v>-1066.5520152402423</c:v>
                </c:pt>
                <c:pt idx="308">
                  <c:v>-744.0177193170075</c:v>
                </c:pt>
                <c:pt idx="309">
                  <c:v>-914.12419901343333</c:v>
                </c:pt>
                <c:pt idx="310">
                  <c:v>-1168.2519147019066</c:v>
                </c:pt>
                <c:pt idx="311">
                  <c:v>-404.38494176309041</c:v>
                </c:pt>
                <c:pt idx="312">
                  <c:v>-1105.8321686484214</c:v>
                </c:pt>
                <c:pt idx="313">
                  <c:v>-672.79833203851695</c:v>
                </c:pt>
                <c:pt idx="314">
                  <c:v>-911.64804472279684</c:v>
                </c:pt>
                <c:pt idx="315">
                  <c:v>-1394.2404405106131</c:v>
                </c:pt>
                <c:pt idx="316">
                  <c:v>-1072.3811697627007</c:v>
                </c:pt>
                <c:pt idx="317">
                  <c:v>-1291.4872138216151</c:v>
                </c:pt>
                <c:pt idx="318">
                  <c:v>-978.46960410762722</c:v>
                </c:pt>
                <c:pt idx="319">
                  <c:v>-1553.0815290061428</c:v>
                </c:pt>
                <c:pt idx="320">
                  <c:v>-565.18977172698987</c:v>
                </c:pt>
                <c:pt idx="321">
                  <c:v>-699.40022747266676</c:v>
                </c:pt>
                <c:pt idx="322">
                  <c:v>-928.32632614306931</c:v>
                </c:pt>
                <c:pt idx="323">
                  <c:v>-1422.5204009572703</c:v>
                </c:pt>
                <c:pt idx="324">
                  <c:v>-1054.3059243232237</c:v>
                </c:pt>
                <c:pt idx="325">
                  <c:v>-1373.0140758226189</c:v>
                </c:pt>
                <c:pt idx="326">
                  <c:v>-602.7656889908003</c:v>
                </c:pt>
                <c:pt idx="327">
                  <c:v>-1305.7112435370673</c:v>
                </c:pt>
                <c:pt idx="328">
                  <c:v>-1309.9251175169411</c:v>
                </c:pt>
                <c:pt idx="329">
                  <c:v>-816.11701179351167</c:v>
                </c:pt>
                <c:pt idx="330">
                  <c:v>-760.39704123454612</c:v>
                </c:pt>
                <c:pt idx="331">
                  <c:v>-1312.8912350704613</c:v>
                </c:pt>
                <c:pt idx="332">
                  <c:v>-682.18096913640466</c:v>
                </c:pt>
                <c:pt idx="333">
                  <c:v>-1379.1334005441254</c:v>
                </c:pt>
                <c:pt idx="334">
                  <c:v>-1430.8838954773087</c:v>
                </c:pt>
                <c:pt idx="335">
                  <c:v>-626.73171688072034</c:v>
                </c:pt>
                <c:pt idx="336">
                  <c:v>-981.99817396609819</c:v>
                </c:pt>
                <c:pt idx="337">
                  <c:v>-1015.8532048183879</c:v>
                </c:pt>
                <c:pt idx="338">
                  <c:v>-855.74702596534917</c:v>
                </c:pt>
                <c:pt idx="339">
                  <c:v>-718.67366453139493</c:v>
                </c:pt>
                <c:pt idx="340">
                  <c:v>-877.16733663229388</c:v>
                </c:pt>
                <c:pt idx="341">
                  <c:v>-962.5391993140579</c:v>
                </c:pt>
                <c:pt idx="342">
                  <c:v>-436.965685935892</c:v>
                </c:pt>
                <c:pt idx="343">
                  <c:v>-887.76442037985498</c:v>
                </c:pt>
                <c:pt idx="344">
                  <c:v>-1015.1926391349421</c:v>
                </c:pt>
                <c:pt idx="345">
                  <c:v>-1004.5043296771414</c:v>
                </c:pt>
                <c:pt idx="346">
                  <c:v>-778.90087217669679</c:v>
                </c:pt>
                <c:pt idx="347">
                  <c:v>-1126.4974761579938</c:v>
                </c:pt>
                <c:pt idx="348">
                  <c:v>-882.92091340145362</c:v>
                </c:pt>
                <c:pt idx="349">
                  <c:v>-798.46605792841638</c:v>
                </c:pt>
                <c:pt idx="350">
                  <c:v>-632.22187060150964</c:v>
                </c:pt>
                <c:pt idx="351">
                  <c:v>-571.36934152737194</c:v>
                </c:pt>
                <c:pt idx="352">
                  <c:v>-1230.2264025402596</c:v>
                </c:pt>
                <c:pt idx="353">
                  <c:v>-370.69923081842671</c:v>
                </c:pt>
                <c:pt idx="354">
                  <c:v>-1104.9181819772102</c:v>
                </c:pt>
                <c:pt idx="355">
                  <c:v>-810.71653002951871</c:v>
                </c:pt>
                <c:pt idx="356">
                  <c:v>-608.94672188622053</c:v>
                </c:pt>
                <c:pt idx="357">
                  <c:v>-851.60063977287564</c:v>
                </c:pt>
                <c:pt idx="358">
                  <c:v>-828.17408262316394</c:v>
                </c:pt>
                <c:pt idx="359">
                  <c:v>-1024.1254013994389</c:v>
                </c:pt>
                <c:pt idx="360">
                  <c:v>-474.23138343500341</c:v>
                </c:pt>
                <c:pt idx="361">
                  <c:v>-859.75482529517012</c:v>
                </c:pt>
                <c:pt idx="362">
                  <c:v>-1063.7048814063814</c:v>
                </c:pt>
                <c:pt idx="363">
                  <c:v>-1135.2248285933842</c:v>
                </c:pt>
                <c:pt idx="364">
                  <c:v>-966.55070823205051</c:v>
                </c:pt>
                <c:pt idx="365">
                  <c:v>-989.54671574533313</c:v>
                </c:pt>
                <c:pt idx="366">
                  <c:v>-766.95177685716772</c:v>
                </c:pt>
                <c:pt idx="367">
                  <c:v>-1156.5274948327144</c:v>
                </c:pt>
                <c:pt idx="368">
                  <c:v>-1143.5847307199697</c:v>
                </c:pt>
                <c:pt idx="369">
                  <c:v>-627.16647884367467</c:v>
                </c:pt>
                <c:pt idx="370">
                  <c:v>-951.80539255597319</c:v>
                </c:pt>
                <c:pt idx="371">
                  <c:v>-1208.2343070927168</c:v>
                </c:pt>
                <c:pt idx="372">
                  <c:v>-864.30194610359695</c:v>
                </c:pt>
                <c:pt idx="373">
                  <c:v>-1208.722201830934</c:v>
                </c:pt>
                <c:pt idx="374">
                  <c:v>-1161.3428946148058</c:v>
                </c:pt>
                <c:pt idx="375">
                  <c:v>-1162.514732219528</c:v>
                </c:pt>
                <c:pt idx="376">
                  <c:v>-605.95002050121093</c:v>
                </c:pt>
                <c:pt idx="377">
                  <c:v>-1091.5728340087226</c:v>
                </c:pt>
                <c:pt idx="378">
                  <c:v>-991.97276994596587</c:v>
                </c:pt>
                <c:pt idx="379">
                  <c:v>-709.37682361858606</c:v>
                </c:pt>
                <c:pt idx="380">
                  <c:v>-602.32176740588648</c:v>
                </c:pt>
                <c:pt idx="381">
                  <c:v>-691.74091136958168</c:v>
                </c:pt>
                <c:pt idx="382">
                  <c:v>-844.45662599828711</c:v>
                </c:pt>
                <c:pt idx="383">
                  <c:v>-905.89355447951448</c:v>
                </c:pt>
                <c:pt idx="384">
                  <c:v>-1101.3921561890734</c:v>
                </c:pt>
                <c:pt idx="385">
                  <c:v>-688.75289045304771</c:v>
                </c:pt>
                <c:pt idx="386">
                  <c:v>-852.42699796989427</c:v>
                </c:pt>
                <c:pt idx="387">
                  <c:v>-1054.3294978445906</c:v>
                </c:pt>
                <c:pt idx="388">
                  <c:v>-939.16032724094634</c:v>
                </c:pt>
                <c:pt idx="389">
                  <c:v>-1251.6595634660398</c:v>
                </c:pt>
                <c:pt idx="390">
                  <c:v>-881.55821346019366</c:v>
                </c:pt>
                <c:pt idx="391">
                  <c:v>-863.54614783217312</c:v>
                </c:pt>
                <c:pt idx="392">
                  <c:v>-486.07674639411312</c:v>
                </c:pt>
                <c:pt idx="393">
                  <c:v>-799.1772003672645</c:v>
                </c:pt>
                <c:pt idx="394">
                  <c:v>-1151.5770853178306</c:v>
                </c:pt>
                <c:pt idx="395">
                  <c:v>-621.11397852805476</c:v>
                </c:pt>
                <c:pt idx="396">
                  <c:v>-1068.8035838409457</c:v>
                </c:pt>
                <c:pt idx="397">
                  <c:v>-859.69471879657181</c:v>
                </c:pt>
                <c:pt idx="398">
                  <c:v>-649.25493295226852</c:v>
                </c:pt>
                <c:pt idx="399">
                  <c:v>-905.70477656857952</c:v>
                </c:pt>
                <c:pt idx="400">
                  <c:v>-892.84471232867327</c:v>
                </c:pt>
                <c:pt idx="401">
                  <c:v>-689.0952453880102</c:v>
                </c:pt>
                <c:pt idx="402">
                  <c:v>-965.62247550597408</c:v>
                </c:pt>
                <c:pt idx="403">
                  <c:v>-519.93668385113961</c:v>
                </c:pt>
                <c:pt idx="404">
                  <c:v>-895.51246891972005</c:v>
                </c:pt>
                <c:pt idx="405">
                  <c:v>-827.5419042774256</c:v>
                </c:pt>
                <c:pt idx="406">
                  <c:v>-881.75661053106592</c:v>
                </c:pt>
                <c:pt idx="407">
                  <c:v>-1358.1610544728997</c:v>
                </c:pt>
                <c:pt idx="408">
                  <c:v>-1252.8402504923347</c:v>
                </c:pt>
                <c:pt idx="409">
                  <c:v>-979.01211425076599</c:v>
                </c:pt>
                <c:pt idx="410">
                  <c:v>-1441.1480052218567</c:v>
                </c:pt>
                <c:pt idx="411">
                  <c:v>-786.64807914759604</c:v>
                </c:pt>
                <c:pt idx="412">
                  <c:v>-925.38583419262545</c:v>
                </c:pt>
                <c:pt idx="413">
                  <c:v>-1140.5412763676761</c:v>
                </c:pt>
                <c:pt idx="414">
                  <c:v>-1025.0024449397765</c:v>
                </c:pt>
                <c:pt idx="415">
                  <c:v>-1144.3868789031862</c:v>
                </c:pt>
                <c:pt idx="416">
                  <c:v>-1361.2800566551107</c:v>
                </c:pt>
                <c:pt idx="417">
                  <c:v>-1425.1183976550215</c:v>
                </c:pt>
                <c:pt idx="418">
                  <c:v>-1632.7350389326855</c:v>
                </c:pt>
                <c:pt idx="419">
                  <c:v>-1016.6413660251255</c:v>
                </c:pt>
                <c:pt idx="420">
                  <c:v>-825.16421969740531</c:v>
                </c:pt>
                <c:pt idx="421">
                  <c:v>-1003.2659765967237</c:v>
                </c:pt>
                <c:pt idx="422">
                  <c:v>-868.04839885154024</c:v>
                </c:pt>
                <c:pt idx="423">
                  <c:v>-870.19388391207121</c:v>
                </c:pt>
                <c:pt idx="424">
                  <c:v>-749.10270929553917</c:v>
                </c:pt>
                <c:pt idx="425">
                  <c:v>-1174.6386121796832</c:v>
                </c:pt>
                <c:pt idx="426">
                  <c:v>-842.33736537192203</c:v>
                </c:pt>
                <c:pt idx="427">
                  <c:v>-881.80739446646567</c:v>
                </c:pt>
                <c:pt idx="428">
                  <c:v>-776.85371258208215</c:v>
                </c:pt>
                <c:pt idx="429">
                  <c:v>-898.43893460440449</c:v>
                </c:pt>
                <c:pt idx="430">
                  <c:v>-775.88238918926709</c:v>
                </c:pt>
                <c:pt idx="431">
                  <c:v>-287.92068245454243</c:v>
                </c:pt>
                <c:pt idx="432">
                  <c:v>-330.16251996448136</c:v>
                </c:pt>
                <c:pt idx="433">
                  <c:v>-1672.0263805943937</c:v>
                </c:pt>
                <c:pt idx="434">
                  <c:v>-974.42375117594429</c:v>
                </c:pt>
                <c:pt idx="435">
                  <c:v>-1209.8800456286954</c:v>
                </c:pt>
                <c:pt idx="436">
                  <c:v>-886.81296879969887</c:v>
                </c:pt>
                <c:pt idx="437">
                  <c:v>-926.7838809420341</c:v>
                </c:pt>
                <c:pt idx="438">
                  <c:v>-861.46726160993012</c:v>
                </c:pt>
                <c:pt idx="439">
                  <c:v>-1208.5274687493347</c:v>
                </c:pt>
                <c:pt idx="440">
                  <c:v>-813.91036579775027</c:v>
                </c:pt>
                <c:pt idx="441">
                  <c:v>-931.65947240852711</c:v>
                </c:pt>
                <c:pt idx="442">
                  <c:v>-1316.9607181045667</c:v>
                </c:pt>
                <c:pt idx="443">
                  <c:v>-930.53040616123462</c:v>
                </c:pt>
                <c:pt idx="444">
                  <c:v>-1106.30684112175</c:v>
                </c:pt>
                <c:pt idx="445">
                  <c:v>-858.47118445462138</c:v>
                </c:pt>
                <c:pt idx="446">
                  <c:v>-818.416346859025</c:v>
                </c:pt>
                <c:pt idx="447">
                  <c:v>-1203.1701879468728</c:v>
                </c:pt>
                <c:pt idx="448">
                  <c:v>-946.11102628790059</c:v>
                </c:pt>
                <c:pt idx="449">
                  <c:v>-907.26154139414075</c:v>
                </c:pt>
                <c:pt idx="450">
                  <c:v>-855.48123949188357</c:v>
                </c:pt>
                <c:pt idx="451">
                  <c:v>-1149.2775208912917</c:v>
                </c:pt>
                <c:pt idx="452">
                  <c:v>-905.91398587151843</c:v>
                </c:pt>
                <c:pt idx="453">
                  <c:v>-1180.9216777129618</c:v>
                </c:pt>
                <c:pt idx="454">
                  <c:v>-820.04847540414426</c:v>
                </c:pt>
                <c:pt idx="455">
                  <c:v>-1230.3148524029643</c:v>
                </c:pt>
                <c:pt idx="456">
                  <c:v>-794.21179905878989</c:v>
                </c:pt>
                <c:pt idx="457">
                  <c:v>-1045.8854492633909</c:v>
                </c:pt>
                <c:pt idx="458">
                  <c:v>-1308.3208798296223</c:v>
                </c:pt>
                <c:pt idx="459">
                  <c:v>-633.51470449953081</c:v>
                </c:pt>
                <c:pt idx="460">
                  <c:v>-1072.2213702899412</c:v>
                </c:pt>
                <c:pt idx="461">
                  <c:v>-1039.4608768327325</c:v>
                </c:pt>
                <c:pt idx="462">
                  <c:v>-1222.8586714613234</c:v>
                </c:pt>
                <c:pt idx="463">
                  <c:v>-1227.5899414254177</c:v>
                </c:pt>
                <c:pt idx="464">
                  <c:v>-427.28062983593054</c:v>
                </c:pt>
                <c:pt idx="465">
                  <c:v>-1056.296209911849</c:v>
                </c:pt>
                <c:pt idx="466">
                  <c:v>-1453.4200109751455</c:v>
                </c:pt>
                <c:pt idx="467">
                  <c:v>-280.48942455813267</c:v>
                </c:pt>
                <c:pt idx="468">
                  <c:v>-862.26172191293745</c:v>
                </c:pt>
                <c:pt idx="469">
                  <c:v>-644.48863803113727</c:v>
                </c:pt>
                <c:pt idx="470">
                  <c:v>-1142.942658836826</c:v>
                </c:pt>
                <c:pt idx="471">
                  <c:v>-1184.3915024577209</c:v>
                </c:pt>
                <c:pt idx="472">
                  <c:v>-1241.3285944979098</c:v>
                </c:pt>
                <c:pt idx="473">
                  <c:v>-1130.1848329358763</c:v>
                </c:pt>
                <c:pt idx="474">
                  <c:v>-1219.3424476720656</c:v>
                </c:pt>
                <c:pt idx="475">
                  <c:v>-812.97842412358546</c:v>
                </c:pt>
                <c:pt idx="476">
                  <c:v>-1146.6096804198205</c:v>
                </c:pt>
                <c:pt idx="477">
                  <c:v>-1493.6571461977783</c:v>
                </c:pt>
                <c:pt idx="478">
                  <c:v>-1236.7705778441752</c:v>
                </c:pt>
                <c:pt idx="479">
                  <c:v>-907.18054573440986</c:v>
                </c:pt>
                <c:pt idx="480">
                  <c:v>-849.49514984980851</c:v>
                </c:pt>
                <c:pt idx="481">
                  <c:v>-1468.4931436711415</c:v>
                </c:pt>
                <c:pt idx="482">
                  <c:v>-1220.0236973547362</c:v>
                </c:pt>
                <c:pt idx="483">
                  <c:v>-863.79291669825443</c:v>
                </c:pt>
                <c:pt idx="484">
                  <c:v>-874.89433227593327</c:v>
                </c:pt>
                <c:pt idx="485">
                  <c:v>-593.48632320117031</c:v>
                </c:pt>
                <c:pt idx="486">
                  <c:v>-673.05184251778519</c:v>
                </c:pt>
                <c:pt idx="487">
                  <c:v>-1023.6372825785788</c:v>
                </c:pt>
                <c:pt idx="488">
                  <c:v>-648.28916348228904</c:v>
                </c:pt>
                <c:pt idx="489">
                  <c:v>-938.74798638067819</c:v>
                </c:pt>
                <c:pt idx="490">
                  <c:v>-981.61012243279265</c:v>
                </c:pt>
                <c:pt idx="491">
                  <c:v>-1183.4864406552379</c:v>
                </c:pt>
                <c:pt idx="492">
                  <c:v>-803.3285884789691</c:v>
                </c:pt>
                <c:pt idx="493">
                  <c:v>-997.67412823439645</c:v>
                </c:pt>
                <c:pt idx="494">
                  <c:v>-998.32210870155404</c:v>
                </c:pt>
                <c:pt idx="495">
                  <c:v>-1101.7156403495014</c:v>
                </c:pt>
                <c:pt idx="496">
                  <c:v>-1012.7677318754345</c:v>
                </c:pt>
                <c:pt idx="497">
                  <c:v>-1050.5626770075278</c:v>
                </c:pt>
                <c:pt idx="498">
                  <c:v>-739.42325998843853</c:v>
                </c:pt>
                <c:pt idx="499">
                  <c:v>-1134.7169941537948</c:v>
                </c:pt>
                <c:pt idx="500">
                  <c:v>-1300.6422610174377</c:v>
                </c:pt>
                <c:pt idx="501">
                  <c:v>-963.73770774933155</c:v>
                </c:pt>
                <c:pt idx="502">
                  <c:v>-1024.7978108028196</c:v>
                </c:pt>
                <c:pt idx="503">
                  <c:v>-947.01554320979494</c:v>
                </c:pt>
                <c:pt idx="504">
                  <c:v>-1051.0417033538461</c:v>
                </c:pt>
                <c:pt idx="505">
                  <c:v>-1137.7669295598134</c:v>
                </c:pt>
                <c:pt idx="506">
                  <c:v>-1466.7989676498919</c:v>
                </c:pt>
                <c:pt idx="507">
                  <c:v>-763.88181452347817</c:v>
                </c:pt>
                <c:pt idx="508">
                  <c:v>-792.48604127111048</c:v>
                </c:pt>
                <c:pt idx="509">
                  <c:v>-588.19422543096698</c:v>
                </c:pt>
                <c:pt idx="510">
                  <c:v>-548.37523572983628</c:v>
                </c:pt>
                <c:pt idx="511">
                  <c:v>-1139.0005356905785</c:v>
                </c:pt>
                <c:pt idx="512">
                  <c:v>-598.39394465659825</c:v>
                </c:pt>
                <c:pt idx="513">
                  <c:v>-1042.9226210598149</c:v>
                </c:pt>
                <c:pt idx="514">
                  <c:v>-1073.9604086645118</c:v>
                </c:pt>
                <c:pt idx="515">
                  <c:v>-1125.9329274120701</c:v>
                </c:pt>
                <c:pt idx="516">
                  <c:v>-1024.7154344909363</c:v>
                </c:pt>
                <c:pt idx="517">
                  <c:v>-965.46672425810493</c:v>
                </c:pt>
                <c:pt idx="518">
                  <c:v>-944.23853310664254</c:v>
                </c:pt>
                <c:pt idx="519">
                  <c:v>-969.12773471552919</c:v>
                </c:pt>
                <c:pt idx="520">
                  <c:v>-833.5033946200756</c:v>
                </c:pt>
                <c:pt idx="521">
                  <c:v>-1209.4033623019532</c:v>
                </c:pt>
                <c:pt idx="522">
                  <c:v>-1140.9174270309022</c:v>
                </c:pt>
                <c:pt idx="523">
                  <c:v>-1164.7070213589925</c:v>
                </c:pt>
                <c:pt idx="524">
                  <c:v>-614.79468258115458</c:v>
                </c:pt>
                <c:pt idx="525">
                  <c:v>-745.62609942210884</c:v>
                </c:pt>
                <c:pt idx="526">
                  <c:v>-1112.4871693954833</c:v>
                </c:pt>
                <c:pt idx="527">
                  <c:v>-915.12970752090268</c:v>
                </c:pt>
                <c:pt idx="528">
                  <c:v>-736.68288807262115</c:v>
                </c:pt>
                <c:pt idx="529">
                  <c:v>-840.30445357881035</c:v>
                </c:pt>
                <c:pt idx="530">
                  <c:v>-1092.0528659252632</c:v>
                </c:pt>
                <c:pt idx="531">
                  <c:v>-1076.873434931214</c:v>
                </c:pt>
                <c:pt idx="532">
                  <c:v>-344.31906902593528</c:v>
                </c:pt>
                <c:pt idx="533">
                  <c:v>-1065.131777430852</c:v>
                </c:pt>
                <c:pt idx="534">
                  <c:v>-1535.8283406573855</c:v>
                </c:pt>
                <c:pt idx="535">
                  <c:v>-597.70157105611065</c:v>
                </c:pt>
                <c:pt idx="536">
                  <c:v>-928.85195459913757</c:v>
                </c:pt>
                <c:pt idx="537">
                  <c:v>-1206.4336660406855</c:v>
                </c:pt>
                <c:pt idx="538">
                  <c:v>-986.71228145002624</c:v>
                </c:pt>
                <c:pt idx="539">
                  <c:v>-381.13802526365089</c:v>
                </c:pt>
                <c:pt idx="540">
                  <c:v>-1539.857669367897</c:v>
                </c:pt>
                <c:pt idx="541">
                  <c:v>-994.79314015529872</c:v>
                </c:pt>
                <c:pt idx="542">
                  <c:v>-532.22840806559952</c:v>
                </c:pt>
                <c:pt idx="543">
                  <c:v>-901.79542045494236</c:v>
                </c:pt>
                <c:pt idx="544">
                  <c:v>-908.5340391294269</c:v>
                </c:pt>
                <c:pt idx="545">
                  <c:v>-1416.1893426703014</c:v>
                </c:pt>
                <c:pt idx="546">
                  <c:v>-854.76774567960069</c:v>
                </c:pt>
                <c:pt idx="547">
                  <c:v>-1174.0035942234513</c:v>
                </c:pt>
                <c:pt idx="548">
                  <c:v>-879.07208868125099</c:v>
                </c:pt>
                <c:pt idx="549">
                  <c:v>-437.17042672478146</c:v>
                </c:pt>
                <c:pt idx="550">
                  <c:v>-865.70699646871435</c:v>
                </c:pt>
                <c:pt idx="551">
                  <c:v>-671.95864480696127</c:v>
                </c:pt>
                <c:pt idx="552">
                  <c:v>-579.87346422593873</c:v>
                </c:pt>
                <c:pt idx="553">
                  <c:v>-1255.0571155264338</c:v>
                </c:pt>
                <c:pt idx="554">
                  <c:v>-493.86670314721459</c:v>
                </c:pt>
                <c:pt idx="555">
                  <c:v>-1186.8212261993294</c:v>
                </c:pt>
                <c:pt idx="556">
                  <c:v>-1073.9295804911462</c:v>
                </c:pt>
                <c:pt idx="557">
                  <c:v>-1211.7818265577325</c:v>
                </c:pt>
                <c:pt idx="558">
                  <c:v>-1021.4546139701069</c:v>
                </c:pt>
                <c:pt idx="559">
                  <c:v>-1380.6396227664295</c:v>
                </c:pt>
                <c:pt idx="560">
                  <c:v>-890.69950494178602</c:v>
                </c:pt>
                <c:pt idx="561">
                  <c:v>-926.39742312878593</c:v>
                </c:pt>
                <c:pt idx="562">
                  <c:v>-844.12915708504443</c:v>
                </c:pt>
                <c:pt idx="563">
                  <c:v>-989.83818794052513</c:v>
                </c:pt>
                <c:pt idx="564">
                  <c:v>-1067.1091113044827</c:v>
                </c:pt>
                <c:pt idx="565">
                  <c:v>-538.90500206260685</c:v>
                </c:pt>
                <c:pt idx="566">
                  <c:v>-1061.1219653677413</c:v>
                </c:pt>
                <c:pt idx="567">
                  <c:v>-427.98541408820529</c:v>
                </c:pt>
                <c:pt idx="568">
                  <c:v>-549.57921031427122</c:v>
                </c:pt>
                <c:pt idx="569">
                  <c:v>-788.96757051972099</c:v>
                </c:pt>
                <c:pt idx="570">
                  <c:v>-1246.9699171091243</c:v>
                </c:pt>
                <c:pt idx="571">
                  <c:v>-967.78013806140984</c:v>
                </c:pt>
                <c:pt idx="572">
                  <c:v>-1155.4865295572272</c:v>
                </c:pt>
                <c:pt idx="573">
                  <c:v>-1040.7174429686097</c:v>
                </c:pt>
                <c:pt idx="574">
                  <c:v>-958.73759783220885</c:v>
                </c:pt>
                <c:pt idx="575">
                  <c:v>-1048.8755608223396</c:v>
                </c:pt>
                <c:pt idx="576">
                  <c:v>-1057.1423591574048</c:v>
                </c:pt>
                <c:pt idx="577">
                  <c:v>-1165.9186066185157</c:v>
                </c:pt>
                <c:pt idx="578">
                  <c:v>-884.65921046760832</c:v>
                </c:pt>
                <c:pt idx="579">
                  <c:v>-847.1335278373831</c:v>
                </c:pt>
                <c:pt idx="580">
                  <c:v>-1007.5895374288571</c:v>
                </c:pt>
                <c:pt idx="581">
                  <c:v>-839.61650547606268</c:v>
                </c:pt>
                <c:pt idx="582">
                  <c:v>-1081.8388203583122</c:v>
                </c:pt>
                <c:pt idx="583">
                  <c:v>-1036.9715046775432</c:v>
                </c:pt>
                <c:pt idx="584">
                  <c:v>-1505.701489672841</c:v>
                </c:pt>
                <c:pt idx="585">
                  <c:v>-712.96794425434655</c:v>
                </c:pt>
                <c:pt idx="586">
                  <c:v>-1045.421596062668</c:v>
                </c:pt>
                <c:pt idx="587">
                  <c:v>-963.25681430985151</c:v>
                </c:pt>
                <c:pt idx="588">
                  <c:v>-426.11681686456018</c:v>
                </c:pt>
                <c:pt idx="589">
                  <c:v>-503.32599175535643</c:v>
                </c:pt>
                <c:pt idx="590">
                  <c:v>-1039.534181137853</c:v>
                </c:pt>
                <c:pt idx="591">
                  <c:v>-494.22148051636964</c:v>
                </c:pt>
                <c:pt idx="592">
                  <c:v>-995.8726051447461</c:v>
                </c:pt>
                <c:pt idx="593">
                  <c:v>-715.57725859615039</c:v>
                </c:pt>
                <c:pt idx="594">
                  <c:v>-852.74170720202846</c:v>
                </c:pt>
                <c:pt idx="595">
                  <c:v>-1085.4730546003693</c:v>
                </c:pt>
                <c:pt idx="596">
                  <c:v>-539.90210757694513</c:v>
                </c:pt>
                <c:pt idx="597">
                  <c:v>-1243.6668703515393</c:v>
                </c:pt>
                <c:pt idx="598">
                  <c:v>-405.53704628194146</c:v>
                </c:pt>
                <c:pt idx="599">
                  <c:v>-979.01110399278355</c:v>
                </c:pt>
                <c:pt idx="600">
                  <c:v>-878.31193351561842</c:v>
                </c:pt>
                <c:pt idx="601">
                  <c:v>-1039.9127568847348</c:v>
                </c:pt>
                <c:pt idx="602">
                  <c:v>-958.8319292582828</c:v>
                </c:pt>
                <c:pt idx="603">
                  <c:v>-1235.7717748983009</c:v>
                </c:pt>
                <c:pt idx="604">
                  <c:v>-1183.6610569467525</c:v>
                </c:pt>
                <c:pt idx="605">
                  <c:v>-999.2916881726087</c:v>
                </c:pt>
                <c:pt idx="606">
                  <c:v>-1420.1352435923141</c:v>
                </c:pt>
                <c:pt idx="607">
                  <c:v>-1155.7939556763949</c:v>
                </c:pt>
                <c:pt idx="608">
                  <c:v>-1225.8152115676999</c:v>
                </c:pt>
                <c:pt idx="609">
                  <c:v>-1163.3364896361056</c:v>
                </c:pt>
                <c:pt idx="610">
                  <c:v>-946.90574474369191</c:v>
                </c:pt>
                <c:pt idx="611">
                  <c:v>-850.75859877815901</c:v>
                </c:pt>
                <c:pt idx="612">
                  <c:v>-817.36579791510712</c:v>
                </c:pt>
                <c:pt idx="613">
                  <c:v>-990.05042572384059</c:v>
                </c:pt>
                <c:pt idx="614">
                  <c:v>-773.18403612471002</c:v>
                </c:pt>
                <c:pt idx="615">
                  <c:v>-887.2234458220928</c:v>
                </c:pt>
                <c:pt idx="616">
                  <c:v>-606.34357285081387</c:v>
                </c:pt>
                <c:pt idx="617">
                  <c:v>-1327.4329030058834</c:v>
                </c:pt>
                <c:pt idx="618">
                  <c:v>-936.8101617229554</c:v>
                </c:pt>
                <c:pt idx="619">
                  <c:v>-1167.2470018728418</c:v>
                </c:pt>
                <c:pt idx="620">
                  <c:v>-936.86667596965572</c:v>
                </c:pt>
                <c:pt idx="621">
                  <c:v>-826.04593569273084</c:v>
                </c:pt>
                <c:pt idx="622">
                  <c:v>-653.04811382110483</c:v>
                </c:pt>
                <c:pt idx="623">
                  <c:v>-812.56211812336551</c:v>
                </c:pt>
                <c:pt idx="624">
                  <c:v>-1015.7302763094417</c:v>
                </c:pt>
                <c:pt idx="625">
                  <c:v>-954.23052162096701</c:v>
                </c:pt>
                <c:pt idx="626">
                  <c:v>-1633.2551751726155</c:v>
                </c:pt>
                <c:pt idx="627">
                  <c:v>-1188.340858825291</c:v>
                </c:pt>
                <c:pt idx="628">
                  <c:v>-856.60108291551842</c:v>
                </c:pt>
                <c:pt idx="629">
                  <c:v>-660.26500661879481</c:v>
                </c:pt>
                <c:pt idx="630">
                  <c:v>-1227.530369999241</c:v>
                </c:pt>
                <c:pt idx="631">
                  <c:v>-915.47876579145486</c:v>
                </c:pt>
                <c:pt idx="632">
                  <c:v>-562.27142041651859</c:v>
                </c:pt>
                <c:pt idx="633">
                  <c:v>-1128.4709089063765</c:v>
                </c:pt>
                <c:pt idx="634">
                  <c:v>-611.99656385821118</c:v>
                </c:pt>
                <c:pt idx="635">
                  <c:v>-1141.9409803254016</c:v>
                </c:pt>
                <c:pt idx="636">
                  <c:v>-1113.7291106492135</c:v>
                </c:pt>
                <c:pt idx="637">
                  <c:v>-1387.3198877232646</c:v>
                </c:pt>
                <c:pt idx="638">
                  <c:v>-891.48748163455957</c:v>
                </c:pt>
                <c:pt idx="639">
                  <c:v>-1213.1692358271898</c:v>
                </c:pt>
                <c:pt idx="640">
                  <c:v>-1022.8834551804448</c:v>
                </c:pt>
                <c:pt idx="641">
                  <c:v>-1331.1215005095505</c:v>
                </c:pt>
                <c:pt idx="642">
                  <c:v>-553.54289463536452</c:v>
                </c:pt>
                <c:pt idx="643">
                  <c:v>-797.05429724458736</c:v>
                </c:pt>
                <c:pt idx="644">
                  <c:v>-966.33416560361184</c:v>
                </c:pt>
                <c:pt idx="645">
                  <c:v>-637.75610406473879</c:v>
                </c:pt>
                <c:pt idx="646">
                  <c:v>-941.83814230585449</c:v>
                </c:pt>
                <c:pt idx="647">
                  <c:v>-769.98832213239348</c:v>
                </c:pt>
                <c:pt idx="648">
                  <c:v>-737.18785673442062</c:v>
                </c:pt>
                <c:pt idx="649">
                  <c:v>-1371.8501532370021</c:v>
                </c:pt>
                <c:pt idx="650">
                  <c:v>-738.71900562852488</c:v>
                </c:pt>
                <c:pt idx="651">
                  <c:v>-479.71904571128721</c:v>
                </c:pt>
                <c:pt idx="652">
                  <c:v>-526.19465904441927</c:v>
                </c:pt>
                <c:pt idx="653">
                  <c:v>-818.16377941689211</c:v>
                </c:pt>
                <c:pt idx="654">
                  <c:v>-878.87948962933001</c:v>
                </c:pt>
                <c:pt idx="655">
                  <c:v>-1315.1232353976302</c:v>
                </c:pt>
                <c:pt idx="656">
                  <c:v>-1205.7052711018614</c:v>
                </c:pt>
                <c:pt idx="657">
                  <c:v>-1125.1487399842881</c:v>
                </c:pt>
                <c:pt idx="658">
                  <c:v>-785.53357424039996</c:v>
                </c:pt>
                <c:pt idx="659">
                  <c:v>-937.2344762588823</c:v>
                </c:pt>
                <c:pt idx="660">
                  <c:v>-1031.9515234889172</c:v>
                </c:pt>
                <c:pt idx="661">
                  <c:v>-989.41124416884759</c:v>
                </c:pt>
                <c:pt idx="662">
                  <c:v>-1065.1019266202088</c:v>
                </c:pt>
                <c:pt idx="663">
                  <c:v>-725.86043664457657</c:v>
                </c:pt>
                <c:pt idx="664">
                  <c:v>-1062.0745977266045</c:v>
                </c:pt>
                <c:pt idx="665">
                  <c:v>-982.46580233821373</c:v>
                </c:pt>
                <c:pt idx="666">
                  <c:v>-1068.926734876477</c:v>
                </c:pt>
                <c:pt idx="667">
                  <c:v>-1211.7427552990603</c:v>
                </c:pt>
                <c:pt idx="668">
                  <c:v>-1094.2164880077949</c:v>
                </c:pt>
                <c:pt idx="669">
                  <c:v>-1098.8789475354415</c:v>
                </c:pt>
                <c:pt idx="670">
                  <c:v>-587.48755900680453</c:v>
                </c:pt>
                <c:pt idx="671">
                  <c:v>-726.40928605792215</c:v>
                </c:pt>
                <c:pt idx="672">
                  <c:v>-922.86314214506569</c:v>
                </c:pt>
                <c:pt idx="673">
                  <c:v>-774.38673395387059</c:v>
                </c:pt>
                <c:pt idx="674">
                  <c:v>-1013.1314015626942</c:v>
                </c:pt>
                <c:pt idx="675">
                  <c:v>-914.98460242663987</c:v>
                </c:pt>
                <c:pt idx="676">
                  <c:v>-654.57761335906116</c:v>
                </c:pt>
                <c:pt idx="677">
                  <c:v>-776.2719430169991</c:v>
                </c:pt>
                <c:pt idx="678">
                  <c:v>-1028.0738461702658</c:v>
                </c:pt>
                <c:pt idx="679">
                  <c:v>-569.09797840946794</c:v>
                </c:pt>
                <c:pt idx="680">
                  <c:v>-1172.834246891033</c:v>
                </c:pt>
                <c:pt idx="681">
                  <c:v>-953.29943949946778</c:v>
                </c:pt>
                <c:pt idx="682">
                  <c:v>-431.30827813898441</c:v>
                </c:pt>
                <c:pt idx="683">
                  <c:v>-562.25089251419377</c:v>
                </c:pt>
                <c:pt idx="684">
                  <c:v>-1093.3898475090059</c:v>
                </c:pt>
                <c:pt idx="685">
                  <c:v>-743.33839205840604</c:v>
                </c:pt>
                <c:pt idx="686">
                  <c:v>-916.40511374740504</c:v>
                </c:pt>
                <c:pt idx="687">
                  <c:v>-910.31858080798156</c:v>
                </c:pt>
                <c:pt idx="688">
                  <c:v>-883.15690855698267</c:v>
                </c:pt>
                <c:pt idx="689">
                  <c:v>-982.74484002717782</c:v>
                </c:pt>
                <c:pt idx="690">
                  <c:v>-913.70664274200772</c:v>
                </c:pt>
                <c:pt idx="691">
                  <c:v>-239.80769136852746</c:v>
                </c:pt>
                <c:pt idx="692">
                  <c:v>-1314.6326292402746</c:v>
                </c:pt>
                <c:pt idx="693">
                  <c:v>-697.96889468596555</c:v>
                </c:pt>
                <c:pt idx="694">
                  <c:v>-820.33764314834639</c:v>
                </c:pt>
                <c:pt idx="695">
                  <c:v>-570.23360705060236</c:v>
                </c:pt>
                <c:pt idx="696">
                  <c:v>-1211.9041699484346</c:v>
                </c:pt>
                <c:pt idx="697">
                  <c:v>-1115.0466053469695</c:v>
                </c:pt>
                <c:pt idx="698">
                  <c:v>-862.65240886590368</c:v>
                </c:pt>
                <c:pt idx="699">
                  <c:v>-1208.0419554119953</c:v>
                </c:pt>
                <c:pt idx="700">
                  <c:v>-1028.3430642636245</c:v>
                </c:pt>
                <c:pt idx="701">
                  <c:v>-703.1638265271572</c:v>
                </c:pt>
                <c:pt idx="702">
                  <c:v>-1051.3935511036711</c:v>
                </c:pt>
                <c:pt idx="703">
                  <c:v>-659.89764152122461</c:v>
                </c:pt>
                <c:pt idx="704">
                  <c:v>-711.63884276936005</c:v>
                </c:pt>
                <c:pt idx="705">
                  <c:v>-1201.5503406899384</c:v>
                </c:pt>
                <c:pt idx="706">
                  <c:v>-1079.210463912133</c:v>
                </c:pt>
                <c:pt idx="707">
                  <c:v>-1195.9794111430788</c:v>
                </c:pt>
                <c:pt idx="708">
                  <c:v>-960.17081888686153</c:v>
                </c:pt>
                <c:pt idx="709">
                  <c:v>-1010.0792488189718</c:v>
                </c:pt>
                <c:pt idx="710">
                  <c:v>-1538.9625770359321</c:v>
                </c:pt>
                <c:pt idx="711">
                  <c:v>-1095.8464356126819</c:v>
                </c:pt>
                <c:pt idx="712">
                  <c:v>-1219.1707280027113</c:v>
                </c:pt>
                <c:pt idx="713">
                  <c:v>-845.2382722155503</c:v>
                </c:pt>
                <c:pt idx="714">
                  <c:v>-530.26531918315231</c:v>
                </c:pt>
                <c:pt idx="715">
                  <c:v>-1025.7733103092855</c:v>
                </c:pt>
                <c:pt idx="716">
                  <c:v>-662.24212478565096</c:v>
                </c:pt>
                <c:pt idx="717">
                  <c:v>-992.67686155656043</c:v>
                </c:pt>
                <c:pt idx="718">
                  <c:v>-646.65186292984663</c:v>
                </c:pt>
                <c:pt idx="719">
                  <c:v>-1219.1641702626875</c:v>
                </c:pt>
                <c:pt idx="720">
                  <c:v>-557.36808697777224</c:v>
                </c:pt>
                <c:pt idx="721">
                  <c:v>-1045.1369438565853</c:v>
                </c:pt>
                <c:pt idx="722">
                  <c:v>-933.52555132939597</c:v>
                </c:pt>
                <c:pt idx="723">
                  <c:v>-874.79643074223873</c:v>
                </c:pt>
                <c:pt idx="724">
                  <c:v>-1259.5750274713482</c:v>
                </c:pt>
                <c:pt idx="725">
                  <c:v>-1091.6220148385296</c:v>
                </c:pt>
                <c:pt idx="726">
                  <c:v>-1208.2347085840029</c:v>
                </c:pt>
                <c:pt idx="727">
                  <c:v>-964.01849456431137</c:v>
                </c:pt>
                <c:pt idx="728">
                  <c:v>-1075.6031029355022</c:v>
                </c:pt>
                <c:pt idx="729">
                  <c:v>-1101.2238495213041</c:v>
                </c:pt>
                <c:pt idx="730">
                  <c:v>-1031.6088210941307</c:v>
                </c:pt>
                <c:pt idx="731">
                  <c:v>-760.2334879760374</c:v>
                </c:pt>
                <c:pt idx="732">
                  <c:v>-1288.9540380264202</c:v>
                </c:pt>
                <c:pt idx="733">
                  <c:v>-1278.6123437582332</c:v>
                </c:pt>
                <c:pt idx="734">
                  <c:v>-369.67979855559975</c:v>
                </c:pt>
                <c:pt idx="735">
                  <c:v>-675.43995103177258</c:v>
                </c:pt>
                <c:pt idx="736">
                  <c:v>-1482.0602152717265</c:v>
                </c:pt>
                <c:pt idx="737">
                  <c:v>-859.93341991212037</c:v>
                </c:pt>
                <c:pt idx="738">
                  <c:v>-617.96871165244102</c:v>
                </c:pt>
                <c:pt idx="739">
                  <c:v>-1022.6843736463447</c:v>
                </c:pt>
                <c:pt idx="740">
                  <c:v>-895.3080175966461</c:v>
                </c:pt>
                <c:pt idx="741">
                  <c:v>-1145.7940990260972</c:v>
                </c:pt>
                <c:pt idx="742">
                  <c:v>-1111.08211332881</c:v>
                </c:pt>
                <c:pt idx="743">
                  <c:v>-881.83540157473658</c:v>
                </c:pt>
                <c:pt idx="744">
                  <c:v>-773.11930749923204</c:v>
                </c:pt>
                <c:pt idx="745">
                  <c:v>-929.072252993446</c:v>
                </c:pt>
                <c:pt idx="746">
                  <c:v>-989.59948595351534</c:v>
                </c:pt>
                <c:pt idx="747">
                  <c:v>-1120.3472949602628</c:v>
                </c:pt>
                <c:pt idx="748">
                  <c:v>-888.21001881541997</c:v>
                </c:pt>
                <c:pt idx="749">
                  <c:v>-649.6394280446807</c:v>
                </c:pt>
                <c:pt idx="750">
                  <c:v>-1002.5487225694064</c:v>
                </c:pt>
                <c:pt idx="751">
                  <c:v>-955.95655914426516</c:v>
                </c:pt>
                <c:pt idx="752">
                  <c:v>-494.9553204693093</c:v>
                </c:pt>
                <c:pt idx="753">
                  <c:v>-482.21622839486145</c:v>
                </c:pt>
                <c:pt idx="754">
                  <c:v>-661.35149884198586</c:v>
                </c:pt>
                <c:pt idx="755">
                  <c:v>-969.48407277084334</c:v>
                </c:pt>
                <c:pt idx="756">
                  <c:v>-953.62255935191479</c:v>
                </c:pt>
                <c:pt idx="757">
                  <c:v>-613.11943881764864</c:v>
                </c:pt>
                <c:pt idx="758">
                  <c:v>-1532.8822390027576</c:v>
                </c:pt>
                <c:pt idx="759">
                  <c:v>-599.82419295150794</c:v>
                </c:pt>
                <c:pt idx="760">
                  <c:v>-989.53284019956936</c:v>
                </c:pt>
                <c:pt idx="761">
                  <c:v>-772.68065352938629</c:v>
                </c:pt>
                <c:pt idx="762">
                  <c:v>-936.45854841251094</c:v>
                </c:pt>
                <c:pt idx="763">
                  <c:v>-942.71097001959561</c:v>
                </c:pt>
                <c:pt idx="764">
                  <c:v>-1283.568543502384</c:v>
                </c:pt>
                <c:pt idx="765">
                  <c:v>-573.62569068902758</c:v>
                </c:pt>
                <c:pt idx="766">
                  <c:v>-1320.0643456592525</c:v>
                </c:pt>
                <c:pt idx="767">
                  <c:v>-1450.8959848733389</c:v>
                </c:pt>
                <c:pt idx="768">
                  <c:v>-1203.8346710123874</c:v>
                </c:pt>
                <c:pt idx="769">
                  <c:v>-919.62524407686851</c:v>
                </c:pt>
                <c:pt idx="770">
                  <c:v>-981.20408576952423</c:v>
                </c:pt>
                <c:pt idx="771">
                  <c:v>-657.86038248771774</c:v>
                </c:pt>
                <c:pt idx="772">
                  <c:v>-1702.2657554440329</c:v>
                </c:pt>
                <c:pt idx="773">
                  <c:v>-1310.7933489756074</c:v>
                </c:pt>
                <c:pt idx="774">
                  <c:v>-902.68138084393468</c:v>
                </c:pt>
                <c:pt idx="775">
                  <c:v>-933.60741585540927</c:v>
                </c:pt>
                <c:pt idx="776">
                  <c:v>-1136.7484076848664</c:v>
                </c:pt>
                <c:pt idx="777">
                  <c:v>-550.09511407925038</c:v>
                </c:pt>
                <c:pt idx="778">
                  <c:v>-684.51118207762784</c:v>
                </c:pt>
                <c:pt idx="779">
                  <c:v>-692.63403906952499</c:v>
                </c:pt>
                <c:pt idx="780">
                  <c:v>-806.03855456141582</c:v>
                </c:pt>
                <c:pt idx="781">
                  <c:v>-892.05548094185451</c:v>
                </c:pt>
                <c:pt idx="782">
                  <c:v>-824.29849094795554</c:v>
                </c:pt>
                <c:pt idx="783">
                  <c:v>-1102.226451308899</c:v>
                </c:pt>
                <c:pt idx="784">
                  <c:v>-807.17119464582356</c:v>
                </c:pt>
                <c:pt idx="785">
                  <c:v>-1362.2522527775095</c:v>
                </c:pt>
                <c:pt idx="786">
                  <c:v>-904.60676188062575</c:v>
                </c:pt>
                <c:pt idx="787">
                  <c:v>-697.02702053040775</c:v>
                </c:pt>
                <c:pt idx="788">
                  <c:v>-893.39405729149235</c:v>
                </c:pt>
                <c:pt idx="789">
                  <c:v>-988.45774241555728</c:v>
                </c:pt>
                <c:pt idx="790">
                  <c:v>-472.5972636302713</c:v>
                </c:pt>
                <c:pt idx="791">
                  <c:v>-720.75784502226361</c:v>
                </c:pt>
                <c:pt idx="792">
                  <c:v>-729.72684242203468</c:v>
                </c:pt>
                <c:pt idx="793">
                  <c:v>-713.86867036895501</c:v>
                </c:pt>
                <c:pt idx="794">
                  <c:v>-634.20572873487208</c:v>
                </c:pt>
                <c:pt idx="795">
                  <c:v>-1275.3066960682966</c:v>
                </c:pt>
                <c:pt idx="796">
                  <c:v>-1029.1895415880583</c:v>
                </c:pt>
                <c:pt idx="797">
                  <c:v>-1069.6527628300942</c:v>
                </c:pt>
                <c:pt idx="798">
                  <c:v>-596.38727292087879</c:v>
                </c:pt>
                <c:pt idx="799">
                  <c:v>-1357.2867808964743</c:v>
                </c:pt>
                <c:pt idx="800">
                  <c:v>-1100.2082022054287</c:v>
                </c:pt>
                <c:pt idx="801">
                  <c:v>-1111.2583985161914</c:v>
                </c:pt>
                <c:pt idx="802">
                  <c:v>-1463.4416808361423</c:v>
                </c:pt>
                <c:pt idx="803">
                  <c:v>-1348.9632518273693</c:v>
                </c:pt>
                <c:pt idx="804">
                  <c:v>-951.60973722085691</c:v>
                </c:pt>
                <c:pt idx="805">
                  <c:v>-953.82807458541333</c:v>
                </c:pt>
                <c:pt idx="806">
                  <c:v>-622.27622492687533</c:v>
                </c:pt>
                <c:pt idx="807">
                  <c:v>-841.84028076123877</c:v>
                </c:pt>
                <c:pt idx="808">
                  <c:v>-1284.44724090817</c:v>
                </c:pt>
                <c:pt idx="809">
                  <c:v>-976.89231787046219</c:v>
                </c:pt>
                <c:pt idx="810">
                  <c:v>-1133.3229752926613</c:v>
                </c:pt>
                <c:pt idx="811">
                  <c:v>-556.15208203798602</c:v>
                </c:pt>
                <c:pt idx="812">
                  <c:v>-883.52536321995558</c:v>
                </c:pt>
                <c:pt idx="813">
                  <c:v>-1043.5687853738823</c:v>
                </c:pt>
                <c:pt idx="814">
                  <c:v>-958.70616515642632</c:v>
                </c:pt>
                <c:pt idx="815">
                  <c:v>-1163.5084004777987</c:v>
                </c:pt>
                <c:pt idx="816">
                  <c:v>-1109.7471408149936</c:v>
                </c:pt>
                <c:pt idx="817">
                  <c:v>-939.14742241027307</c:v>
                </c:pt>
                <c:pt idx="818">
                  <c:v>-639.70637059110322</c:v>
                </c:pt>
                <c:pt idx="819">
                  <c:v>-838.63793050247932</c:v>
                </c:pt>
                <c:pt idx="820">
                  <c:v>-1063.404588661705</c:v>
                </c:pt>
                <c:pt idx="821">
                  <c:v>-852.17369560217821</c:v>
                </c:pt>
                <c:pt idx="822">
                  <c:v>-897.60250930430129</c:v>
                </c:pt>
                <c:pt idx="823">
                  <c:v>-1082.2534244876392</c:v>
                </c:pt>
                <c:pt idx="824">
                  <c:v>-775.13554497307837</c:v>
                </c:pt>
                <c:pt idx="825">
                  <c:v>-1019.818260009999</c:v>
                </c:pt>
                <c:pt idx="826">
                  <c:v>-853.39913434650612</c:v>
                </c:pt>
                <c:pt idx="827">
                  <c:v>-1040.5718882959004</c:v>
                </c:pt>
                <c:pt idx="828">
                  <c:v>-782.66143773737122</c:v>
                </c:pt>
                <c:pt idx="829">
                  <c:v>-532.60789445787987</c:v>
                </c:pt>
                <c:pt idx="830">
                  <c:v>-807.79656563543699</c:v>
                </c:pt>
                <c:pt idx="831">
                  <c:v>-1194.9864826174967</c:v>
                </c:pt>
                <c:pt idx="832">
                  <c:v>-920.78206677658773</c:v>
                </c:pt>
                <c:pt idx="833">
                  <c:v>-821.21788828175613</c:v>
                </c:pt>
                <c:pt idx="834">
                  <c:v>-784.01510394714296</c:v>
                </c:pt>
                <c:pt idx="835">
                  <c:v>-1130.8195060085031</c:v>
                </c:pt>
                <c:pt idx="836">
                  <c:v>-810.64208618654629</c:v>
                </c:pt>
                <c:pt idx="837">
                  <c:v>-1114.7927415608929</c:v>
                </c:pt>
                <c:pt idx="838">
                  <c:v>-677.52027080837024</c:v>
                </c:pt>
                <c:pt idx="839">
                  <c:v>-999.19181001123115</c:v>
                </c:pt>
                <c:pt idx="840">
                  <c:v>-1014.4417850657442</c:v>
                </c:pt>
                <c:pt idx="841">
                  <c:v>-934.92343570048206</c:v>
                </c:pt>
                <c:pt idx="842">
                  <c:v>-1262.7874937456863</c:v>
                </c:pt>
                <c:pt idx="843">
                  <c:v>-1161.2731603674565</c:v>
                </c:pt>
                <c:pt idx="844">
                  <c:v>-673.16830639829368</c:v>
                </c:pt>
                <c:pt idx="845">
                  <c:v>-951.88758350303442</c:v>
                </c:pt>
                <c:pt idx="846">
                  <c:v>-953.07309149359799</c:v>
                </c:pt>
                <c:pt idx="847">
                  <c:v>-612.17792158487237</c:v>
                </c:pt>
                <c:pt idx="848">
                  <c:v>-1098.4427166164978</c:v>
                </c:pt>
                <c:pt idx="849">
                  <c:v>-1064.1442157584547</c:v>
                </c:pt>
                <c:pt idx="850">
                  <c:v>-567.49104351077403</c:v>
                </c:pt>
                <c:pt idx="851">
                  <c:v>-667.80587219704648</c:v>
                </c:pt>
                <c:pt idx="852">
                  <c:v>-984.39977713410099</c:v>
                </c:pt>
                <c:pt idx="853">
                  <c:v>-764.77207673847533</c:v>
                </c:pt>
                <c:pt idx="854">
                  <c:v>-1046.0793264057465</c:v>
                </c:pt>
                <c:pt idx="855">
                  <c:v>-723.58879671962677</c:v>
                </c:pt>
                <c:pt idx="856">
                  <c:v>-1294.517562215176</c:v>
                </c:pt>
                <c:pt idx="857">
                  <c:v>-704.54045821663203</c:v>
                </c:pt>
                <c:pt idx="858">
                  <c:v>-958.62093421660302</c:v>
                </c:pt>
                <c:pt idx="859">
                  <c:v>-1245.4306280149749</c:v>
                </c:pt>
                <c:pt idx="860">
                  <c:v>-799.63597010199419</c:v>
                </c:pt>
                <c:pt idx="861">
                  <c:v>-1087.7830868780425</c:v>
                </c:pt>
                <c:pt idx="862">
                  <c:v>-940.39589885774785</c:v>
                </c:pt>
                <c:pt idx="863">
                  <c:v>-495.50247455824956</c:v>
                </c:pt>
                <c:pt idx="864">
                  <c:v>-785.06305549369335</c:v>
                </c:pt>
                <c:pt idx="865">
                  <c:v>-1176.2668946397546</c:v>
                </c:pt>
                <c:pt idx="866">
                  <c:v>-929.41909998127312</c:v>
                </c:pt>
                <c:pt idx="867">
                  <c:v>-1009.0877621084037</c:v>
                </c:pt>
                <c:pt idx="868">
                  <c:v>-1299.9470159418311</c:v>
                </c:pt>
                <c:pt idx="869">
                  <c:v>-920.46497092647201</c:v>
                </c:pt>
                <c:pt idx="870">
                  <c:v>-844.21808520617651</c:v>
                </c:pt>
                <c:pt idx="871">
                  <c:v>-983.15648977785895</c:v>
                </c:pt>
                <c:pt idx="872">
                  <c:v>-781.90942349426177</c:v>
                </c:pt>
                <c:pt idx="873">
                  <c:v>-871.50529336825093</c:v>
                </c:pt>
                <c:pt idx="874">
                  <c:v>-605.92978956417483</c:v>
                </c:pt>
                <c:pt idx="875">
                  <c:v>-763.93576355568575</c:v>
                </c:pt>
                <c:pt idx="876">
                  <c:v>-1248.0209684677366</c:v>
                </c:pt>
                <c:pt idx="877">
                  <c:v>-952.09318207859042</c:v>
                </c:pt>
                <c:pt idx="878">
                  <c:v>-1163.2360838527416</c:v>
                </c:pt>
                <c:pt idx="879">
                  <c:v>-1114.9417033850527</c:v>
                </c:pt>
                <c:pt idx="880">
                  <c:v>-969.64941435019</c:v>
                </c:pt>
                <c:pt idx="881">
                  <c:v>-1221.5034093123991</c:v>
                </c:pt>
                <c:pt idx="882">
                  <c:v>-1035.0863519401723</c:v>
                </c:pt>
                <c:pt idx="883">
                  <c:v>-859.18291623603136</c:v>
                </c:pt>
                <c:pt idx="884">
                  <c:v>-1119.1306546701271</c:v>
                </c:pt>
                <c:pt idx="885">
                  <c:v>-898.39605189031681</c:v>
                </c:pt>
                <c:pt idx="886">
                  <c:v>-1159.4739369856411</c:v>
                </c:pt>
                <c:pt idx="887">
                  <c:v>-993.82777676439082</c:v>
                </c:pt>
                <c:pt idx="888">
                  <c:v>-1077.7359354581467</c:v>
                </c:pt>
                <c:pt idx="889">
                  <c:v>-953.78263779622603</c:v>
                </c:pt>
                <c:pt idx="890">
                  <c:v>-1474.3944545334871</c:v>
                </c:pt>
                <c:pt idx="891">
                  <c:v>-913.30290236575365</c:v>
                </c:pt>
                <c:pt idx="892">
                  <c:v>-916.82890336306218</c:v>
                </c:pt>
                <c:pt idx="893">
                  <c:v>-1258.6797986857118</c:v>
                </c:pt>
                <c:pt idx="894">
                  <c:v>-330.26080511802638</c:v>
                </c:pt>
                <c:pt idx="895">
                  <c:v>-1260.4267201400048</c:v>
                </c:pt>
                <c:pt idx="896">
                  <c:v>-1053.8093256682484</c:v>
                </c:pt>
                <c:pt idx="897">
                  <c:v>-995.81322044714079</c:v>
                </c:pt>
                <c:pt idx="898">
                  <c:v>-918.61321821971387</c:v>
                </c:pt>
                <c:pt idx="899">
                  <c:v>-476.20337427933191</c:v>
                </c:pt>
                <c:pt idx="900">
                  <c:v>-558.98799953621892</c:v>
                </c:pt>
                <c:pt idx="901">
                  <c:v>-1140.7451765237802</c:v>
                </c:pt>
                <c:pt idx="902">
                  <c:v>-1074.1949858850458</c:v>
                </c:pt>
                <c:pt idx="903">
                  <c:v>-1334.8646701218645</c:v>
                </c:pt>
                <c:pt idx="904">
                  <c:v>-1205.5971623540518</c:v>
                </c:pt>
                <c:pt idx="905">
                  <c:v>-1096.6304828144384</c:v>
                </c:pt>
                <c:pt idx="906">
                  <c:v>-1492.4888545942049</c:v>
                </c:pt>
                <c:pt idx="907">
                  <c:v>-732.41865712254003</c:v>
                </c:pt>
                <c:pt idx="908">
                  <c:v>-616.68770433860186</c:v>
                </c:pt>
                <c:pt idx="909">
                  <c:v>-1151.8826950991524</c:v>
                </c:pt>
                <c:pt idx="910">
                  <c:v>-723.0928758621817</c:v>
                </c:pt>
                <c:pt idx="911">
                  <c:v>-1199.3086033199443</c:v>
                </c:pt>
                <c:pt idx="912">
                  <c:v>-912.26445596404483</c:v>
                </c:pt>
                <c:pt idx="913">
                  <c:v>-892.86489502402765</c:v>
                </c:pt>
                <c:pt idx="914">
                  <c:v>-1270.100981482778</c:v>
                </c:pt>
                <c:pt idx="915">
                  <c:v>-1320.834615380194</c:v>
                </c:pt>
                <c:pt idx="916">
                  <c:v>-880.16198208426431</c:v>
                </c:pt>
                <c:pt idx="917">
                  <c:v>-1080.0968549881627</c:v>
                </c:pt>
                <c:pt idx="918">
                  <c:v>-1098.6911527960892</c:v>
                </c:pt>
                <c:pt idx="919">
                  <c:v>-352.5040560855532</c:v>
                </c:pt>
                <c:pt idx="920">
                  <c:v>-1030.5018107530241</c:v>
                </c:pt>
                <c:pt idx="921">
                  <c:v>-695.98305059935842</c:v>
                </c:pt>
                <c:pt idx="922">
                  <c:v>-1011.3709523441044</c:v>
                </c:pt>
                <c:pt idx="923">
                  <c:v>-1196.7227513296039</c:v>
                </c:pt>
                <c:pt idx="924">
                  <c:v>-1456.2396055653085</c:v>
                </c:pt>
                <c:pt idx="925">
                  <c:v>-817.01699406775242</c:v>
                </c:pt>
                <c:pt idx="926">
                  <c:v>-1270.8554795797913</c:v>
                </c:pt>
                <c:pt idx="927">
                  <c:v>-1026.2738870324702</c:v>
                </c:pt>
                <c:pt idx="928">
                  <c:v>-944.31183245783313</c:v>
                </c:pt>
                <c:pt idx="929">
                  <c:v>-1292.0703616231776</c:v>
                </c:pt>
                <c:pt idx="930">
                  <c:v>-1142.0083430942577</c:v>
                </c:pt>
                <c:pt idx="931">
                  <c:v>-987.24553045043285</c:v>
                </c:pt>
                <c:pt idx="932">
                  <c:v>-574.21175873068887</c:v>
                </c:pt>
                <c:pt idx="933">
                  <c:v>-934.81344112656643</c:v>
                </c:pt>
                <c:pt idx="934">
                  <c:v>-845.45140390830829</c:v>
                </c:pt>
                <c:pt idx="935">
                  <c:v>-749.24375318991588</c:v>
                </c:pt>
                <c:pt idx="936">
                  <c:v>-799.52746834892378</c:v>
                </c:pt>
                <c:pt idx="937">
                  <c:v>-825.27943712777505</c:v>
                </c:pt>
                <c:pt idx="938">
                  <c:v>-807.71965829953115</c:v>
                </c:pt>
                <c:pt idx="939">
                  <c:v>-929.49081559358865</c:v>
                </c:pt>
                <c:pt idx="940">
                  <c:v>-770.48535102315054</c:v>
                </c:pt>
                <c:pt idx="941">
                  <c:v>-1032.4337974554728</c:v>
                </c:pt>
                <c:pt idx="942">
                  <c:v>-1035.2871075889859</c:v>
                </c:pt>
                <c:pt idx="943">
                  <c:v>-958.71582980976791</c:v>
                </c:pt>
                <c:pt idx="944">
                  <c:v>-764.00706795071846</c:v>
                </c:pt>
                <c:pt idx="945">
                  <c:v>-1029.4983444936202</c:v>
                </c:pt>
                <c:pt idx="946">
                  <c:v>-832.59766721289861</c:v>
                </c:pt>
                <c:pt idx="947">
                  <c:v>-1083.7538998067885</c:v>
                </c:pt>
                <c:pt idx="948">
                  <c:v>-449.84813511522225</c:v>
                </c:pt>
                <c:pt idx="949">
                  <c:v>-776.92706348481215</c:v>
                </c:pt>
                <c:pt idx="950">
                  <c:v>-946.02018439203539</c:v>
                </c:pt>
                <c:pt idx="951">
                  <c:v>-1841.5561932561818</c:v>
                </c:pt>
                <c:pt idx="952">
                  <c:v>-782.61517570868045</c:v>
                </c:pt>
                <c:pt idx="953">
                  <c:v>-658.12843868477103</c:v>
                </c:pt>
                <c:pt idx="954">
                  <c:v>-1044.5633768575403</c:v>
                </c:pt>
                <c:pt idx="955">
                  <c:v>-1093.3063784895144</c:v>
                </c:pt>
                <c:pt idx="956">
                  <c:v>-697.1126925996</c:v>
                </c:pt>
                <c:pt idx="957">
                  <c:v>-961.44195835068922</c:v>
                </c:pt>
                <c:pt idx="958">
                  <c:v>-731.12484519910163</c:v>
                </c:pt>
                <c:pt idx="959">
                  <c:v>-816.89851833873172</c:v>
                </c:pt>
                <c:pt idx="960">
                  <c:v>-864.01017109869781</c:v>
                </c:pt>
                <c:pt idx="961">
                  <c:v>-712.24303008496827</c:v>
                </c:pt>
                <c:pt idx="962">
                  <c:v>-830.36152128246977</c:v>
                </c:pt>
                <c:pt idx="963">
                  <c:v>-838.65660380287636</c:v>
                </c:pt>
                <c:pt idx="964">
                  <c:v>-1045.1296298699917</c:v>
                </c:pt>
                <c:pt idx="965">
                  <c:v>-1009.5889019647045</c:v>
                </c:pt>
                <c:pt idx="966">
                  <c:v>-1141.4063829390946</c:v>
                </c:pt>
                <c:pt idx="967">
                  <c:v>-963.7704566310772</c:v>
                </c:pt>
                <c:pt idx="968">
                  <c:v>-868.75963026582644</c:v>
                </c:pt>
                <c:pt idx="969">
                  <c:v>-1412.4049784510273</c:v>
                </c:pt>
                <c:pt idx="970">
                  <c:v>-773.72416208510867</c:v>
                </c:pt>
                <c:pt idx="971">
                  <c:v>-1323.1075764638281</c:v>
                </c:pt>
                <c:pt idx="972">
                  <c:v>-401.26118496101253</c:v>
                </c:pt>
                <c:pt idx="973">
                  <c:v>-612.13639327901774</c:v>
                </c:pt>
                <c:pt idx="974">
                  <c:v>-830.70730948434812</c:v>
                </c:pt>
                <c:pt idx="975">
                  <c:v>-1163.5701920846432</c:v>
                </c:pt>
                <c:pt idx="976">
                  <c:v>-781.75886293864869</c:v>
                </c:pt>
                <c:pt idx="977">
                  <c:v>-1655.2164400011029</c:v>
                </c:pt>
                <c:pt idx="978">
                  <c:v>-1408.0963808903862</c:v>
                </c:pt>
                <c:pt idx="979">
                  <c:v>-745.69586369717877</c:v>
                </c:pt>
                <c:pt idx="980">
                  <c:v>-1284.2474060200457</c:v>
                </c:pt>
                <c:pt idx="981">
                  <c:v>-1636.7706529646757</c:v>
                </c:pt>
                <c:pt idx="982">
                  <c:v>-350.41591246049393</c:v>
                </c:pt>
                <c:pt idx="983">
                  <c:v>-854.02341785270119</c:v>
                </c:pt>
                <c:pt idx="984">
                  <c:v>-781.92327675427441</c:v>
                </c:pt>
                <c:pt idx="985">
                  <c:v>-1264.1047846813794</c:v>
                </c:pt>
                <c:pt idx="986">
                  <c:v>-1494.410987284547</c:v>
                </c:pt>
                <c:pt idx="987">
                  <c:v>-1128.9583924263907</c:v>
                </c:pt>
                <c:pt idx="988">
                  <c:v>-1238.9101188612176</c:v>
                </c:pt>
                <c:pt idx="989">
                  <c:v>-1157.6929824400245</c:v>
                </c:pt>
                <c:pt idx="990">
                  <c:v>-905.45677543356351</c:v>
                </c:pt>
                <c:pt idx="991">
                  <c:v>-684.1685710201109</c:v>
                </c:pt>
                <c:pt idx="992">
                  <c:v>-1016.7461358435294</c:v>
                </c:pt>
                <c:pt idx="993">
                  <c:v>-659.11679565387431</c:v>
                </c:pt>
                <c:pt idx="994">
                  <c:v>-1125.0349694908246</c:v>
                </c:pt>
                <c:pt idx="995">
                  <c:v>-1204.9635159709192</c:v>
                </c:pt>
                <c:pt idx="996">
                  <c:v>-1552.8578215190823</c:v>
                </c:pt>
                <c:pt idx="997">
                  <c:v>-1233.8401345442398</c:v>
                </c:pt>
                <c:pt idx="998">
                  <c:v>-872.07074206791231</c:v>
                </c:pt>
                <c:pt idx="999">
                  <c:v>-821.48032583710756</c:v>
                </c:pt>
              </c:numCache>
            </c:numRef>
          </c:yVal>
          <c:smooth val="0"/>
          <c:extLst>
            <c:ext xmlns:c16="http://schemas.microsoft.com/office/drawing/2014/chart" uri="{C3380CC4-5D6E-409C-BE32-E72D297353CC}">
              <c16:uniqueId val="{00000006-46EA-48D7-8109-19533355BB6D}"/>
            </c:ext>
          </c:extLst>
        </c:ser>
        <c:ser>
          <c:idx val="0"/>
          <c:order val="2"/>
          <c:tx>
            <c:v>Tomossíntese versus Mamografia</c:v>
          </c:tx>
          <c:spPr>
            <a:ln w="25400" cap="rnd">
              <a:noFill/>
              <a:round/>
            </a:ln>
            <a:effectLst/>
          </c:spPr>
          <c:marker>
            <c:symbol val="circle"/>
            <c:size val="8"/>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a:solidFill>
                  <a:srgbClr val="0070C0"/>
                </a:solidFill>
                <a:round/>
              </a:ln>
              <a:effectLst/>
            </c:spPr>
          </c:marker>
          <c:xVal>
            <c:numRef>
              <c:f>CEASimulation!$H$11:$H$1010</c:f>
              <c:numCache>
                <c:formatCode>0</c:formatCode>
                <c:ptCount val="1000"/>
                <c:pt idx="0">
                  <c:v>5.9980369602212651</c:v>
                </c:pt>
                <c:pt idx="1">
                  <c:v>4.6709402228269745</c:v>
                </c:pt>
                <c:pt idx="2">
                  <c:v>5.7279997855254319</c:v>
                </c:pt>
                <c:pt idx="3">
                  <c:v>5.6119407773836105</c:v>
                </c:pt>
                <c:pt idx="4">
                  <c:v>5.3457611594472016</c:v>
                </c:pt>
                <c:pt idx="5">
                  <c:v>5.4980969482635036</c:v>
                </c:pt>
                <c:pt idx="6">
                  <c:v>5.336086459895931</c:v>
                </c:pt>
                <c:pt idx="7">
                  <c:v>4.392859554661884</c:v>
                </c:pt>
                <c:pt idx="8">
                  <c:v>5.9242415422951051</c:v>
                </c:pt>
                <c:pt idx="9">
                  <c:v>4.8796924398829606</c:v>
                </c:pt>
                <c:pt idx="10">
                  <c:v>5.8632337453424626</c:v>
                </c:pt>
                <c:pt idx="11">
                  <c:v>4.8160443561379758</c:v>
                </c:pt>
                <c:pt idx="12">
                  <c:v>4.9769816425701112</c:v>
                </c:pt>
                <c:pt idx="13">
                  <c:v>4.8821626162341705</c:v>
                </c:pt>
                <c:pt idx="14">
                  <c:v>5.281760868677674</c:v>
                </c:pt>
                <c:pt idx="15">
                  <c:v>3.8917189059482968</c:v>
                </c:pt>
                <c:pt idx="16">
                  <c:v>4.8733033526776559</c:v>
                </c:pt>
                <c:pt idx="17">
                  <c:v>4.4619966080699083</c:v>
                </c:pt>
                <c:pt idx="18">
                  <c:v>5.151091909208688</c:v>
                </c:pt>
                <c:pt idx="19">
                  <c:v>6.461120978482926</c:v>
                </c:pt>
                <c:pt idx="20">
                  <c:v>6.4336636995010483</c:v>
                </c:pt>
                <c:pt idx="21">
                  <c:v>4.56516569807442</c:v>
                </c:pt>
                <c:pt idx="22">
                  <c:v>5.6735917388606101</c:v>
                </c:pt>
                <c:pt idx="23">
                  <c:v>5.5478304976289756</c:v>
                </c:pt>
                <c:pt idx="24">
                  <c:v>4.0134438258140825</c:v>
                </c:pt>
                <c:pt idx="25">
                  <c:v>5.5786819865165107</c:v>
                </c:pt>
                <c:pt idx="26">
                  <c:v>4.8272642661917793</c:v>
                </c:pt>
                <c:pt idx="27">
                  <c:v>4.5267988258257379</c:v>
                </c:pt>
                <c:pt idx="28">
                  <c:v>4.0591296057891721</c:v>
                </c:pt>
                <c:pt idx="29">
                  <c:v>5.0930586331954721</c:v>
                </c:pt>
                <c:pt idx="30">
                  <c:v>5.0542204080948387</c:v>
                </c:pt>
                <c:pt idx="31">
                  <c:v>4.0490884940453409</c:v>
                </c:pt>
                <c:pt idx="32">
                  <c:v>5.8539721269277738</c:v>
                </c:pt>
                <c:pt idx="33">
                  <c:v>5.5277956224805109</c:v>
                </c:pt>
                <c:pt idx="34">
                  <c:v>6.7227172277519358</c:v>
                </c:pt>
                <c:pt idx="35">
                  <c:v>4.8475971361353665</c:v>
                </c:pt>
                <c:pt idx="36">
                  <c:v>4.5755457993680615</c:v>
                </c:pt>
                <c:pt idx="37">
                  <c:v>5.4117741657758067</c:v>
                </c:pt>
                <c:pt idx="38">
                  <c:v>5.3523371411084923</c:v>
                </c:pt>
                <c:pt idx="39">
                  <c:v>4.6715761111380303</c:v>
                </c:pt>
                <c:pt idx="40">
                  <c:v>4.8191814422515673</c:v>
                </c:pt>
                <c:pt idx="41">
                  <c:v>5.2917590575507774</c:v>
                </c:pt>
                <c:pt idx="42">
                  <c:v>5.1128737111786986</c:v>
                </c:pt>
                <c:pt idx="43">
                  <c:v>5.0112259044438741</c:v>
                </c:pt>
                <c:pt idx="44">
                  <c:v>4.3543272605561629</c:v>
                </c:pt>
                <c:pt idx="45">
                  <c:v>5.943782631833038</c:v>
                </c:pt>
                <c:pt idx="46">
                  <c:v>4.2337515313128478</c:v>
                </c:pt>
                <c:pt idx="47">
                  <c:v>5.6610872091517397</c:v>
                </c:pt>
                <c:pt idx="48">
                  <c:v>5.4753886283815838</c:v>
                </c:pt>
                <c:pt idx="49">
                  <c:v>5.9595450378684198</c:v>
                </c:pt>
                <c:pt idx="50">
                  <c:v>4.5302946593277866</c:v>
                </c:pt>
                <c:pt idx="51">
                  <c:v>5.4793741875943418</c:v>
                </c:pt>
                <c:pt idx="52">
                  <c:v>5.4232025865892535</c:v>
                </c:pt>
                <c:pt idx="53">
                  <c:v>5.4552460913493341</c:v>
                </c:pt>
                <c:pt idx="54">
                  <c:v>5.1471090653473404</c:v>
                </c:pt>
                <c:pt idx="55">
                  <c:v>4.7678112836979913</c:v>
                </c:pt>
                <c:pt idx="56">
                  <c:v>5.2897593126338815</c:v>
                </c:pt>
                <c:pt idx="57">
                  <c:v>5.7021547088936124</c:v>
                </c:pt>
                <c:pt idx="58">
                  <c:v>5.0956049333900868</c:v>
                </c:pt>
                <c:pt idx="59">
                  <c:v>4.2327989792392131</c:v>
                </c:pt>
                <c:pt idx="60">
                  <c:v>5.5440863410398649</c:v>
                </c:pt>
                <c:pt idx="61">
                  <c:v>3.5015301806871726</c:v>
                </c:pt>
                <c:pt idx="62">
                  <c:v>4.8334419065982619</c:v>
                </c:pt>
                <c:pt idx="63">
                  <c:v>5.5026956931389783</c:v>
                </c:pt>
                <c:pt idx="64">
                  <c:v>4.8378369392893372</c:v>
                </c:pt>
                <c:pt idx="65">
                  <c:v>5.8803557534930562</c:v>
                </c:pt>
                <c:pt idx="66">
                  <c:v>4.5516652748002269</c:v>
                </c:pt>
                <c:pt idx="67">
                  <c:v>5.193209171731489</c:v>
                </c:pt>
                <c:pt idx="68">
                  <c:v>4.4801647632193742</c:v>
                </c:pt>
                <c:pt idx="69">
                  <c:v>4.3830488496795361</c:v>
                </c:pt>
                <c:pt idx="70">
                  <c:v>5.3991481577340075</c:v>
                </c:pt>
                <c:pt idx="71">
                  <c:v>5.2332344113884943</c:v>
                </c:pt>
                <c:pt idx="72">
                  <c:v>4.9605506973899054</c:v>
                </c:pt>
                <c:pt idx="73">
                  <c:v>5.9003039107592254</c:v>
                </c:pt>
                <c:pt idx="74">
                  <c:v>5.7983500158008301</c:v>
                </c:pt>
                <c:pt idx="75">
                  <c:v>4.4717239008765741</c:v>
                </c:pt>
                <c:pt idx="76">
                  <c:v>4.7069661017119504</c:v>
                </c:pt>
                <c:pt idx="77">
                  <c:v>5.8388328949199266</c:v>
                </c:pt>
                <c:pt idx="78">
                  <c:v>5.3586546480152908</c:v>
                </c:pt>
                <c:pt idx="79">
                  <c:v>4.1825381668824981</c:v>
                </c:pt>
                <c:pt idx="80">
                  <c:v>4.6904884879750615</c:v>
                </c:pt>
                <c:pt idx="81">
                  <c:v>5.7575049973677981</c:v>
                </c:pt>
                <c:pt idx="82">
                  <c:v>5.6183039662872964</c:v>
                </c:pt>
                <c:pt idx="83">
                  <c:v>5.2728617462622083</c:v>
                </c:pt>
                <c:pt idx="84">
                  <c:v>4.4375618857486199</c:v>
                </c:pt>
                <c:pt idx="85">
                  <c:v>5.2303640074724935</c:v>
                </c:pt>
                <c:pt idx="86">
                  <c:v>5.217434465486777</c:v>
                </c:pt>
                <c:pt idx="87">
                  <c:v>6.4103877604444204</c:v>
                </c:pt>
                <c:pt idx="88">
                  <c:v>5.5056335570918584</c:v>
                </c:pt>
                <c:pt idx="89">
                  <c:v>4.1423108040280034</c:v>
                </c:pt>
                <c:pt idx="90">
                  <c:v>5.0543220391956236</c:v>
                </c:pt>
                <c:pt idx="91">
                  <c:v>4.7394407292886633</c:v>
                </c:pt>
                <c:pt idx="92">
                  <c:v>5.1236154352774204</c:v>
                </c:pt>
                <c:pt idx="93">
                  <c:v>6.1297911179582787</c:v>
                </c:pt>
                <c:pt idx="94">
                  <c:v>4.9807524955363949</c:v>
                </c:pt>
                <c:pt idx="95">
                  <c:v>5.4841706345029326</c:v>
                </c:pt>
                <c:pt idx="96">
                  <c:v>4.7515009459333086</c:v>
                </c:pt>
                <c:pt idx="97">
                  <c:v>4.9171243816761727</c:v>
                </c:pt>
                <c:pt idx="98">
                  <c:v>5.9327464828299803</c:v>
                </c:pt>
                <c:pt idx="99">
                  <c:v>4.9254648422231728</c:v>
                </c:pt>
                <c:pt idx="100">
                  <c:v>5.5211143698135139</c:v>
                </c:pt>
                <c:pt idx="101">
                  <c:v>4.7271649054259015</c:v>
                </c:pt>
                <c:pt idx="102">
                  <c:v>4.5018614736918003</c:v>
                </c:pt>
                <c:pt idx="103">
                  <c:v>5.0227595678766317</c:v>
                </c:pt>
                <c:pt idx="104">
                  <c:v>5.6494467268947179</c:v>
                </c:pt>
                <c:pt idx="105">
                  <c:v>5.4137705884003058</c:v>
                </c:pt>
                <c:pt idx="106">
                  <c:v>4.9687740827449431</c:v>
                </c:pt>
                <c:pt idx="107">
                  <c:v>5.5662401150853462</c:v>
                </c:pt>
                <c:pt idx="108">
                  <c:v>4.0248143800654148</c:v>
                </c:pt>
                <c:pt idx="109">
                  <c:v>4.0829504927700651</c:v>
                </c:pt>
                <c:pt idx="110">
                  <c:v>5.4517583401301799</c:v>
                </c:pt>
                <c:pt idx="111">
                  <c:v>4.9697880170983861</c:v>
                </c:pt>
                <c:pt idx="112">
                  <c:v>5.2790113454579775</c:v>
                </c:pt>
                <c:pt idx="113">
                  <c:v>4.7040345886424468</c:v>
                </c:pt>
                <c:pt idx="114">
                  <c:v>5.0991321347864211</c:v>
                </c:pt>
                <c:pt idx="115">
                  <c:v>4.5177889089781846</c:v>
                </c:pt>
                <c:pt idx="116">
                  <c:v>4.8516754399234383</c:v>
                </c:pt>
                <c:pt idx="117">
                  <c:v>5.8773185280515587</c:v>
                </c:pt>
                <c:pt idx="118">
                  <c:v>5.4704450103778353</c:v>
                </c:pt>
                <c:pt idx="119">
                  <c:v>5.1342893205029103</c:v>
                </c:pt>
                <c:pt idx="120">
                  <c:v>5.3445785648583435</c:v>
                </c:pt>
                <c:pt idx="121">
                  <c:v>6.5782773144096485</c:v>
                </c:pt>
                <c:pt idx="122">
                  <c:v>5.4934422277740236</c:v>
                </c:pt>
                <c:pt idx="123">
                  <c:v>4.5761403523060018</c:v>
                </c:pt>
                <c:pt idx="124">
                  <c:v>4.1551851131007229</c:v>
                </c:pt>
                <c:pt idx="125">
                  <c:v>6.322659352460331</c:v>
                </c:pt>
                <c:pt idx="126">
                  <c:v>5.3233834677565923</c:v>
                </c:pt>
                <c:pt idx="127">
                  <c:v>4.5824450394209908</c:v>
                </c:pt>
                <c:pt idx="128">
                  <c:v>5.742442030318422</c:v>
                </c:pt>
                <c:pt idx="129">
                  <c:v>5.8716280048805114</c:v>
                </c:pt>
                <c:pt idx="130">
                  <c:v>6.5171929590181925</c:v>
                </c:pt>
                <c:pt idx="131">
                  <c:v>5.7340718218911118</c:v>
                </c:pt>
                <c:pt idx="132">
                  <c:v>5.3668316707234425</c:v>
                </c:pt>
                <c:pt idx="133">
                  <c:v>5.4130508244711741</c:v>
                </c:pt>
                <c:pt idx="134">
                  <c:v>5.2759521111818906</c:v>
                </c:pt>
                <c:pt idx="135">
                  <c:v>4.8308281248787175</c:v>
                </c:pt>
                <c:pt idx="136">
                  <c:v>3.9732149247277757</c:v>
                </c:pt>
                <c:pt idx="137">
                  <c:v>3.6343783011458708</c:v>
                </c:pt>
                <c:pt idx="138">
                  <c:v>5.6955743334294056</c:v>
                </c:pt>
                <c:pt idx="139">
                  <c:v>5.1242642152008013</c:v>
                </c:pt>
                <c:pt idx="140">
                  <c:v>4.2787865488714356</c:v>
                </c:pt>
                <c:pt idx="141">
                  <c:v>4.4326837686301577</c:v>
                </c:pt>
                <c:pt idx="142">
                  <c:v>5.4962264114744084</c:v>
                </c:pt>
                <c:pt idx="143">
                  <c:v>6.3808089992002675</c:v>
                </c:pt>
                <c:pt idx="144">
                  <c:v>5.9795125316036977</c:v>
                </c:pt>
                <c:pt idx="145">
                  <c:v>5.4584616704398883</c:v>
                </c:pt>
                <c:pt idx="146">
                  <c:v>4.6737185119071025</c:v>
                </c:pt>
                <c:pt idx="147">
                  <c:v>5.1297025316330185</c:v>
                </c:pt>
                <c:pt idx="148">
                  <c:v>5.088150178162655</c:v>
                </c:pt>
                <c:pt idx="149">
                  <c:v>4.8346100639267267</c:v>
                </c:pt>
                <c:pt idx="150">
                  <c:v>5.6943731594922014</c:v>
                </c:pt>
                <c:pt idx="151">
                  <c:v>6.2440518314972842</c:v>
                </c:pt>
                <c:pt idx="152">
                  <c:v>5.327069526993542</c:v>
                </c:pt>
                <c:pt idx="153">
                  <c:v>4.0674873765026565</c:v>
                </c:pt>
                <c:pt idx="154">
                  <c:v>5.3049269133589583</c:v>
                </c:pt>
                <c:pt idx="155">
                  <c:v>5.6005952092497857</c:v>
                </c:pt>
                <c:pt idx="156">
                  <c:v>4.8039558244036655</c:v>
                </c:pt>
                <c:pt idx="157">
                  <c:v>5.8235154060933585</c:v>
                </c:pt>
                <c:pt idx="158">
                  <c:v>5.841928300662417</c:v>
                </c:pt>
                <c:pt idx="159">
                  <c:v>4.8919963093562071</c:v>
                </c:pt>
                <c:pt idx="160">
                  <c:v>3.9908515691602293</c:v>
                </c:pt>
                <c:pt idx="161">
                  <c:v>4.444260282481828</c:v>
                </c:pt>
                <c:pt idx="162">
                  <c:v>4.4851135998500968</c:v>
                </c:pt>
                <c:pt idx="163">
                  <c:v>5.0831920424611603</c:v>
                </c:pt>
                <c:pt idx="164">
                  <c:v>5.495184081214898</c:v>
                </c:pt>
                <c:pt idx="165">
                  <c:v>4.8756951306875838</c:v>
                </c:pt>
                <c:pt idx="166">
                  <c:v>5.4093709367320013</c:v>
                </c:pt>
                <c:pt idx="167">
                  <c:v>4.6202029656852019</c:v>
                </c:pt>
                <c:pt idx="168">
                  <c:v>5.2148522484587527</c:v>
                </c:pt>
                <c:pt idx="169">
                  <c:v>4.828900215565092</c:v>
                </c:pt>
                <c:pt idx="170">
                  <c:v>4.7498257790104486</c:v>
                </c:pt>
                <c:pt idx="171">
                  <c:v>5.4815705995106949</c:v>
                </c:pt>
                <c:pt idx="172">
                  <c:v>4.2865794278371308</c:v>
                </c:pt>
                <c:pt idx="173">
                  <c:v>5.6170405239447554</c:v>
                </c:pt>
                <c:pt idx="174">
                  <c:v>5.5739065269576766</c:v>
                </c:pt>
                <c:pt idx="175">
                  <c:v>4.6843375412911232</c:v>
                </c:pt>
                <c:pt idx="176">
                  <c:v>5.6643991145572663</c:v>
                </c:pt>
                <c:pt idx="177">
                  <c:v>4.3967604497523229</c:v>
                </c:pt>
                <c:pt idx="178">
                  <c:v>4.9834121048095348</c:v>
                </c:pt>
                <c:pt idx="179">
                  <c:v>4.0655145984994476</c:v>
                </c:pt>
                <c:pt idx="180">
                  <c:v>5.2052549286422547</c:v>
                </c:pt>
                <c:pt idx="181">
                  <c:v>5.5574834727132281</c:v>
                </c:pt>
                <c:pt idx="182">
                  <c:v>5.0810606507792659</c:v>
                </c:pt>
                <c:pt idx="183">
                  <c:v>5.0820554682943406</c:v>
                </c:pt>
                <c:pt idx="184">
                  <c:v>5.2608385123403369</c:v>
                </c:pt>
                <c:pt idx="185">
                  <c:v>4.4941799953529333</c:v>
                </c:pt>
                <c:pt idx="186">
                  <c:v>5.6230506891535743</c:v>
                </c:pt>
                <c:pt idx="187">
                  <c:v>5.7764317811165977</c:v>
                </c:pt>
                <c:pt idx="188">
                  <c:v>4.2476055530819306</c:v>
                </c:pt>
                <c:pt idx="189">
                  <c:v>4.6594302596555508</c:v>
                </c:pt>
                <c:pt idx="190">
                  <c:v>5.9168215508424531</c:v>
                </c:pt>
                <c:pt idx="191">
                  <c:v>4.1818775629312235</c:v>
                </c:pt>
                <c:pt idx="192">
                  <c:v>5.9479927260739718</c:v>
                </c:pt>
                <c:pt idx="193">
                  <c:v>5.2285537530376711</c:v>
                </c:pt>
                <c:pt idx="194">
                  <c:v>5.2100155656236744</c:v>
                </c:pt>
                <c:pt idx="195">
                  <c:v>4.757718936409038</c:v>
                </c:pt>
                <c:pt idx="196">
                  <c:v>5.5369916926389493</c:v>
                </c:pt>
                <c:pt idx="197">
                  <c:v>5.8056278930711844</c:v>
                </c:pt>
                <c:pt idx="198">
                  <c:v>5.3936231013203244</c:v>
                </c:pt>
                <c:pt idx="199">
                  <c:v>4.4997707012867227</c:v>
                </c:pt>
                <c:pt idx="200">
                  <c:v>5.9341667808741931</c:v>
                </c:pt>
                <c:pt idx="201">
                  <c:v>5.6719709775779368</c:v>
                </c:pt>
                <c:pt idx="202">
                  <c:v>5.5002816266954326</c:v>
                </c:pt>
                <c:pt idx="203">
                  <c:v>5.2252154959670563</c:v>
                </c:pt>
                <c:pt idx="204">
                  <c:v>5.3314358334925736</c:v>
                </c:pt>
                <c:pt idx="205">
                  <c:v>4.6822240744078858</c:v>
                </c:pt>
                <c:pt idx="206">
                  <c:v>5.4420481311831299</c:v>
                </c:pt>
                <c:pt idx="207">
                  <c:v>4.244265357464343</c:v>
                </c:pt>
                <c:pt idx="208">
                  <c:v>5.8513310508113214</c:v>
                </c:pt>
                <c:pt idx="209">
                  <c:v>5.7022767955707501</c:v>
                </c:pt>
                <c:pt idx="210">
                  <c:v>4.7870229871301824</c:v>
                </c:pt>
                <c:pt idx="211">
                  <c:v>4.837164185426726</c:v>
                </c:pt>
                <c:pt idx="212">
                  <c:v>6.0368447674019521</c:v>
                </c:pt>
                <c:pt idx="213">
                  <c:v>5.2633535213866072</c:v>
                </c:pt>
                <c:pt idx="214">
                  <c:v>5.0507614374837164</c:v>
                </c:pt>
                <c:pt idx="215">
                  <c:v>5.887732387002762</c:v>
                </c:pt>
                <c:pt idx="216">
                  <c:v>5.1948160848716221</c:v>
                </c:pt>
                <c:pt idx="217">
                  <c:v>5.9644529257000229</c:v>
                </c:pt>
                <c:pt idx="218">
                  <c:v>5.2101866324625181</c:v>
                </c:pt>
                <c:pt idx="219">
                  <c:v>5.0965930022098966</c:v>
                </c:pt>
                <c:pt idx="220">
                  <c:v>5.5651423322586311</c:v>
                </c:pt>
                <c:pt idx="221">
                  <c:v>5.4890592911347973</c:v>
                </c:pt>
                <c:pt idx="222">
                  <c:v>5.4456473318153016</c:v>
                </c:pt>
                <c:pt idx="223">
                  <c:v>5.3790048283062291</c:v>
                </c:pt>
                <c:pt idx="224">
                  <c:v>4.6318838368857485</c:v>
                </c:pt>
                <c:pt idx="225">
                  <c:v>5.17787425518285</c:v>
                </c:pt>
                <c:pt idx="226">
                  <c:v>4.1689149104988967</c:v>
                </c:pt>
                <c:pt idx="227">
                  <c:v>5.723988972114693</c:v>
                </c:pt>
                <c:pt idx="228">
                  <c:v>3.5590281719114447</c:v>
                </c:pt>
                <c:pt idx="229">
                  <c:v>5.0764432065685998</c:v>
                </c:pt>
                <c:pt idx="230">
                  <c:v>4.6276294522842605</c:v>
                </c:pt>
                <c:pt idx="231">
                  <c:v>5.6988122873578568</c:v>
                </c:pt>
                <c:pt idx="232">
                  <c:v>5.3151735235495661</c:v>
                </c:pt>
                <c:pt idx="233">
                  <c:v>5.5608486480154635</c:v>
                </c:pt>
                <c:pt idx="234">
                  <c:v>5.4707442630105998</c:v>
                </c:pt>
                <c:pt idx="235">
                  <c:v>5.9539700852628847</c:v>
                </c:pt>
                <c:pt idx="236">
                  <c:v>4.8728544976665784</c:v>
                </c:pt>
                <c:pt idx="237">
                  <c:v>4.9293966421361244</c:v>
                </c:pt>
                <c:pt idx="238">
                  <c:v>4.5440515797338037</c:v>
                </c:pt>
                <c:pt idx="239">
                  <c:v>5.7529198394892074</c:v>
                </c:pt>
                <c:pt idx="240">
                  <c:v>3.9384707058452317</c:v>
                </c:pt>
                <c:pt idx="241">
                  <c:v>4.8817198898875152</c:v>
                </c:pt>
                <c:pt idx="242">
                  <c:v>6.4431514676219042</c:v>
                </c:pt>
                <c:pt idx="243">
                  <c:v>5.3620584596585879</c:v>
                </c:pt>
                <c:pt idx="244">
                  <c:v>4.9597312971448613</c:v>
                </c:pt>
                <c:pt idx="245">
                  <c:v>5.4041574170595528</c:v>
                </c:pt>
                <c:pt idx="246">
                  <c:v>5.487081432583345</c:v>
                </c:pt>
                <c:pt idx="247">
                  <c:v>5.2897236070538156</c:v>
                </c:pt>
                <c:pt idx="248">
                  <c:v>5.5739806279502755</c:v>
                </c:pt>
                <c:pt idx="249">
                  <c:v>5.0005515619028547</c:v>
                </c:pt>
                <c:pt idx="250">
                  <c:v>4.9705936698113398</c:v>
                </c:pt>
                <c:pt idx="251">
                  <c:v>4.4764508044833864</c:v>
                </c:pt>
                <c:pt idx="252">
                  <c:v>5.2507499106170847</c:v>
                </c:pt>
                <c:pt idx="253">
                  <c:v>5.6812698807975934</c:v>
                </c:pt>
                <c:pt idx="254">
                  <c:v>5.4813241199628511</c:v>
                </c:pt>
                <c:pt idx="255">
                  <c:v>3.8926702247047213</c:v>
                </c:pt>
                <c:pt idx="256">
                  <c:v>5.6743663172257683</c:v>
                </c:pt>
                <c:pt idx="257">
                  <c:v>4.4052500794998863</c:v>
                </c:pt>
                <c:pt idx="258">
                  <c:v>5.315816636166371</c:v>
                </c:pt>
                <c:pt idx="259">
                  <c:v>4.3062893677596872</c:v>
                </c:pt>
                <c:pt idx="260">
                  <c:v>4.6541627971059896</c:v>
                </c:pt>
                <c:pt idx="261">
                  <c:v>5.0924204676137119</c:v>
                </c:pt>
                <c:pt idx="262">
                  <c:v>5.512844259346009</c:v>
                </c:pt>
                <c:pt idx="263">
                  <c:v>6.1243332284987044</c:v>
                </c:pt>
                <c:pt idx="264">
                  <c:v>5.5784019899591151</c:v>
                </c:pt>
                <c:pt idx="265">
                  <c:v>5.3674769044951578</c:v>
                </c:pt>
                <c:pt idx="266">
                  <c:v>5.276192293239653</c:v>
                </c:pt>
                <c:pt idx="267">
                  <c:v>5.4726088176094922</c:v>
                </c:pt>
                <c:pt idx="268">
                  <c:v>4.5261324906390357</c:v>
                </c:pt>
                <c:pt idx="269">
                  <c:v>4.5977417440500226</c:v>
                </c:pt>
                <c:pt idx="270">
                  <c:v>4.5818127147218561</c:v>
                </c:pt>
                <c:pt idx="271">
                  <c:v>6.0914791912016781</c:v>
                </c:pt>
                <c:pt idx="272">
                  <c:v>5.5869127751095089</c:v>
                </c:pt>
                <c:pt idx="273">
                  <c:v>5.6791385776599252</c:v>
                </c:pt>
                <c:pt idx="274">
                  <c:v>5.3748912975359087</c:v>
                </c:pt>
                <c:pt idx="275">
                  <c:v>5.8479585423592724</c:v>
                </c:pt>
                <c:pt idx="276">
                  <c:v>4.9787169733277121</c:v>
                </c:pt>
                <c:pt idx="277">
                  <c:v>5.7170935170182684</c:v>
                </c:pt>
                <c:pt idx="278">
                  <c:v>4.425381497050239</c:v>
                </c:pt>
                <c:pt idx="279">
                  <c:v>5.1931296456680442</c:v>
                </c:pt>
                <c:pt idx="280">
                  <c:v>5.765311913143595</c:v>
                </c:pt>
                <c:pt idx="281">
                  <c:v>5.3528527557216936</c:v>
                </c:pt>
                <c:pt idx="282">
                  <c:v>4.7900655191103851</c:v>
                </c:pt>
                <c:pt idx="283">
                  <c:v>4.0541542415010809</c:v>
                </c:pt>
                <c:pt idx="284">
                  <c:v>4.0130355235337571</c:v>
                </c:pt>
                <c:pt idx="285">
                  <c:v>4.9337487505071707</c:v>
                </c:pt>
                <c:pt idx="286">
                  <c:v>5.1737081156917668</c:v>
                </c:pt>
                <c:pt idx="287">
                  <c:v>6.0360023362993527</c:v>
                </c:pt>
                <c:pt idx="288">
                  <c:v>4.795310606816102</c:v>
                </c:pt>
                <c:pt idx="289">
                  <c:v>5.1145582086539019</c:v>
                </c:pt>
                <c:pt idx="290">
                  <c:v>4.1483864027481658</c:v>
                </c:pt>
                <c:pt idx="291">
                  <c:v>5.1763555902852723</c:v>
                </c:pt>
                <c:pt idx="292">
                  <c:v>4.7324775441188827</c:v>
                </c:pt>
                <c:pt idx="293">
                  <c:v>3.7800132570751312</c:v>
                </c:pt>
                <c:pt idx="294">
                  <c:v>4.2487644857764444</c:v>
                </c:pt>
                <c:pt idx="295">
                  <c:v>5.4245723855015591</c:v>
                </c:pt>
                <c:pt idx="296">
                  <c:v>6.0101850156179086</c:v>
                </c:pt>
                <c:pt idx="297">
                  <c:v>5.6405380255903896</c:v>
                </c:pt>
                <c:pt idx="298">
                  <c:v>6.1876471687732408</c:v>
                </c:pt>
                <c:pt idx="299">
                  <c:v>4.4527119673261151</c:v>
                </c:pt>
                <c:pt idx="300">
                  <c:v>6.2039514754281679</c:v>
                </c:pt>
                <c:pt idx="301">
                  <c:v>4.8189114042386567</c:v>
                </c:pt>
                <c:pt idx="302">
                  <c:v>5.1282110377888017</c:v>
                </c:pt>
                <c:pt idx="303">
                  <c:v>6.0757873569885827</c:v>
                </c:pt>
                <c:pt idx="304">
                  <c:v>5.0030705729686815</c:v>
                </c:pt>
                <c:pt idx="305">
                  <c:v>3.9588656655855949</c:v>
                </c:pt>
                <c:pt idx="306">
                  <c:v>5.2856430132138499</c:v>
                </c:pt>
                <c:pt idx="307">
                  <c:v>4.5033871911068033</c:v>
                </c:pt>
                <c:pt idx="308">
                  <c:v>5.067337200966664</c:v>
                </c:pt>
                <c:pt idx="309">
                  <c:v>4.2557822565458263</c:v>
                </c:pt>
                <c:pt idx="310">
                  <c:v>4.7635771487903078</c:v>
                </c:pt>
                <c:pt idx="311">
                  <c:v>4.9014947767622381</c:v>
                </c:pt>
                <c:pt idx="312">
                  <c:v>4.465460068929282</c:v>
                </c:pt>
                <c:pt idx="313">
                  <c:v>5.1766817799233529</c:v>
                </c:pt>
                <c:pt idx="314">
                  <c:v>5.2100924824041837</c:v>
                </c:pt>
                <c:pt idx="315">
                  <c:v>5.1095837756110036</c:v>
                </c:pt>
                <c:pt idx="316">
                  <c:v>5.290769176341886</c:v>
                </c:pt>
                <c:pt idx="317">
                  <c:v>4.5551599492206591</c:v>
                </c:pt>
                <c:pt idx="318">
                  <c:v>5.7528444676363879</c:v>
                </c:pt>
                <c:pt idx="319">
                  <c:v>6.1937906159164164</c:v>
                </c:pt>
                <c:pt idx="320">
                  <c:v>3.8647927596715377</c:v>
                </c:pt>
                <c:pt idx="321">
                  <c:v>4.8449541911570986</c:v>
                </c:pt>
                <c:pt idx="322">
                  <c:v>5.178248265558242</c:v>
                </c:pt>
                <c:pt idx="323">
                  <c:v>3.7123869288729168</c:v>
                </c:pt>
                <c:pt idx="324">
                  <c:v>4.5354340103989852</c:v>
                </c:pt>
                <c:pt idx="325">
                  <c:v>5.1343761937570669</c:v>
                </c:pt>
                <c:pt idx="326">
                  <c:v>4.434094327250186</c:v>
                </c:pt>
                <c:pt idx="327">
                  <c:v>5.1577744967170194</c:v>
                </c:pt>
                <c:pt idx="328">
                  <c:v>4.2694883025259358</c:v>
                </c:pt>
                <c:pt idx="329">
                  <c:v>5.0182123838548431</c:v>
                </c:pt>
                <c:pt idx="330">
                  <c:v>5.4404930131283198</c:v>
                </c:pt>
                <c:pt idx="331">
                  <c:v>5.6077481819259773</c:v>
                </c:pt>
                <c:pt idx="332">
                  <c:v>3.8965015817463549</c:v>
                </c:pt>
                <c:pt idx="333">
                  <c:v>4.6559442535102118</c:v>
                </c:pt>
                <c:pt idx="334">
                  <c:v>4.706629357509744</c:v>
                </c:pt>
                <c:pt idx="335">
                  <c:v>5.3661370588349318</c:v>
                </c:pt>
                <c:pt idx="336">
                  <c:v>5.8028624717413138</c:v>
                </c:pt>
                <c:pt idx="337">
                  <c:v>5.4529084882428975</c:v>
                </c:pt>
                <c:pt idx="338">
                  <c:v>5.5106186886932598</c:v>
                </c:pt>
                <c:pt idx="339">
                  <c:v>5.3484247580358346</c:v>
                </c:pt>
                <c:pt idx="340">
                  <c:v>5.2216117455546947</c:v>
                </c:pt>
                <c:pt idx="341">
                  <c:v>5.99951342323779</c:v>
                </c:pt>
                <c:pt idx="342">
                  <c:v>5.1749572383783384</c:v>
                </c:pt>
                <c:pt idx="343">
                  <c:v>5.3951454550362037</c:v>
                </c:pt>
                <c:pt idx="344">
                  <c:v>4.4095391155650958</c:v>
                </c:pt>
                <c:pt idx="345">
                  <c:v>5.9543982792118335</c:v>
                </c:pt>
                <c:pt idx="346">
                  <c:v>5.0911531462889084</c:v>
                </c:pt>
                <c:pt idx="347">
                  <c:v>5.0229251101931514</c:v>
                </c:pt>
                <c:pt idx="348">
                  <c:v>5.4071445273036645</c:v>
                </c:pt>
                <c:pt idx="349">
                  <c:v>5.0528867147413958</c:v>
                </c:pt>
                <c:pt idx="350">
                  <c:v>4.6967818132096877</c:v>
                </c:pt>
                <c:pt idx="351">
                  <c:v>4.4605456175106806</c:v>
                </c:pt>
                <c:pt idx="352">
                  <c:v>6.2011465203076526</c:v>
                </c:pt>
                <c:pt idx="353">
                  <c:v>5.0914075911550007</c:v>
                </c:pt>
                <c:pt idx="354">
                  <c:v>5.0007066327462155</c:v>
                </c:pt>
                <c:pt idx="355">
                  <c:v>6.1751998231657552</c:v>
                </c:pt>
                <c:pt idx="356">
                  <c:v>4.7217344572329996</c:v>
                </c:pt>
                <c:pt idx="357">
                  <c:v>6.1200217061307871</c:v>
                </c:pt>
                <c:pt idx="358">
                  <c:v>6.3502333410345297</c:v>
                </c:pt>
                <c:pt idx="359">
                  <c:v>3.7763285218892424</c:v>
                </c:pt>
                <c:pt idx="360">
                  <c:v>5.0725577122358718</c:v>
                </c:pt>
                <c:pt idx="361">
                  <c:v>4.7936135742415118</c:v>
                </c:pt>
                <c:pt idx="362">
                  <c:v>5.3390772525817241</c:v>
                </c:pt>
                <c:pt idx="363">
                  <c:v>5.9078828197630635</c:v>
                </c:pt>
                <c:pt idx="364">
                  <c:v>6.3477150135579041</c:v>
                </c:pt>
                <c:pt idx="365">
                  <c:v>5.3364793390220395</c:v>
                </c:pt>
                <c:pt idx="366">
                  <c:v>6.5656063293533151</c:v>
                </c:pt>
                <c:pt idx="367">
                  <c:v>6.4669728345231388</c:v>
                </c:pt>
                <c:pt idx="368">
                  <c:v>5.6070643823299271</c:v>
                </c:pt>
                <c:pt idx="369">
                  <c:v>4.4776882008300039</c:v>
                </c:pt>
                <c:pt idx="370">
                  <c:v>4.3181428166143476</c:v>
                </c:pt>
                <c:pt idx="371">
                  <c:v>5.9874916523508528</c:v>
                </c:pt>
                <c:pt idx="372">
                  <c:v>4.7557197153798629</c:v>
                </c:pt>
                <c:pt idx="373">
                  <c:v>4.1635111121769732</c:v>
                </c:pt>
                <c:pt idx="374">
                  <c:v>5.8974119397413762</c:v>
                </c:pt>
                <c:pt idx="375">
                  <c:v>5.0926959149526638</c:v>
                </c:pt>
                <c:pt idx="376">
                  <c:v>5.2504059880032621</c:v>
                </c:pt>
                <c:pt idx="377">
                  <c:v>4.7442967597214025</c:v>
                </c:pt>
                <c:pt idx="378">
                  <c:v>4.8719694332404568</c:v>
                </c:pt>
                <c:pt idx="379">
                  <c:v>4.129240666924769</c:v>
                </c:pt>
                <c:pt idx="380">
                  <c:v>6.1164678514406727</c:v>
                </c:pt>
                <c:pt idx="381">
                  <c:v>4.7074382553003637</c:v>
                </c:pt>
                <c:pt idx="382">
                  <c:v>6.239324080455928</c:v>
                </c:pt>
                <c:pt idx="383">
                  <c:v>5.3205397261811331</c:v>
                </c:pt>
                <c:pt idx="384">
                  <c:v>4.9193963328898143</c:v>
                </c:pt>
                <c:pt idx="385">
                  <c:v>7.1520394874129973</c:v>
                </c:pt>
                <c:pt idx="386">
                  <c:v>5.8195178784597328</c:v>
                </c:pt>
                <c:pt idx="387">
                  <c:v>5.2430294334942271</c:v>
                </c:pt>
                <c:pt idx="388">
                  <c:v>5.2596018760587331</c:v>
                </c:pt>
                <c:pt idx="389">
                  <c:v>4.6766100722780859</c:v>
                </c:pt>
                <c:pt idx="390">
                  <c:v>5.2857119966855866</c:v>
                </c:pt>
                <c:pt idx="391">
                  <c:v>5.7293744066573851</c:v>
                </c:pt>
                <c:pt idx="392">
                  <c:v>5.4820180120368587</c:v>
                </c:pt>
                <c:pt idx="393">
                  <c:v>5.0983803177641747</c:v>
                </c:pt>
                <c:pt idx="394">
                  <c:v>4.6805160971878106</c:v>
                </c:pt>
                <c:pt idx="395">
                  <c:v>4.102204868268986</c:v>
                </c:pt>
                <c:pt idx="396">
                  <c:v>5.1990542257653161</c:v>
                </c:pt>
                <c:pt idx="397">
                  <c:v>4.8951347028695977</c:v>
                </c:pt>
                <c:pt idx="398">
                  <c:v>5.38697910820534</c:v>
                </c:pt>
                <c:pt idx="399">
                  <c:v>4.6240185553896307</c:v>
                </c:pt>
                <c:pt idx="400">
                  <c:v>4.7255481038660765</c:v>
                </c:pt>
                <c:pt idx="401">
                  <c:v>6.1470757478434592</c:v>
                </c:pt>
                <c:pt idx="402">
                  <c:v>5.6744719693811767</c:v>
                </c:pt>
                <c:pt idx="403">
                  <c:v>5.291703262107287</c:v>
                </c:pt>
                <c:pt idx="404">
                  <c:v>6.0386981800133448</c:v>
                </c:pt>
                <c:pt idx="405">
                  <c:v>5.0072920554210558</c:v>
                </c:pt>
                <c:pt idx="406">
                  <c:v>5.004809173766736</c:v>
                </c:pt>
                <c:pt idx="407">
                  <c:v>5.749731322088607</c:v>
                </c:pt>
                <c:pt idx="408">
                  <c:v>5.2813361199658839</c:v>
                </c:pt>
                <c:pt idx="409">
                  <c:v>5.9095005438761916</c:v>
                </c:pt>
                <c:pt idx="410">
                  <c:v>5.7832057641367793</c:v>
                </c:pt>
                <c:pt idx="411">
                  <c:v>5.3998282537300231</c:v>
                </c:pt>
                <c:pt idx="412">
                  <c:v>5.9989720701375049</c:v>
                </c:pt>
                <c:pt idx="413">
                  <c:v>5.2180877235262191</c:v>
                </c:pt>
                <c:pt idx="414">
                  <c:v>4.4640989545258289</c:v>
                </c:pt>
                <c:pt idx="415">
                  <c:v>6.139349071580126</c:v>
                </c:pt>
                <c:pt idx="416">
                  <c:v>5.5973589520567639</c:v>
                </c:pt>
                <c:pt idx="417">
                  <c:v>5.5043612700800661</c:v>
                </c:pt>
                <c:pt idx="418">
                  <c:v>5.4989493743018922</c:v>
                </c:pt>
                <c:pt idx="419">
                  <c:v>5.5693374552351287</c:v>
                </c:pt>
                <c:pt idx="420">
                  <c:v>3.7328408016218102</c:v>
                </c:pt>
                <c:pt idx="421">
                  <c:v>4.8982416321210618</c:v>
                </c:pt>
                <c:pt idx="422">
                  <c:v>4.407729940338216</c:v>
                </c:pt>
                <c:pt idx="423">
                  <c:v>4.8092241422492688</c:v>
                </c:pt>
                <c:pt idx="424">
                  <c:v>5.4985212450618928</c:v>
                </c:pt>
                <c:pt idx="425">
                  <c:v>3.7139646135262439</c:v>
                </c:pt>
                <c:pt idx="426">
                  <c:v>4.4486963884488109</c:v>
                </c:pt>
                <c:pt idx="427">
                  <c:v>5.3452851089105646</c:v>
                </c:pt>
                <c:pt idx="428">
                  <c:v>5.0333748112177918</c:v>
                </c:pt>
                <c:pt idx="429">
                  <c:v>5.6883637458017144</c:v>
                </c:pt>
                <c:pt idx="430">
                  <c:v>5.1940784004414109</c:v>
                </c:pt>
                <c:pt idx="431">
                  <c:v>5.6557385777244438</c:v>
                </c:pt>
                <c:pt idx="432">
                  <c:v>5.7501839900857643</c:v>
                </c:pt>
                <c:pt idx="433">
                  <c:v>5.2596477791038918</c:v>
                </c:pt>
                <c:pt idx="434">
                  <c:v>4.6574434561357432</c:v>
                </c:pt>
                <c:pt idx="435">
                  <c:v>4.5602453073169347</c:v>
                </c:pt>
                <c:pt idx="436">
                  <c:v>4.1404520963977802</c:v>
                </c:pt>
                <c:pt idx="437">
                  <c:v>5.4449783201438109</c:v>
                </c:pt>
                <c:pt idx="438">
                  <c:v>4.9656997278398176</c:v>
                </c:pt>
                <c:pt idx="439">
                  <c:v>4.8105443421124257</c:v>
                </c:pt>
                <c:pt idx="440">
                  <c:v>5.7645622852727243</c:v>
                </c:pt>
                <c:pt idx="441">
                  <c:v>4.8223540464101742</c:v>
                </c:pt>
                <c:pt idx="442">
                  <c:v>5.2436672870407506</c:v>
                </c:pt>
                <c:pt idx="443">
                  <c:v>5.3504130001864869</c:v>
                </c:pt>
                <c:pt idx="444">
                  <c:v>4.2893070161687987</c:v>
                </c:pt>
                <c:pt idx="445">
                  <c:v>5.8182259786050103</c:v>
                </c:pt>
                <c:pt idx="446">
                  <c:v>5.7263884617087708</c:v>
                </c:pt>
                <c:pt idx="447">
                  <c:v>5.7771518929068524</c:v>
                </c:pt>
                <c:pt idx="448">
                  <c:v>5.6488368539678344</c:v>
                </c:pt>
                <c:pt idx="449">
                  <c:v>6.8998584084999397</c:v>
                </c:pt>
                <c:pt idx="450">
                  <c:v>5.6613925439231352</c:v>
                </c:pt>
                <c:pt idx="451">
                  <c:v>5.2119405212072856</c:v>
                </c:pt>
                <c:pt idx="452">
                  <c:v>4.2937475899512272</c:v>
                </c:pt>
                <c:pt idx="453">
                  <c:v>4.5836043216931994</c:v>
                </c:pt>
                <c:pt idx="454">
                  <c:v>4.9923660894322666</c:v>
                </c:pt>
                <c:pt idx="455">
                  <c:v>4.2551633995814218</c:v>
                </c:pt>
                <c:pt idx="456">
                  <c:v>4.7253378442895073</c:v>
                </c:pt>
                <c:pt idx="457">
                  <c:v>4.6631706803660418</c:v>
                </c:pt>
                <c:pt idx="458">
                  <c:v>6.0839725791392407</c:v>
                </c:pt>
                <c:pt idx="459">
                  <c:v>5.9632680737434836</c:v>
                </c:pt>
                <c:pt idx="460">
                  <c:v>5.9088067715587069</c:v>
                </c:pt>
                <c:pt idx="461">
                  <c:v>4.4885706362430753</c:v>
                </c:pt>
                <c:pt idx="462">
                  <c:v>4.5413345661995415</c:v>
                </c:pt>
                <c:pt idx="463">
                  <c:v>5.4988934193153813</c:v>
                </c:pt>
                <c:pt idx="464">
                  <c:v>5.1111911826354834</c:v>
                </c:pt>
                <c:pt idx="465">
                  <c:v>3.8004854870564149</c:v>
                </c:pt>
                <c:pt idx="466">
                  <c:v>5.5655839245855443</c:v>
                </c:pt>
                <c:pt idx="467">
                  <c:v>5.9969277557172465</c:v>
                </c:pt>
                <c:pt idx="468">
                  <c:v>4.9559656418371887</c:v>
                </c:pt>
                <c:pt idx="469">
                  <c:v>5.1140139302247913</c:v>
                </c:pt>
                <c:pt idx="470">
                  <c:v>4.3855314428759034</c:v>
                </c:pt>
                <c:pt idx="471">
                  <c:v>4.7806500851419944</c:v>
                </c:pt>
                <c:pt idx="472">
                  <c:v>6.2092040291428159</c:v>
                </c:pt>
                <c:pt idx="473">
                  <c:v>6.0168182564605459</c:v>
                </c:pt>
                <c:pt idx="474">
                  <c:v>5.3889529909172094</c:v>
                </c:pt>
                <c:pt idx="475">
                  <c:v>5.8484675311511758</c:v>
                </c:pt>
                <c:pt idx="476">
                  <c:v>4.9087769524382541</c:v>
                </c:pt>
                <c:pt idx="477">
                  <c:v>4.7879136860723541</c:v>
                </c:pt>
                <c:pt idx="478">
                  <c:v>4.6827830830842707</c:v>
                </c:pt>
                <c:pt idx="479">
                  <c:v>5.7529589096539517</c:v>
                </c:pt>
                <c:pt idx="480">
                  <c:v>5.4444592827760356</c:v>
                </c:pt>
                <c:pt idx="481">
                  <c:v>5.7267039300452396</c:v>
                </c:pt>
                <c:pt idx="482">
                  <c:v>3.9022531865546526</c:v>
                </c:pt>
                <c:pt idx="483">
                  <c:v>6.1214625242911094</c:v>
                </c:pt>
                <c:pt idx="484">
                  <c:v>5.3949295952111367</c:v>
                </c:pt>
                <c:pt idx="485">
                  <c:v>4.7657787356952426</c:v>
                </c:pt>
                <c:pt idx="486">
                  <c:v>5.6069202810282999</c:v>
                </c:pt>
                <c:pt idx="487">
                  <c:v>5.0490305168423699</c:v>
                </c:pt>
                <c:pt idx="488">
                  <c:v>5.3164638248871192</c:v>
                </c:pt>
                <c:pt idx="489">
                  <c:v>4.4045583375037918</c:v>
                </c:pt>
                <c:pt idx="490">
                  <c:v>5.1829575851907155</c:v>
                </c:pt>
                <c:pt idx="491">
                  <c:v>4.9253429496567822</c:v>
                </c:pt>
                <c:pt idx="492">
                  <c:v>5.621199966025161</c:v>
                </c:pt>
                <c:pt idx="493">
                  <c:v>5.1418870524904836</c:v>
                </c:pt>
                <c:pt idx="494">
                  <c:v>5.1182457487071407</c:v>
                </c:pt>
                <c:pt idx="495">
                  <c:v>5.5935237554682953</c:v>
                </c:pt>
                <c:pt idx="496">
                  <c:v>4.7201660902042413</c:v>
                </c:pt>
                <c:pt idx="497">
                  <c:v>4.4688247029150361</c:v>
                </c:pt>
                <c:pt idx="498">
                  <c:v>4.7642735804984326</c:v>
                </c:pt>
                <c:pt idx="499">
                  <c:v>5.9353641862602515</c:v>
                </c:pt>
                <c:pt idx="500">
                  <c:v>3.5013210119052545</c:v>
                </c:pt>
                <c:pt idx="501">
                  <c:v>4.7564588836806774</c:v>
                </c:pt>
                <c:pt idx="502">
                  <c:v>5.6984442115245031</c:v>
                </c:pt>
                <c:pt idx="503">
                  <c:v>5.1466309088440987</c:v>
                </c:pt>
                <c:pt idx="504">
                  <c:v>5.0704610833670323</c:v>
                </c:pt>
                <c:pt idx="505">
                  <c:v>4.18261352838074</c:v>
                </c:pt>
                <c:pt idx="506">
                  <c:v>5.2600550049886863</c:v>
                </c:pt>
                <c:pt idx="507">
                  <c:v>5.6758172048276201</c:v>
                </c:pt>
                <c:pt idx="508">
                  <c:v>5.0422684230576529</c:v>
                </c:pt>
                <c:pt idx="509">
                  <c:v>5.3713030126369805</c:v>
                </c:pt>
                <c:pt idx="510">
                  <c:v>5.0095431551115102</c:v>
                </c:pt>
                <c:pt idx="511">
                  <c:v>5.5202625465597475</c:v>
                </c:pt>
                <c:pt idx="512">
                  <c:v>5.3112589370691126</c:v>
                </c:pt>
                <c:pt idx="513">
                  <c:v>6.3181177876496637</c:v>
                </c:pt>
                <c:pt idx="514">
                  <c:v>4.5944513455013904</c:v>
                </c:pt>
                <c:pt idx="515">
                  <c:v>5.5125436836655499</c:v>
                </c:pt>
                <c:pt idx="516">
                  <c:v>4.5125280414948481</c:v>
                </c:pt>
                <c:pt idx="517">
                  <c:v>6.1199408163740561</c:v>
                </c:pt>
                <c:pt idx="518">
                  <c:v>5.5557396396434093</c:v>
                </c:pt>
                <c:pt idx="519">
                  <c:v>5.2516010529605222</c:v>
                </c:pt>
                <c:pt idx="520">
                  <c:v>4.9473915668889212</c:v>
                </c:pt>
                <c:pt idx="521">
                  <c:v>5.5356430301779405</c:v>
                </c:pt>
                <c:pt idx="522">
                  <c:v>6.361252876878428</c:v>
                </c:pt>
                <c:pt idx="523">
                  <c:v>4.9588788404219635</c:v>
                </c:pt>
                <c:pt idx="524">
                  <c:v>5.6934016169071544</c:v>
                </c:pt>
                <c:pt idx="525">
                  <c:v>4.3783641419349291</c:v>
                </c:pt>
                <c:pt idx="526">
                  <c:v>4.9797721634711092</c:v>
                </c:pt>
                <c:pt idx="527">
                  <c:v>5.5529508200648845</c:v>
                </c:pt>
                <c:pt idx="528">
                  <c:v>5.3119340790385721</c:v>
                </c:pt>
                <c:pt idx="529">
                  <c:v>5.813520899701814</c:v>
                </c:pt>
                <c:pt idx="530">
                  <c:v>4.6239372774688441</c:v>
                </c:pt>
                <c:pt idx="531">
                  <c:v>3.6629315143105003</c:v>
                </c:pt>
                <c:pt idx="532">
                  <c:v>5.4813479241091585</c:v>
                </c:pt>
                <c:pt idx="533">
                  <c:v>5.1814404866249575</c:v>
                </c:pt>
                <c:pt idx="534">
                  <c:v>6.0968334992636439</c:v>
                </c:pt>
                <c:pt idx="535">
                  <c:v>5.2121927878521728</c:v>
                </c:pt>
                <c:pt idx="536">
                  <c:v>4.9815387370327961</c:v>
                </c:pt>
                <c:pt idx="537">
                  <c:v>4.7836287044315835</c:v>
                </c:pt>
                <c:pt idx="538">
                  <c:v>4.6531404421948626</c:v>
                </c:pt>
                <c:pt idx="539">
                  <c:v>4.7413714859666651</c:v>
                </c:pt>
                <c:pt idx="540">
                  <c:v>5.8185720639186762</c:v>
                </c:pt>
                <c:pt idx="541">
                  <c:v>4.898246600910845</c:v>
                </c:pt>
                <c:pt idx="542">
                  <c:v>5.8722833553905627</c:v>
                </c:pt>
                <c:pt idx="543">
                  <c:v>5.1115477043607456</c:v>
                </c:pt>
                <c:pt idx="544">
                  <c:v>5.4762230444550841</c:v>
                </c:pt>
                <c:pt idx="545">
                  <c:v>4.4734964008966234</c:v>
                </c:pt>
                <c:pt idx="546">
                  <c:v>5.9869675733876857</c:v>
                </c:pt>
                <c:pt idx="547">
                  <c:v>5.1763698924813344</c:v>
                </c:pt>
                <c:pt idx="548">
                  <c:v>5.1661297102162234</c:v>
                </c:pt>
                <c:pt idx="549">
                  <c:v>5.3785710135305944</c:v>
                </c:pt>
                <c:pt idx="550">
                  <c:v>4.7088657278824329</c:v>
                </c:pt>
                <c:pt idx="551">
                  <c:v>4.4273126605211388</c:v>
                </c:pt>
                <c:pt idx="552">
                  <c:v>4.4245739831123991</c:v>
                </c:pt>
                <c:pt idx="553">
                  <c:v>5.4369523282093688</c:v>
                </c:pt>
                <c:pt idx="554">
                  <c:v>3.4946492804688027</c:v>
                </c:pt>
                <c:pt idx="555">
                  <c:v>4.8767745036587513</c:v>
                </c:pt>
                <c:pt idx="556">
                  <c:v>5.9836331175264537</c:v>
                </c:pt>
                <c:pt idx="557">
                  <c:v>5.070381749580406</c:v>
                </c:pt>
                <c:pt idx="558">
                  <c:v>5.4414804912947972</c:v>
                </c:pt>
                <c:pt idx="559">
                  <c:v>6.1352087739100494</c:v>
                </c:pt>
                <c:pt idx="560">
                  <c:v>5.6627349505419691</c:v>
                </c:pt>
                <c:pt idx="561">
                  <c:v>4.3503919612620017</c:v>
                </c:pt>
                <c:pt idx="562">
                  <c:v>5.6617895368191782</c:v>
                </c:pt>
                <c:pt idx="563">
                  <c:v>5.5108296950212132</c:v>
                </c:pt>
                <c:pt idx="564">
                  <c:v>5.2957869766920194</c:v>
                </c:pt>
                <c:pt idx="565">
                  <c:v>5.7542839129877645</c:v>
                </c:pt>
                <c:pt idx="566">
                  <c:v>3.8486368109332787</c:v>
                </c:pt>
                <c:pt idx="567">
                  <c:v>5.3698239978086928</c:v>
                </c:pt>
                <c:pt idx="568">
                  <c:v>5.0977501247308297</c:v>
                </c:pt>
                <c:pt idx="569">
                  <c:v>5.004793090229084</c:v>
                </c:pt>
                <c:pt idx="570">
                  <c:v>4.574964192329313</c:v>
                </c:pt>
                <c:pt idx="571">
                  <c:v>5.8054445194529976</c:v>
                </c:pt>
                <c:pt idx="572">
                  <c:v>4.9938036450881249</c:v>
                </c:pt>
                <c:pt idx="573">
                  <c:v>4.8823975451218278</c:v>
                </c:pt>
                <c:pt idx="574">
                  <c:v>5.1957202890406027</c:v>
                </c:pt>
                <c:pt idx="575">
                  <c:v>5.6960692764288989</c:v>
                </c:pt>
                <c:pt idx="576">
                  <c:v>5.5816478351114185</c:v>
                </c:pt>
                <c:pt idx="577">
                  <c:v>6.0642882724101241</c:v>
                </c:pt>
                <c:pt idx="578">
                  <c:v>5.0716356595202701</c:v>
                </c:pt>
                <c:pt idx="579">
                  <c:v>5.4122895019783019</c:v>
                </c:pt>
                <c:pt idx="580">
                  <c:v>3.9154814271065774</c:v>
                </c:pt>
                <c:pt idx="581">
                  <c:v>5.2694756367809212</c:v>
                </c:pt>
                <c:pt idx="582">
                  <c:v>4.2931043851437423</c:v>
                </c:pt>
                <c:pt idx="583">
                  <c:v>5.052298158229334</c:v>
                </c:pt>
                <c:pt idx="584">
                  <c:v>4.6889694564883975</c:v>
                </c:pt>
                <c:pt idx="585">
                  <c:v>5.6402801486381406</c:v>
                </c:pt>
                <c:pt idx="586">
                  <c:v>4.8880899464159597</c:v>
                </c:pt>
                <c:pt idx="587">
                  <c:v>4.7876611039871566</c:v>
                </c:pt>
                <c:pt idx="588">
                  <c:v>4.3383705014407941</c:v>
                </c:pt>
                <c:pt idx="589">
                  <c:v>4.2769156680336753</c:v>
                </c:pt>
                <c:pt idx="590">
                  <c:v>5.6609951741733369</c:v>
                </c:pt>
                <c:pt idx="591">
                  <c:v>5.7277740631032863</c:v>
                </c:pt>
                <c:pt idx="592">
                  <c:v>5.4798775862722575</c:v>
                </c:pt>
                <c:pt idx="593">
                  <c:v>5.4123720800671435</c:v>
                </c:pt>
                <c:pt idx="594">
                  <c:v>6.3871068738344956</c:v>
                </c:pt>
                <c:pt idx="595">
                  <c:v>5.4350333354034852</c:v>
                </c:pt>
                <c:pt idx="596">
                  <c:v>5.6133456767727541</c:v>
                </c:pt>
                <c:pt idx="597">
                  <c:v>4.6080803936696153</c:v>
                </c:pt>
                <c:pt idx="598">
                  <c:v>5.8273808286181215</c:v>
                </c:pt>
                <c:pt idx="599">
                  <c:v>5.8197273354341839</c:v>
                </c:pt>
                <c:pt idx="600">
                  <c:v>5.2792329154060518</c:v>
                </c:pt>
                <c:pt idx="601">
                  <c:v>4.7917673478428107</c:v>
                </c:pt>
                <c:pt idx="602">
                  <c:v>5.3789927107752433</c:v>
                </c:pt>
                <c:pt idx="603">
                  <c:v>5.7403441501866759</c:v>
                </c:pt>
                <c:pt idx="604">
                  <c:v>5.2819385302481638</c:v>
                </c:pt>
                <c:pt idx="605">
                  <c:v>6.1527193134279532</c:v>
                </c:pt>
                <c:pt idx="606">
                  <c:v>5.3644857095787994</c:v>
                </c:pt>
                <c:pt idx="607">
                  <c:v>5.0167125821402276</c:v>
                </c:pt>
                <c:pt idx="608">
                  <c:v>5.2991243292411809</c:v>
                </c:pt>
                <c:pt idx="609">
                  <c:v>4.6269087022437265</c:v>
                </c:pt>
                <c:pt idx="610">
                  <c:v>5.1404488414561396</c:v>
                </c:pt>
                <c:pt idx="611">
                  <c:v>5.0941413565666789</c:v>
                </c:pt>
                <c:pt idx="612">
                  <c:v>5.5810617208302578</c:v>
                </c:pt>
                <c:pt idx="613">
                  <c:v>4.5599751101365555</c:v>
                </c:pt>
                <c:pt idx="614">
                  <c:v>5.0300626626614147</c:v>
                </c:pt>
                <c:pt idx="615">
                  <c:v>4.61783519684586</c:v>
                </c:pt>
                <c:pt idx="616">
                  <c:v>6.0046491657195755</c:v>
                </c:pt>
                <c:pt idx="617">
                  <c:v>5.207573663010713</c:v>
                </c:pt>
                <c:pt idx="618">
                  <c:v>4.4141995015479267</c:v>
                </c:pt>
                <c:pt idx="619">
                  <c:v>5.4137029110857355</c:v>
                </c:pt>
                <c:pt idx="620">
                  <c:v>5.1072772891860758</c:v>
                </c:pt>
                <c:pt idx="621">
                  <c:v>5.30398637640163</c:v>
                </c:pt>
                <c:pt idx="622">
                  <c:v>4.2709977869253635</c:v>
                </c:pt>
                <c:pt idx="623">
                  <c:v>5.1450038705639187</c:v>
                </c:pt>
                <c:pt idx="624">
                  <c:v>5.2133135735548422</c:v>
                </c:pt>
                <c:pt idx="625">
                  <c:v>5.5004167338978966</c:v>
                </c:pt>
                <c:pt idx="626">
                  <c:v>6.2623744206826313</c:v>
                </c:pt>
                <c:pt idx="627">
                  <c:v>5.5143162557555847</c:v>
                </c:pt>
                <c:pt idx="628">
                  <c:v>5.2152840502813778</c:v>
                </c:pt>
                <c:pt idx="629">
                  <c:v>4.4655797212303998</c:v>
                </c:pt>
                <c:pt idx="630">
                  <c:v>5.189650307522971</c:v>
                </c:pt>
                <c:pt idx="631">
                  <c:v>5.8370279131314238</c:v>
                </c:pt>
                <c:pt idx="632">
                  <c:v>5.2446488835901093</c:v>
                </c:pt>
                <c:pt idx="633">
                  <c:v>5.1993688344488014</c:v>
                </c:pt>
                <c:pt idx="634">
                  <c:v>4.6550038663555267</c:v>
                </c:pt>
                <c:pt idx="635">
                  <c:v>5.92270107524193</c:v>
                </c:pt>
                <c:pt idx="636">
                  <c:v>5.8150385548319399</c:v>
                </c:pt>
                <c:pt idx="637">
                  <c:v>4.3095871718139307</c:v>
                </c:pt>
                <c:pt idx="638">
                  <c:v>5.545521462594305</c:v>
                </c:pt>
                <c:pt idx="639">
                  <c:v>5.1772429828829427</c:v>
                </c:pt>
                <c:pt idx="640">
                  <c:v>5.038209597205773</c:v>
                </c:pt>
                <c:pt idx="641">
                  <c:v>5.2683755963634908</c:v>
                </c:pt>
                <c:pt idx="642">
                  <c:v>5.4339426532827417</c:v>
                </c:pt>
                <c:pt idx="643">
                  <c:v>5.2510084337898064</c:v>
                </c:pt>
                <c:pt idx="644">
                  <c:v>4.8265381317615752</c:v>
                </c:pt>
                <c:pt idx="645">
                  <c:v>3.7671471755571773</c:v>
                </c:pt>
                <c:pt idx="646">
                  <c:v>5.5173674770843508</c:v>
                </c:pt>
                <c:pt idx="647">
                  <c:v>5.3329774376880952</c:v>
                </c:pt>
                <c:pt idx="648">
                  <c:v>4.2584719065452692</c:v>
                </c:pt>
                <c:pt idx="649">
                  <c:v>5.2769521800493298</c:v>
                </c:pt>
                <c:pt idx="650">
                  <c:v>4.7539943572461283</c:v>
                </c:pt>
                <c:pt idx="651">
                  <c:v>5.2765092655767418</c:v>
                </c:pt>
                <c:pt idx="652">
                  <c:v>5.0708856272442802</c:v>
                </c:pt>
                <c:pt idx="653">
                  <c:v>4.753745620708445</c:v>
                </c:pt>
                <c:pt idx="654">
                  <c:v>5.1765482079049612</c:v>
                </c:pt>
                <c:pt idx="655">
                  <c:v>5.9240654997489433</c:v>
                </c:pt>
                <c:pt idx="656">
                  <c:v>4.4676781891581445</c:v>
                </c:pt>
                <c:pt idx="657">
                  <c:v>6.046155866514237</c:v>
                </c:pt>
                <c:pt idx="658">
                  <c:v>6.1609197248776173</c:v>
                </c:pt>
                <c:pt idx="659">
                  <c:v>4.7838067740071182</c:v>
                </c:pt>
                <c:pt idx="660">
                  <c:v>5.3280967466483045</c:v>
                </c:pt>
                <c:pt idx="661">
                  <c:v>4.4034578298290974</c:v>
                </c:pt>
                <c:pt idx="662">
                  <c:v>4.5973079021515755</c:v>
                </c:pt>
                <c:pt idx="663">
                  <c:v>4.8692487642612949</c:v>
                </c:pt>
                <c:pt idx="664">
                  <c:v>4.5963130897320337</c:v>
                </c:pt>
                <c:pt idx="665">
                  <c:v>5.1428984447318946</c:v>
                </c:pt>
                <c:pt idx="666">
                  <c:v>5.0581899426750656</c:v>
                </c:pt>
                <c:pt idx="667">
                  <c:v>5.4357398619624355</c:v>
                </c:pt>
                <c:pt idx="668">
                  <c:v>5.1598729969850421</c:v>
                </c:pt>
                <c:pt idx="669">
                  <c:v>5.1150977464022738</c:v>
                </c:pt>
                <c:pt idx="670">
                  <c:v>4.6970935706536245</c:v>
                </c:pt>
                <c:pt idx="671">
                  <c:v>5.5047765716203791</c:v>
                </c:pt>
                <c:pt idx="672">
                  <c:v>5.2663197077406796</c:v>
                </c:pt>
                <c:pt idx="673">
                  <c:v>5.557716388386666</c:v>
                </c:pt>
                <c:pt idx="674">
                  <c:v>4.0161079985521955</c:v>
                </c:pt>
                <c:pt idx="675">
                  <c:v>5.1996933060330672</c:v>
                </c:pt>
                <c:pt idx="676">
                  <c:v>5.6027896467724361</c:v>
                </c:pt>
                <c:pt idx="677">
                  <c:v>5.0215088756371316</c:v>
                </c:pt>
                <c:pt idx="678">
                  <c:v>5.6337685482139488</c:v>
                </c:pt>
                <c:pt idx="679">
                  <c:v>5.19126096366643</c:v>
                </c:pt>
                <c:pt idx="680">
                  <c:v>5.5494482368893348</c:v>
                </c:pt>
                <c:pt idx="681">
                  <c:v>5.221779005629239</c:v>
                </c:pt>
                <c:pt idx="682">
                  <c:v>3.952922158773541</c:v>
                </c:pt>
                <c:pt idx="683">
                  <c:v>5.082736985979162</c:v>
                </c:pt>
                <c:pt idx="684">
                  <c:v>4.5526534564873202</c:v>
                </c:pt>
                <c:pt idx="685">
                  <c:v>6.0954194533573816</c:v>
                </c:pt>
                <c:pt idx="686">
                  <c:v>5.5545705556857001</c:v>
                </c:pt>
                <c:pt idx="687">
                  <c:v>5.472654672888952</c:v>
                </c:pt>
                <c:pt idx="688">
                  <c:v>5.3725026766781312</c:v>
                </c:pt>
                <c:pt idx="689">
                  <c:v>3.8699832069908382</c:v>
                </c:pt>
                <c:pt idx="690">
                  <c:v>4.1287960028461459</c:v>
                </c:pt>
                <c:pt idx="691">
                  <c:v>5.0299655147044291</c:v>
                </c:pt>
                <c:pt idx="692">
                  <c:v>5.4175841934055313</c:v>
                </c:pt>
                <c:pt idx="693">
                  <c:v>5.229997399341487</c:v>
                </c:pt>
                <c:pt idx="694">
                  <c:v>5.040184569837562</c:v>
                </c:pt>
                <c:pt idx="695">
                  <c:v>4.7761831170853881</c:v>
                </c:pt>
                <c:pt idx="696">
                  <c:v>5.0748419503058564</c:v>
                </c:pt>
                <c:pt idx="697">
                  <c:v>4.6472489806988069</c:v>
                </c:pt>
                <c:pt idx="698">
                  <c:v>4.789883375953389</c:v>
                </c:pt>
                <c:pt idx="699">
                  <c:v>5.5087858384845081</c:v>
                </c:pt>
                <c:pt idx="700">
                  <c:v>4.6466591562056507</c:v>
                </c:pt>
                <c:pt idx="701">
                  <c:v>6.0469587575538259</c:v>
                </c:pt>
                <c:pt idx="702">
                  <c:v>4.0071699828523606</c:v>
                </c:pt>
                <c:pt idx="703">
                  <c:v>4.8491018942162967</c:v>
                </c:pt>
                <c:pt idx="704">
                  <c:v>5.2009310597632457</c:v>
                </c:pt>
                <c:pt idx="705">
                  <c:v>5.5292742392497409</c:v>
                </c:pt>
                <c:pt idx="706">
                  <c:v>4.4809548235064085</c:v>
                </c:pt>
                <c:pt idx="707">
                  <c:v>4.9909208116456902</c:v>
                </c:pt>
                <c:pt idx="708">
                  <c:v>5.5850007886340833</c:v>
                </c:pt>
                <c:pt idx="709">
                  <c:v>5.1020389071131262</c:v>
                </c:pt>
                <c:pt idx="710">
                  <c:v>5.4700219958241636</c:v>
                </c:pt>
                <c:pt idx="711">
                  <c:v>5.5233181215444738</c:v>
                </c:pt>
                <c:pt idx="712">
                  <c:v>6.1597653418589484</c:v>
                </c:pt>
                <c:pt idx="713">
                  <c:v>5.7026693655123051</c:v>
                </c:pt>
                <c:pt idx="714">
                  <c:v>5.3454828430364412</c:v>
                </c:pt>
                <c:pt idx="715">
                  <c:v>3.2984488016777185</c:v>
                </c:pt>
                <c:pt idx="716">
                  <c:v>4.5389560750274125</c:v>
                </c:pt>
                <c:pt idx="717">
                  <c:v>4.7150358886441168</c:v>
                </c:pt>
                <c:pt idx="718">
                  <c:v>5.8301836675378684</c:v>
                </c:pt>
                <c:pt idx="719">
                  <c:v>4.8098817591423444</c:v>
                </c:pt>
                <c:pt idx="720">
                  <c:v>5.1064614779017727</c:v>
                </c:pt>
                <c:pt idx="721">
                  <c:v>4.8823326666580762</c:v>
                </c:pt>
                <c:pt idx="722">
                  <c:v>5.3365638248745491</c:v>
                </c:pt>
                <c:pt idx="723">
                  <c:v>5.0477608302784258</c:v>
                </c:pt>
                <c:pt idx="724">
                  <c:v>4.9446110264912999</c:v>
                </c:pt>
                <c:pt idx="725">
                  <c:v>4.5053267140594073</c:v>
                </c:pt>
                <c:pt idx="726">
                  <c:v>5.0279914638746792</c:v>
                </c:pt>
                <c:pt idx="727">
                  <c:v>4.5315310612656301</c:v>
                </c:pt>
                <c:pt idx="728">
                  <c:v>5.5884225988284815</c:v>
                </c:pt>
                <c:pt idx="729">
                  <c:v>5.8738038144139271</c:v>
                </c:pt>
                <c:pt idx="730">
                  <c:v>4.8084362758547901</c:v>
                </c:pt>
                <c:pt idx="731">
                  <c:v>5.7681671585925525</c:v>
                </c:pt>
                <c:pt idx="732">
                  <c:v>5.729521175840901</c:v>
                </c:pt>
                <c:pt idx="733">
                  <c:v>5.5111278223270155</c:v>
                </c:pt>
                <c:pt idx="734">
                  <c:v>4.3339384726253662</c:v>
                </c:pt>
                <c:pt idx="735">
                  <c:v>5.9520550393475649</c:v>
                </c:pt>
                <c:pt idx="736">
                  <c:v>5.055481674140891</c:v>
                </c:pt>
                <c:pt idx="737">
                  <c:v>5.3021228482673131</c:v>
                </c:pt>
                <c:pt idx="738">
                  <c:v>4.9919814476955473</c:v>
                </c:pt>
                <c:pt idx="739">
                  <c:v>5.9444279751887112</c:v>
                </c:pt>
                <c:pt idx="740">
                  <c:v>4.9556087239387434</c:v>
                </c:pt>
                <c:pt idx="741">
                  <c:v>6.5263907564367916</c:v>
                </c:pt>
                <c:pt idx="742">
                  <c:v>5.2772080373690589</c:v>
                </c:pt>
                <c:pt idx="743">
                  <c:v>5.4056491511969362</c:v>
                </c:pt>
                <c:pt idx="744">
                  <c:v>6.5541568427833887</c:v>
                </c:pt>
                <c:pt idx="745">
                  <c:v>5.8565836195123904</c:v>
                </c:pt>
                <c:pt idx="746">
                  <c:v>4.4010443375213431</c:v>
                </c:pt>
                <c:pt idx="747">
                  <c:v>4.6784129951554085</c:v>
                </c:pt>
                <c:pt idx="748">
                  <c:v>5.1897331210508924</c:v>
                </c:pt>
                <c:pt idx="749">
                  <c:v>5.612408058854145</c:v>
                </c:pt>
                <c:pt idx="750">
                  <c:v>4.8228007159536119</c:v>
                </c:pt>
                <c:pt idx="751">
                  <c:v>6.0721625929739584</c:v>
                </c:pt>
                <c:pt idx="752">
                  <c:v>4.5349511333170938</c:v>
                </c:pt>
                <c:pt idx="753">
                  <c:v>5.3585266655955781</c:v>
                </c:pt>
                <c:pt idx="754">
                  <c:v>6.0703788949866233</c:v>
                </c:pt>
                <c:pt idx="755">
                  <c:v>4.5102395904466324</c:v>
                </c:pt>
                <c:pt idx="756">
                  <c:v>3.8694207585635265</c:v>
                </c:pt>
                <c:pt idx="757">
                  <c:v>5.5383333394806051</c:v>
                </c:pt>
                <c:pt idx="758">
                  <c:v>5.3126957413268592</c:v>
                </c:pt>
                <c:pt idx="759">
                  <c:v>5.7354805669990672</c:v>
                </c:pt>
                <c:pt idx="760">
                  <c:v>5.1756974167922234</c:v>
                </c:pt>
                <c:pt idx="761">
                  <c:v>5.2449081493974834</c:v>
                </c:pt>
                <c:pt idx="762">
                  <c:v>4.8552257794352549</c:v>
                </c:pt>
                <c:pt idx="763">
                  <c:v>4.8280332068569898</c:v>
                </c:pt>
                <c:pt idx="764">
                  <c:v>4.0010363338269652</c:v>
                </c:pt>
                <c:pt idx="765">
                  <c:v>4.732269542409</c:v>
                </c:pt>
                <c:pt idx="766">
                  <c:v>6.4601274488748519</c:v>
                </c:pt>
                <c:pt idx="767">
                  <c:v>5.7984818813259782</c:v>
                </c:pt>
                <c:pt idx="768">
                  <c:v>4.3988267069897287</c:v>
                </c:pt>
                <c:pt idx="769">
                  <c:v>4.5569870721112569</c:v>
                </c:pt>
                <c:pt idx="770">
                  <c:v>5.0611015326336304</c:v>
                </c:pt>
                <c:pt idx="771">
                  <c:v>4.9033318544080977</c:v>
                </c:pt>
                <c:pt idx="772">
                  <c:v>6.0049642952747284</c:v>
                </c:pt>
                <c:pt idx="773">
                  <c:v>5.6727567778598846</c:v>
                </c:pt>
                <c:pt idx="774">
                  <c:v>4.7094327325199199</c:v>
                </c:pt>
                <c:pt idx="775">
                  <c:v>4.9074550306752887</c:v>
                </c:pt>
                <c:pt idx="776">
                  <c:v>4.3114689446045915</c:v>
                </c:pt>
                <c:pt idx="777">
                  <c:v>6.1539355131876796</c:v>
                </c:pt>
                <c:pt idx="778">
                  <c:v>3.8530534381326689</c:v>
                </c:pt>
                <c:pt idx="779">
                  <c:v>3.9008951766861575</c:v>
                </c:pt>
                <c:pt idx="780">
                  <c:v>5.0790406241008963</c:v>
                </c:pt>
                <c:pt idx="781">
                  <c:v>5.1386704291658614</c:v>
                </c:pt>
                <c:pt idx="782">
                  <c:v>5.6541391661959288</c:v>
                </c:pt>
                <c:pt idx="783">
                  <c:v>4.1052311309148948</c:v>
                </c:pt>
                <c:pt idx="784">
                  <c:v>4.7481709574489077</c:v>
                </c:pt>
                <c:pt idx="785">
                  <c:v>5.6026190557025135</c:v>
                </c:pt>
                <c:pt idx="786">
                  <c:v>4.2494869132354172</c:v>
                </c:pt>
                <c:pt idx="787">
                  <c:v>4.56693545040274</c:v>
                </c:pt>
                <c:pt idx="788">
                  <c:v>4.9336884431781698</c:v>
                </c:pt>
                <c:pt idx="789">
                  <c:v>4.6631570206265565</c:v>
                </c:pt>
                <c:pt idx="790">
                  <c:v>5.5159644584692256</c:v>
                </c:pt>
                <c:pt idx="791">
                  <c:v>5.4707374660240937</c:v>
                </c:pt>
                <c:pt idx="792">
                  <c:v>5.9149054509685275</c:v>
                </c:pt>
                <c:pt idx="793">
                  <c:v>5.0721331731972814</c:v>
                </c:pt>
                <c:pt idx="794">
                  <c:v>5.2160818320549751</c:v>
                </c:pt>
                <c:pt idx="795">
                  <c:v>6.0347468851743766</c:v>
                </c:pt>
                <c:pt idx="796">
                  <c:v>4.9575143014352694</c:v>
                </c:pt>
                <c:pt idx="797">
                  <c:v>6.0990654574467662</c:v>
                </c:pt>
                <c:pt idx="798">
                  <c:v>5.466957774882987</c:v>
                </c:pt>
                <c:pt idx="799">
                  <c:v>5.5609853596540617</c:v>
                </c:pt>
                <c:pt idx="800">
                  <c:v>5.2215267554435627</c:v>
                </c:pt>
                <c:pt idx="801">
                  <c:v>5.719375385927874</c:v>
                </c:pt>
                <c:pt idx="802">
                  <c:v>5.3597854368848044</c:v>
                </c:pt>
                <c:pt idx="803">
                  <c:v>6.4004409004986726</c:v>
                </c:pt>
                <c:pt idx="804">
                  <c:v>5.4691926144400878</c:v>
                </c:pt>
                <c:pt idx="805">
                  <c:v>5.9021605081583601</c:v>
                </c:pt>
                <c:pt idx="806">
                  <c:v>5.256721416850306</c:v>
                </c:pt>
                <c:pt idx="807">
                  <c:v>4.4714220343325035</c:v>
                </c:pt>
                <c:pt idx="808">
                  <c:v>5.3539170550371349</c:v>
                </c:pt>
                <c:pt idx="809">
                  <c:v>5.7034394564839968</c:v>
                </c:pt>
                <c:pt idx="810">
                  <c:v>5.3509575185889471</c:v>
                </c:pt>
                <c:pt idx="811">
                  <c:v>4.4033722094376113</c:v>
                </c:pt>
                <c:pt idx="812">
                  <c:v>4.7642260632378921</c:v>
                </c:pt>
                <c:pt idx="813">
                  <c:v>4.8190157768271273</c:v>
                </c:pt>
                <c:pt idx="814">
                  <c:v>3.3660156431346255</c:v>
                </c:pt>
                <c:pt idx="815">
                  <c:v>4.6234461898631949</c:v>
                </c:pt>
                <c:pt idx="816">
                  <c:v>4.7240912731865219</c:v>
                </c:pt>
                <c:pt idx="817">
                  <c:v>5.3874843221066691</c:v>
                </c:pt>
                <c:pt idx="818">
                  <c:v>4.418679086925632</c:v>
                </c:pt>
                <c:pt idx="819">
                  <c:v>5.6126679190753705</c:v>
                </c:pt>
                <c:pt idx="820">
                  <c:v>5.5768344384508595</c:v>
                </c:pt>
                <c:pt idx="821">
                  <c:v>4.3657016898500824</c:v>
                </c:pt>
                <c:pt idx="822">
                  <c:v>5.7116118838730614</c:v>
                </c:pt>
                <c:pt idx="823">
                  <c:v>5.3081460864830241</c:v>
                </c:pt>
                <c:pt idx="824">
                  <c:v>5.4519046674411964</c:v>
                </c:pt>
                <c:pt idx="825">
                  <c:v>5.770531617632388</c:v>
                </c:pt>
                <c:pt idx="826">
                  <c:v>6.0719664295199802</c:v>
                </c:pt>
                <c:pt idx="827">
                  <c:v>6.0482836828161091</c:v>
                </c:pt>
                <c:pt idx="828">
                  <c:v>5.6230637441774789</c:v>
                </c:pt>
                <c:pt idx="829">
                  <c:v>5.0479437243204544</c:v>
                </c:pt>
                <c:pt idx="830">
                  <c:v>5.1146515927682241</c:v>
                </c:pt>
                <c:pt idx="831">
                  <c:v>5.2754843211540425</c:v>
                </c:pt>
                <c:pt idx="832">
                  <c:v>4.5899140571369337</c:v>
                </c:pt>
                <c:pt idx="833">
                  <c:v>4.9570255846766962</c:v>
                </c:pt>
                <c:pt idx="834">
                  <c:v>6.1908420991910127</c:v>
                </c:pt>
                <c:pt idx="835">
                  <c:v>4.9138954577118916</c:v>
                </c:pt>
                <c:pt idx="836">
                  <c:v>5.1990025549127701</c:v>
                </c:pt>
                <c:pt idx="837">
                  <c:v>5.259481510426836</c:v>
                </c:pt>
                <c:pt idx="838">
                  <c:v>4.8966716589875858</c:v>
                </c:pt>
                <c:pt idx="839">
                  <c:v>4.579124510090022</c:v>
                </c:pt>
                <c:pt idx="840">
                  <c:v>6.1483722072941926</c:v>
                </c:pt>
                <c:pt idx="841">
                  <c:v>5.4603081592007001</c:v>
                </c:pt>
                <c:pt idx="842">
                  <c:v>6.0413207011101875</c:v>
                </c:pt>
                <c:pt idx="843">
                  <c:v>4.871497805123937</c:v>
                </c:pt>
                <c:pt idx="844">
                  <c:v>5.2123782673177583</c:v>
                </c:pt>
                <c:pt idx="845">
                  <c:v>5.8849112302657325</c:v>
                </c:pt>
                <c:pt idx="846">
                  <c:v>5.8803863721903387</c:v>
                </c:pt>
                <c:pt idx="847">
                  <c:v>3.9307746870462967</c:v>
                </c:pt>
                <c:pt idx="848">
                  <c:v>5.3493280867807051</c:v>
                </c:pt>
                <c:pt idx="849">
                  <c:v>4.6280958455572598</c:v>
                </c:pt>
                <c:pt idx="850">
                  <c:v>5.8097474281053572</c:v>
                </c:pt>
                <c:pt idx="851">
                  <c:v>6.0927482503341199</c:v>
                </c:pt>
                <c:pt idx="852">
                  <c:v>5.5903046307185562</c:v>
                </c:pt>
                <c:pt idx="853">
                  <c:v>5.2976656580797119</c:v>
                </c:pt>
                <c:pt idx="854">
                  <c:v>3.7880604198266639</c:v>
                </c:pt>
                <c:pt idx="855">
                  <c:v>4.9255088380734939</c:v>
                </c:pt>
                <c:pt idx="856">
                  <c:v>5.56670204018417</c:v>
                </c:pt>
                <c:pt idx="857">
                  <c:v>4.7515842080514474</c:v>
                </c:pt>
                <c:pt idx="858">
                  <c:v>4.5683871990681766</c:v>
                </c:pt>
                <c:pt idx="859">
                  <c:v>4.4080774672270522</c:v>
                </c:pt>
                <c:pt idx="860">
                  <c:v>5.0338850669413766</c:v>
                </c:pt>
                <c:pt idx="861">
                  <c:v>4.3786362260480445</c:v>
                </c:pt>
                <c:pt idx="862">
                  <c:v>6.3802817778185634</c:v>
                </c:pt>
                <c:pt idx="863">
                  <c:v>5.0564158767304725</c:v>
                </c:pt>
                <c:pt idx="864">
                  <c:v>5.2289746641421306</c:v>
                </c:pt>
                <c:pt idx="865">
                  <c:v>5.4920497929230674</c:v>
                </c:pt>
                <c:pt idx="866">
                  <c:v>5.4779489881291639</c:v>
                </c:pt>
                <c:pt idx="867">
                  <c:v>5.1796846535388195</c:v>
                </c:pt>
                <c:pt idx="868">
                  <c:v>5.7176432741317509</c:v>
                </c:pt>
                <c:pt idx="869">
                  <c:v>5.7475811163066233</c:v>
                </c:pt>
                <c:pt idx="870">
                  <c:v>5.1589740968737381</c:v>
                </c:pt>
                <c:pt idx="871">
                  <c:v>4.7548601558124854</c:v>
                </c:pt>
                <c:pt idx="872">
                  <c:v>4.1860623379389672</c:v>
                </c:pt>
                <c:pt idx="873">
                  <c:v>5.0704500167787927</c:v>
                </c:pt>
                <c:pt idx="874">
                  <c:v>4.6735964400189527</c:v>
                </c:pt>
                <c:pt idx="875">
                  <c:v>5.0474479540211199</c:v>
                </c:pt>
                <c:pt idx="876">
                  <c:v>4.1856949774792245</c:v>
                </c:pt>
                <c:pt idx="877">
                  <c:v>5.2320975867795276</c:v>
                </c:pt>
                <c:pt idx="878">
                  <c:v>5.2100121275022175</c:v>
                </c:pt>
                <c:pt idx="879">
                  <c:v>5.1150036600397399</c:v>
                </c:pt>
                <c:pt idx="880">
                  <c:v>5.1779705740981719</c:v>
                </c:pt>
                <c:pt idx="881">
                  <c:v>4.8910523448313938</c:v>
                </c:pt>
                <c:pt idx="882">
                  <c:v>5.1979575074656967</c:v>
                </c:pt>
                <c:pt idx="883">
                  <c:v>4.6909916244714598</c:v>
                </c:pt>
                <c:pt idx="884">
                  <c:v>5.3050171177906993</c:v>
                </c:pt>
                <c:pt idx="885">
                  <c:v>4.8312169662512829</c:v>
                </c:pt>
                <c:pt idx="886">
                  <c:v>4.422621790534814</c:v>
                </c:pt>
                <c:pt idx="887">
                  <c:v>3.7053794900048267</c:v>
                </c:pt>
                <c:pt idx="888">
                  <c:v>5.0432082523635451</c:v>
                </c:pt>
                <c:pt idx="889">
                  <c:v>5.2950626106669514</c:v>
                </c:pt>
                <c:pt idx="890">
                  <c:v>4.944691391729604</c:v>
                </c:pt>
                <c:pt idx="891">
                  <c:v>4.2912202262878907</c:v>
                </c:pt>
                <c:pt idx="892">
                  <c:v>5.6732562425011057</c:v>
                </c:pt>
                <c:pt idx="893">
                  <c:v>4.6942544582679471</c:v>
                </c:pt>
                <c:pt idx="894">
                  <c:v>5.6935475334634162</c:v>
                </c:pt>
                <c:pt idx="895">
                  <c:v>5.2876356082815761</c:v>
                </c:pt>
                <c:pt idx="896">
                  <c:v>4.7112988279664645</c:v>
                </c:pt>
                <c:pt idx="897">
                  <c:v>5.3186306338150651</c:v>
                </c:pt>
                <c:pt idx="898">
                  <c:v>4.9636504027475787</c:v>
                </c:pt>
                <c:pt idx="899">
                  <c:v>5.4962927157034756</c:v>
                </c:pt>
                <c:pt idx="900">
                  <c:v>4.3746971634899943</c:v>
                </c:pt>
                <c:pt idx="901">
                  <c:v>5.608472707932993</c:v>
                </c:pt>
                <c:pt idx="902">
                  <c:v>5.4691178842668986</c:v>
                </c:pt>
                <c:pt idx="903">
                  <c:v>4.5642092216339361</c:v>
                </c:pt>
                <c:pt idx="904">
                  <c:v>5.1962008519985545</c:v>
                </c:pt>
                <c:pt idx="905">
                  <c:v>5.8699932811689397</c:v>
                </c:pt>
                <c:pt idx="906">
                  <c:v>6.0379392011465871</c:v>
                </c:pt>
                <c:pt idx="907">
                  <c:v>5.1027234126035967</c:v>
                </c:pt>
                <c:pt idx="908">
                  <c:v>5.6573915521624905</c:v>
                </c:pt>
                <c:pt idx="909">
                  <c:v>4.6973790511374407</c:v>
                </c:pt>
                <c:pt idx="910">
                  <c:v>5.5926479534200961</c:v>
                </c:pt>
                <c:pt idx="911">
                  <c:v>5.5911869240346839</c:v>
                </c:pt>
                <c:pt idx="912">
                  <c:v>4.6047905285279569</c:v>
                </c:pt>
                <c:pt idx="913">
                  <c:v>4.9212601421865454</c:v>
                </c:pt>
                <c:pt idx="914">
                  <c:v>5.7057263799972944</c:v>
                </c:pt>
                <c:pt idx="915">
                  <c:v>6.1929940566496189</c:v>
                </c:pt>
                <c:pt idx="916">
                  <c:v>4.4522023728054982</c:v>
                </c:pt>
                <c:pt idx="917">
                  <c:v>4.995030147505986</c:v>
                </c:pt>
                <c:pt idx="918">
                  <c:v>4.7720089147749825</c:v>
                </c:pt>
                <c:pt idx="919">
                  <c:v>4.6479991294657719</c:v>
                </c:pt>
                <c:pt idx="920">
                  <c:v>5.2097203843946946</c:v>
                </c:pt>
                <c:pt idx="921">
                  <c:v>4.8638567838850264</c:v>
                </c:pt>
                <c:pt idx="922">
                  <c:v>5.8049831711023216</c:v>
                </c:pt>
                <c:pt idx="923">
                  <c:v>5.1153343243373453</c:v>
                </c:pt>
                <c:pt idx="924">
                  <c:v>5.470034910469268</c:v>
                </c:pt>
                <c:pt idx="925">
                  <c:v>4.0386134584686513</c:v>
                </c:pt>
                <c:pt idx="926">
                  <c:v>4.82296824876682</c:v>
                </c:pt>
                <c:pt idx="927">
                  <c:v>4.9361779264576562</c:v>
                </c:pt>
                <c:pt idx="928">
                  <c:v>5.2014439583938437</c:v>
                </c:pt>
                <c:pt idx="929">
                  <c:v>4.5323364090290887</c:v>
                </c:pt>
                <c:pt idx="930">
                  <c:v>4.3444293996301671</c:v>
                </c:pt>
                <c:pt idx="931">
                  <c:v>4.9584843876236633</c:v>
                </c:pt>
                <c:pt idx="932">
                  <c:v>7.1336295164111494</c:v>
                </c:pt>
                <c:pt idx="933">
                  <c:v>6.06527803109514</c:v>
                </c:pt>
                <c:pt idx="934">
                  <c:v>4.1660448020509389</c:v>
                </c:pt>
                <c:pt idx="935">
                  <c:v>4.983802323857832</c:v>
                </c:pt>
                <c:pt idx="936">
                  <c:v>5.7063078477530009</c:v>
                </c:pt>
                <c:pt idx="937">
                  <c:v>4.3667497254725856</c:v>
                </c:pt>
                <c:pt idx="938">
                  <c:v>6.7089444813013674</c:v>
                </c:pt>
                <c:pt idx="939">
                  <c:v>5.8930725790149552</c:v>
                </c:pt>
                <c:pt idx="940">
                  <c:v>5.7470188762309693</c:v>
                </c:pt>
                <c:pt idx="941">
                  <c:v>5.2434871696056007</c:v>
                </c:pt>
                <c:pt idx="942">
                  <c:v>4.800466029208911</c:v>
                </c:pt>
                <c:pt idx="943">
                  <c:v>5.3948675917102786</c:v>
                </c:pt>
                <c:pt idx="944">
                  <c:v>5.1524186147206876</c:v>
                </c:pt>
                <c:pt idx="945">
                  <c:v>4.9037964565608565</c:v>
                </c:pt>
                <c:pt idx="946">
                  <c:v>6.1037002649545364</c:v>
                </c:pt>
                <c:pt idx="947">
                  <c:v>4.9896332163311943</c:v>
                </c:pt>
                <c:pt idx="948">
                  <c:v>4.1625720071141732</c:v>
                </c:pt>
                <c:pt idx="949">
                  <c:v>4.5023982866226433</c:v>
                </c:pt>
                <c:pt idx="950">
                  <c:v>5.4843080190291715</c:v>
                </c:pt>
                <c:pt idx="951">
                  <c:v>4.7316511742537077</c:v>
                </c:pt>
                <c:pt idx="952">
                  <c:v>5.4082303426214793</c:v>
                </c:pt>
                <c:pt idx="953">
                  <c:v>4.2685196124759326</c:v>
                </c:pt>
                <c:pt idx="954">
                  <c:v>5.8705457961247003</c:v>
                </c:pt>
                <c:pt idx="955">
                  <c:v>5.3151310556787745</c:v>
                </c:pt>
                <c:pt idx="956">
                  <c:v>5.0226820911976642</c:v>
                </c:pt>
                <c:pt idx="957">
                  <c:v>5.1061287522232828</c:v>
                </c:pt>
                <c:pt idx="958">
                  <c:v>5.6668372413081052</c:v>
                </c:pt>
                <c:pt idx="959">
                  <c:v>5.4133048167017961</c:v>
                </c:pt>
                <c:pt idx="960">
                  <c:v>5.4725519694323612</c:v>
                </c:pt>
                <c:pt idx="961">
                  <c:v>5.2459698075631707</c:v>
                </c:pt>
                <c:pt idx="962">
                  <c:v>5.8828947809504477</c:v>
                </c:pt>
                <c:pt idx="963">
                  <c:v>5.9500808069703588</c:v>
                </c:pt>
                <c:pt idx="964">
                  <c:v>4.1595901492226641</c:v>
                </c:pt>
                <c:pt idx="965">
                  <c:v>4.9743945931157718</c:v>
                </c:pt>
                <c:pt idx="966">
                  <c:v>5.9916160079607117</c:v>
                </c:pt>
                <c:pt idx="967">
                  <c:v>4.4834455957208981</c:v>
                </c:pt>
                <c:pt idx="968">
                  <c:v>4.3865499393115481</c:v>
                </c:pt>
                <c:pt idx="969">
                  <c:v>4.7962768703632079</c:v>
                </c:pt>
                <c:pt idx="970">
                  <c:v>5.2639583889599084</c:v>
                </c:pt>
                <c:pt idx="971">
                  <c:v>5.8320777567446296</c:v>
                </c:pt>
                <c:pt idx="972">
                  <c:v>6.2602648630639059</c:v>
                </c:pt>
                <c:pt idx="973">
                  <c:v>5.004185113532186</c:v>
                </c:pt>
                <c:pt idx="974">
                  <c:v>5.4204060019969962</c:v>
                </c:pt>
                <c:pt idx="975">
                  <c:v>4.6656517377391662</c:v>
                </c:pt>
                <c:pt idx="976">
                  <c:v>5.0351091918190161</c:v>
                </c:pt>
                <c:pt idx="977">
                  <c:v>5.1951050954495717</c:v>
                </c:pt>
                <c:pt idx="978">
                  <c:v>4.7258354424868063</c:v>
                </c:pt>
                <c:pt idx="979">
                  <c:v>4.0252703336814868</c:v>
                </c:pt>
                <c:pt idx="980">
                  <c:v>5.512537085299499</c:v>
                </c:pt>
                <c:pt idx="981">
                  <c:v>4.8408923476982668</c:v>
                </c:pt>
                <c:pt idx="982">
                  <c:v>5.0236680379638212</c:v>
                </c:pt>
                <c:pt idx="983">
                  <c:v>5.0878370672469249</c:v>
                </c:pt>
                <c:pt idx="984">
                  <c:v>5.6390205886384983</c:v>
                </c:pt>
                <c:pt idx="985">
                  <c:v>5.6207722927332426</c:v>
                </c:pt>
                <c:pt idx="986">
                  <c:v>4.6603867291156753</c:v>
                </c:pt>
                <c:pt idx="987">
                  <c:v>5.7568787621559121</c:v>
                </c:pt>
                <c:pt idx="988">
                  <c:v>4.7074694903123522</c:v>
                </c:pt>
                <c:pt idx="989">
                  <c:v>5.2215083297930711</c:v>
                </c:pt>
                <c:pt idx="990">
                  <c:v>6.1234516155819261</c:v>
                </c:pt>
                <c:pt idx="991">
                  <c:v>4.6770883437660444</c:v>
                </c:pt>
                <c:pt idx="992">
                  <c:v>5.6513538846529414</c:v>
                </c:pt>
                <c:pt idx="993">
                  <c:v>5.750183810967993</c:v>
                </c:pt>
                <c:pt idx="994">
                  <c:v>4.6910011447934128</c:v>
                </c:pt>
                <c:pt idx="995">
                  <c:v>5.2527110612810048</c:v>
                </c:pt>
                <c:pt idx="996">
                  <c:v>4.860700729291759</c:v>
                </c:pt>
                <c:pt idx="997">
                  <c:v>6.0058752109224276</c:v>
                </c:pt>
                <c:pt idx="998">
                  <c:v>5.578426516237819</c:v>
                </c:pt>
                <c:pt idx="999">
                  <c:v>6.2615257628275955</c:v>
                </c:pt>
              </c:numCache>
            </c:numRef>
          </c:xVal>
          <c:yVal>
            <c:numRef>
              <c:f>CEASimulation!$G$11:$G$1010</c:f>
              <c:numCache>
                <c:formatCode>0</c:formatCode>
                <c:ptCount val="1000"/>
                <c:pt idx="0">
                  <c:v>-816.61981703107267</c:v>
                </c:pt>
                <c:pt idx="1">
                  <c:v>-1297.0625128526092</c:v>
                </c:pt>
                <c:pt idx="2">
                  <c:v>-931.91159646384949</c:v>
                </c:pt>
                <c:pt idx="3">
                  <c:v>-1198.3643829548889</c:v>
                </c:pt>
                <c:pt idx="4">
                  <c:v>-980.47318038028016</c:v>
                </c:pt>
                <c:pt idx="5">
                  <c:v>-1008.5859025232448</c:v>
                </c:pt>
                <c:pt idx="6">
                  <c:v>-1010.846838793233</c:v>
                </c:pt>
                <c:pt idx="7">
                  <c:v>-1171.5112746941609</c:v>
                </c:pt>
                <c:pt idx="8">
                  <c:v>-1504.5295097442149</c:v>
                </c:pt>
                <c:pt idx="9">
                  <c:v>-833.87763331081464</c:v>
                </c:pt>
                <c:pt idx="10">
                  <c:v>-441.80907475813729</c:v>
                </c:pt>
                <c:pt idx="11">
                  <c:v>-1120.9077595060298</c:v>
                </c:pt>
                <c:pt idx="12">
                  <c:v>-1027.4449111165336</c:v>
                </c:pt>
                <c:pt idx="13">
                  <c:v>-1290.3913946357852</c:v>
                </c:pt>
                <c:pt idx="14">
                  <c:v>-501.22783294285409</c:v>
                </c:pt>
                <c:pt idx="15">
                  <c:v>-1028.359705594868</c:v>
                </c:pt>
                <c:pt idx="16">
                  <c:v>-1400.9140534576254</c:v>
                </c:pt>
                <c:pt idx="17">
                  <c:v>-868.16897626840864</c:v>
                </c:pt>
                <c:pt idx="18">
                  <c:v>-617.85529171998269</c:v>
                </c:pt>
                <c:pt idx="19">
                  <c:v>-1105.3173113265357</c:v>
                </c:pt>
                <c:pt idx="20">
                  <c:v>-1391.7396120697986</c:v>
                </c:pt>
                <c:pt idx="21">
                  <c:v>-767.3609173879131</c:v>
                </c:pt>
                <c:pt idx="22">
                  <c:v>-1312.6655271154013</c:v>
                </c:pt>
                <c:pt idx="23">
                  <c:v>-732.70325404399455</c:v>
                </c:pt>
                <c:pt idx="24">
                  <c:v>-892.16935819380569</c:v>
                </c:pt>
                <c:pt idx="25">
                  <c:v>-897.01577438602862</c:v>
                </c:pt>
                <c:pt idx="26">
                  <c:v>-965.73740836438401</c:v>
                </c:pt>
                <c:pt idx="27">
                  <c:v>-1322.6674669727627</c:v>
                </c:pt>
                <c:pt idx="28">
                  <c:v>-891.93778148537604</c:v>
                </c:pt>
                <c:pt idx="29">
                  <c:v>-1173.9004308326425</c:v>
                </c:pt>
                <c:pt idx="30">
                  <c:v>-808.70532828911928</c:v>
                </c:pt>
                <c:pt idx="31">
                  <c:v>-968.62489800368712</c:v>
                </c:pt>
                <c:pt idx="32">
                  <c:v>-728.26899489714742</c:v>
                </c:pt>
                <c:pt idx="33">
                  <c:v>-741.43960769740443</c:v>
                </c:pt>
                <c:pt idx="34">
                  <c:v>-829.70797727375293</c:v>
                </c:pt>
                <c:pt idx="35">
                  <c:v>-523.49445979448865</c:v>
                </c:pt>
                <c:pt idx="36">
                  <c:v>-798.85837918069387</c:v>
                </c:pt>
                <c:pt idx="37">
                  <c:v>-945.89443116157281</c:v>
                </c:pt>
                <c:pt idx="38">
                  <c:v>-1175.1724269000238</c:v>
                </c:pt>
                <c:pt idx="39">
                  <c:v>-779.8823388902947</c:v>
                </c:pt>
                <c:pt idx="40">
                  <c:v>-808.80889571367516</c:v>
                </c:pt>
                <c:pt idx="41">
                  <c:v>-842.47708882103007</c:v>
                </c:pt>
                <c:pt idx="42">
                  <c:v>-1046.4441072022214</c:v>
                </c:pt>
                <c:pt idx="43">
                  <c:v>-1166.7296491507241</c:v>
                </c:pt>
                <c:pt idx="44">
                  <c:v>-800.4177616450138</c:v>
                </c:pt>
                <c:pt idx="45">
                  <c:v>-1046.2705618775381</c:v>
                </c:pt>
                <c:pt idx="46">
                  <c:v>-1109.3582795917118</c:v>
                </c:pt>
                <c:pt idx="47">
                  <c:v>-865.78764288865705</c:v>
                </c:pt>
                <c:pt idx="48">
                  <c:v>-1055.1363865399453</c:v>
                </c:pt>
                <c:pt idx="49">
                  <c:v>-911.17422693001799</c:v>
                </c:pt>
                <c:pt idx="50">
                  <c:v>-1000.1361338776983</c:v>
                </c:pt>
                <c:pt idx="51">
                  <c:v>-1310.8799963773859</c:v>
                </c:pt>
                <c:pt idx="52">
                  <c:v>-1017.1031583551021</c:v>
                </c:pt>
                <c:pt idx="53">
                  <c:v>-1115.7352946572719</c:v>
                </c:pt>
                <c:pt idx="54">
                  <c:v>-644.83249311658574</c:v>
                </c:pt>
                <c:pt idx="55">
                  <c:v>-1175.6825185076964</c:v>
                </c:pt>
                <c:pt idx="56">
                  <c:v>-1030.4010637115257</c:v>
                </c:pt>
                <c:pt idx="57">
                  <c:v>-857.26026112110003</c:v>
                </c:pt>
                <c:pt idx="58">
                  <c:v>-984.36516028605183</c:v>
                </c:pt>
                <c:pt idx="59">
                  <c:v>-460.03922603186447</c:v>
                </c:pt>
                <c:pt idx="60">
                  <c:v>-980.47935057838913</c:v>
                </c:pt>
                <c:pt idx="61">
                  <c:v>-676.13238524034114</c:v>
                </c:pt>
                <c:pt idx="62">
                  <c:v>-970.45738699065896</c:v>
                </c:pt>
                <c:pt idx="63">
                  <c:v>-1309.5686194363466</c:v>
                </c:pt>
                <c:pt idx="64">
                  <c:v>-1134.5567804441644</c:v>
                </c:pt>
                <c:pt idx="65">
                  <c:v>-1081.6680381629455</c:v>
                </c:pt>
                <c:pt idx="66">
                  <c:v>-1042.2998525911489</c:v>
                </c:pt>
                <c:pt idx="67">
                  <c:v>-400.09478080893359</c:v>
                </c:pt>
                <c:pt idx="68">
                  <c:v>-1473.0572453010125</c:v>
                </c:pt>
                <c:pt idx="69">
                  <c:v>-762.71464514215813</c:v>
                </c:pt>
                <c:pt idx="70">
                  <c:v>-788.07438560823493</c:v>
                </c:pt>
                <c:pt idx="71">
                  <c:v>-989.33829158628805</c:v>
                </c:pt>
                <c:pt idx="72">
                  <c:v>-951.08875052639542</c:v>
                </c:pt>
                <c:pt idx="73">
                  <c:v>-995.98009423035637</c:v>
                </c:pt>
                <c:pt idx="74">
                  <c:v>-841.52113213164557</c:v>
                </c:pt>
                <c:pt idx="75">
                  <c:v>-1818.9185237692413</c:v>
                </c:pt>
                <c:pt idx="76">
                  <c:v>-1084.2867917789995</c:v>
                </c:pt>
                <c:pt idx="77">
                  <c:v>-1116.5950901602237</c:v>
                </c:pt>
                <c:pt idx="78">
                  <c:v>-1147.2785298956405</c:v>
                </c:pt>
                <c:pt idx="79">
                  <c:v>-1105.8128748967258</c:v>
                </c:pt>
                <c:pt idx="80">
                  <c:v>-1355.0545636160614</c:v>
                </c:pt>
                <c:pt idx="81">
                  <c:v>-924.466249620707</c:v>
                </c:pt>
                <c:pt idx="82">
                  <c:v>-1347.3892978361587</c:v>
                </c:pt>
                <c:pt idx="83">
                  <c:v>-411.59713809750701</c:v>
                </c:pt>
                <c:pt idx="84">
                  <c:v>-924.93938165372788</c:v>
                </c:pt>
                <c:pt idx="85">
                  <c:v>-1160.8953895214477</c:v>
                </c:pt>
                <c:pt idx="86">
                  <c:v>-1508.3646868498313</c:v>
                </c:pt>
                <c:pt idx="87">
                  <c:v>-1332.7167176066541</c:v>
                </c:pt>
                <c:pt idx="88">
                  <c:v>-772.00842152283894</c:v>
                </c:pt>
                <c:pt idx="89">
                  <c:v>-433.20916655754672</c:v>
                </c:pt>
                <c:pt idx="90">
                  <c:v>-1266.2339766942964</c:v>
                </c:pt>
                <c:pt idx="91">
                  <c:v>-973.89778336369864</c:v>
                </c:pt>
                <c:pt idx="92">
                  <c:v>-1186.0180143821672</c:v>
                </c:pt>
                <c:pt idx="93">
                  <c:v>-1089.578390603604</c:v>
                </c:pt>
                <c:pt idx="94">
                  <c:v>-455.54725022207185</c:v>
                </c:pt>
                <c:pt idx="95">
                  <c:v>-677.60567487200342</c:v>
                </c:pt>
                <c:pt idx="96">
                  <c:v>-989.13258597050299</c:v>
                </c:pt>
                <c:pt idx="97">
                  <c:v>-986.37484639103923</c:v>
                </c:pt>
                <c:pt idx="98">
                  <c:v>-992.65874097425194</c:v>
                </c:pt>
                <c:pt idx="99">
                  <c:v>-683.0899073045739</c:v>
                </c:pt>
                <c:pt idx="100">
                  <c:v>-925.20309801618032</c:v>
                </c:pt>
                <c:pt idx="101">
                  <c:v>-881.06940796576828</c:v>
                </c:pt>
                <c:pt idx="102">
                  <c:v>-544.67747626804521</c:v>
                </c:pt>
                <c:pt idx="103">
                  <c:v>-809.49771296104882</c:v>
                </c:pt>
                <c:pt idx="104">
                  <c:v>-1245.2144579924502</c:v>
                </c:pt>
                <c:pt idx="105">
                  <c:v>-913.66757224670255</c:v>
                </c:pt>
                <c:pt idx="106">
                  <c:v>-665.77899738519636</c:v>
                </c:pt>
                <c:pt idx="107">
                  <c:v>-816.15217398863615</c:v>
                </c:pt>
                <c:pt idx="108">
                  <c:v>-1399.6542782785591</c:v>
                </c:pt>
                <c:pt idx="109">
                  <c:v>-733.69848208502844</c:v>
                </c:pt>
                <c:pt idx="110">
                  <c:v>-687.10430927177458</c:v>
                </c:pt>
                <c:pt idx="111">
                  <c:v>-1042.9256609309589</c:v>
                </c:pt>
                <c:pt idx="112">
                  <c:v>-1423.8400153723401</c:v>
                </c:pt>
                <c:pt idx="113">
                  <c:v>-1184.4645494592955</c:v>
                </c:pt>
                <c:pt idx="114">
                  <c:v>-1106.3313540491563</c:v>
                </c:pt>
                <c:pt idx="115">
                  <c:v>-1099.5477705248895</c:v>
                </c:pt>
                <c:pt idx="116">
                  <c:v>-713.06853261594688</c:v>
                </c:pt>
                <c:pt idx="117">
                  <c:v>-796.4964544770487</c:v>
                </c:pt>
                <c:pt idx="118">
                  <c:v>-1181.7141427098186</c:v>
                </c:pt>
                <c:pt idx="119">
                  <c:v>-610.81206414005419</c:v>
                </c:pt>
                <c:pt idx="120">
                  <c:v>-1405.9284588069168</c:v>
                </c:pt>
                <c:pt idx="121">
                  <c:v>-738.64099667771779</c:v>
                </c:pt>
                <c:pt idx="122">
                  <c:v>-1225.0841687977231</c:v>
                </c:pt>
                <c:pt idx="123">
                  <c:v>-901.27327251709949</c:v>
                </c:pt>
                <c:pt idx="124">
                  <c:v>-852.54207587702604</c:v>
                </c:pt>
                <c:pt idx="125">
                  <c:v>-760.57813113457451</c:v>
                </c:pt>
                <c:pt idx="126">
                  <c:v>-893.75973587893895</c:v>
                </c:pt>
                <c:pt idx="127">
                  <c:v>-1217.0808648075893</c:v>
                </c:pt>
                <c:pt idx="128">
                  <c:v>-1154.1125747745832</c:v>
                </c:pt>
                <c:pt idx="129">
                  <c:v>-919.2382156281783</c:v>
                </c:pt>
                <c:pt idx="130">
                  <c:v>-922.71883018012613</c:v>
                </c:pt>
                <c:pt idx="131">
                  <c:v>-673.93593453688345</c:v>
                </c:pt>
                <c:pt idx="132">
                  <c:v>-929.12072395011728</c:v>
                </c:pt>
                <c:pt idx="133">
                  <c:v>-864.7446475579527</c:v>
                </c:pt>
                <c:pt idx="134">
                  <c:v>-1432.6646746435626</c:v>
                </c:pt>
                <c:pt idx="135">
                  <c:v>-1337.7207845640653</c:v>
                </c:pt>
                <c:pt idx="136">
                  <c:v>-1138.8416791613217</c:v>
                </c:pt>
                <c:pt idx="137">
                  <c:v>-1109.8573436054362</c:v>
                </c:pt>
                <c:pt idx="138">
                  <c:v>-864.20796792387546</c:v>
                </c:pt>
                <c:pt idx="139">
                  <c:v>-1276.3765692636989</c:v>
                </c:pt>
                <c:pt idx="140">
                  <c:v>-856.90076785614428</c:v>
                </c:pt>
                <c:pt idx="141">
                  <c:v>-1421.1782868104196</c:v>
                </c:pt>
                <c:pt idx="142">
                  <c:v>-1266.0982772855152</c:v>
                </c:pt>
                <c:pt idx="143">
                  <c:v>-1195.2078872961447</c:v>
                </c:pt>
                <c:pt idx="144">
                  <c:v>-1113.3703538351724</c:v>
                </c:pt>
                <c:pt idx="145">
                  <c:v>-764.23897153464259</c:v>
                </c:pt>
                <c:pt idx="146">
                  <c:v>-1416.4527328710819</c:v>
                </c:pt>
                <c:pt idx="147">
                  <c:v>-670.44036664330315</c:v>
                </c:pt>
                <c:pt idx="148">
                  <c:v>-1044.5504539604804</c:v>
                </c:pt>
                <c:pt idx="149">
                  <c:v>-1073.7111347488176</c:v>
                </c:pt>
                <c:pt idx="150">
                  <c:v>-993.71294561042669</c:v>
                </c:pt>
                <c:pt idx="151">
                  <c:v>-1164.217069571185</c:v>
                </c:pt>
                <c:pt idx="152">
                  <c:v>-847.1990762629207</c:v>
                </c:pt>
                <c:pt idx="153">
                  <c:v>-1150.3097510235962</c:v>
                </c:pt>
                <c:pt idx="154">
                  <c:v>-1255.9006583942412</c:v>
                </c:pt>
                <c:pt idx="155">
                  <c:v>-1019.6173796464129</c:v>
                </c:pt>
                <c:pt idx="156">
                  <c:v>-713.44378582196646</c:v>
                </c:pt>
                <c:pt idx="157">
                  <c:v>-1014.7552207911594</c:v>
                </c:pt>
                <c:pt idx="158">
                  <c:v>-984.76561612759906</c:v>
                </c:pt>
                <c:pt idx="159">
                  <c:v>-1086.9385209347204</c:v>
                </c:pt>
                <c:pt idx="160">
                  <c:v>-1145.8689126492554</c:v>
                </c:pt>
                <c:pt idx="161">
                  <c:v>-940.42199671476533</c:v>
                </c:pt>
                <c:pt idx="162">
                  <c:v>-557.35177010249754</c:v>
                </c:pt>
                <c:pt idx="163">
                  <c:v>-1379.2050795291889</c:v>
                </c:pt>
                <c:pt idx="164">
                  <c:v>-804.46589996609214</c:v>
                </c:pt>
                <c:pt idx="165">
                  <c:v>-946.87933831577993</c:v>
                </c:pt>
                <c:pt idx="166">
                  <c:v>-559.85923671081628</c:v>
                </c:pt>
                <c:pt idx="167">
                  <c:v>-332.23832687714867</c:v>
                </c:pt>
                <c:pt idx="168">
                  <c:v>-1082.8981928746473</c:v>
                </c:pt>
                <c:pt idx="169">
                  <c:v>-644.85441577040683</c:v>
                </c:pt>
                <c:pt idx="170">
                  <c:v>-1164.2835635594088</c:v>
                </c:pt>
                <c:pt idx="171">
                  <c:v>-724.44979804410968</c:v>
                </c:pt>
                <c:pt idx="172">
                  <c:v>-1466.3678797613966</c:v>
                </c:pt>
                <c:pt idx="173">
                  <c:v>-857.42435085749457</c:v>
                </c:pt>
                <c:pt idx="174">
                  <c:v>-394.93215297167353</c:v>
                </c:pt>
                <c:pt idx="175">
                  <c:v>-1253.0186001789289</c:v>
                </c:pt>
                <c:pt idx="176">
                  <c:v>-1510.3562829417374</c:v>
                </c:pt>
                <c:pt idx="177">
                  <c:v>-1155.3151404420937</c:v>
                </c:pt>
                <c:pt idx="178">
                  <c:v>-1044.3477163521779</c:v>
                </c:pt>
                <c:pt idx="179">
                  <c:v>-1616.3004256918725</c:v>
                </c:pt>
                <c:pt idx="180">
                  <c:v>-587.72253844032502</c:v>
                </c:pt>
                <c:pt idx="181">
                  <c:v>-1093.1933119800342</c:v>
                </c:pt>
                <c:pt idx="182">
                  <c:v>-694.64440417068272</c:v>
                </c:pt>
                <c:pt idx="183">
                  <c:v>-1052.9049637209082</c:v>
                </c:pt>
                <c:pt idx="184">
                  <c:v>-964.520066562794</c:v>
                </c:pt>
                <c:pt idx="185">
                  <c:v>-422.65636699238985</c:v>
                </c:pt>
                <c:pt idx="186">
                  <c:v>-782.99913410294766</c:v>
                </c:pt>
                <c:pt idx="187">
                  <c:v>-788.22415005637549</c:v>
                </c:pt>
                <c:pt idx="188">
                  <c:v>-1260.8883346842317</c:v>
                </c:pt>
                <c:pt idx="189">
                  <c:v>-1119.395181621665</c:v>
                </c:pt>
                <c:pt idx="190">
                  <c:v>-849.94287388132216</c:v>
                </c:pt>
                <c:pt idx="191">
                  <c:v>-518.12247861394735</c:v>
                </c:pt>
                <c:pt idx="192">
                  <c:v>-1149.7466031005756</c:v>
                </c:pt>
                <c:pt idx="193">
                  <c:v>-1101.2322033058963</c:v>
                </c:pt>
                <c:pt idx="194">
                  <c:v>-773.63803924054582</c:v>
                </c:pt>
                <c:pt idx="195">
                  <c:v>-684.32737213638666</c:v>
                </c:pt>
                <c:pt idx="196">
                  <c:v>-1035.5771538985305</c:v>
                </c:pt>
                <c:pt idx="197">
                  <c:v>-798.78075356922932</c:v>
                </c:pt>
                <c:pt idx="198">
                  <c:v>-686.731957640769</c:v>
                </c:pt>
                <c:pt idx="199">
                  <c:v>-757.78951953213436</c:v>
                </c:pt>
                <c:pt idx="200">
                  <c:v>-976.40610827030332</c:v>
                </c:pt>
                <c:pt idx="201">
                  <c:v>-404.816795307343</c:v>
                </c:pt>
                <c:pt idx="202">
                  <c:v>-1406.7860112322219</c:v>
                </c:pt>
                <c:pt idx="203">
                  <c:v>-712.24967975094569</c:v>
                </c:pt>
                <c:pt idx="204">
                  <c:v>-1165.1581557013878</c:v>
                </c:pt>
                <c:pt idx="205">
                  <c:v>-996.38528602037968</c:v>
                </c:pt>
                <c:pt idx="206">
                  <c:v>-884.63642435964357</c:v>
                </c:pt>
                <c:pt idx="207">
                  <c:v>-858.16820510316211</c:v>
                </c:pt>
                <c:pt idx="208">
                  <c:v>-769.12984444054973</c:v>
                </c:pt>
                <c:pt idx="209">
                  <c:v>-488.75306539068242</c:v>
                </c:pt>
                <c:pt idx="210">
                  <c:v>-799.69413749088608</c:v>
                </c:pt>
                <c:pt idx="211">
                  <c:v>-1208.4956355991521</c:v>
                </c:pt>
                <c:pt idx="212">
                  <c:v>-1112.1270192081656</c:v>
                </c:pt>
                <c:pt idx="213">
                  <c:v>-1223.8670727345157</c:v>
                </c:pt>
                <c:pt idx="214">
                  <c:v>-726.25311070745556</c:v>
                </c:pt>
                <c:pt idx="215">
                  <c:v>-1264.3628440727339</c:v>
                </c:pt>
                <c:pt idx="216">
                  <c:v>-1038.6693708692028</c:v>
                </c:pt>
                <c:pt idx="217">
                  <c:v>-881.51323238635723</c:v>
                </c:pt>
                <c:pt idx="218">
                  <c:v>-978.42958355967767</c:v>
                </c:pt>
                <c:pt idx="219">
                  <c:v>-779.70465210099246</c:v>
                </c:pt>
                <c:pt idx="220">
                  <c:v>-759.45240571191562</c:v>
                </c:pt>
                <c:pt idx="221">
                  <c:v>-800.99919319296851</c:v>
                </c:pt>
                <c:pt idx="222">
                  <c:v>-972.87522729284956</c:v>
                </c:pt>
                <c:pt idx="223">
                  <c:v>-1207.7176822979256</c:v>
                </c:pt>
                <c:pt idx="224">
                  <c:v>-807.76880073007987</c:v>
                </c:pt>
                <c:pt idx="225">
                  <c:v>-757.09208998435724</c:v>
                </c:pt>
                <c:pt idx="226">
                  <c:v>-1182.2192979125823</c:v>
                </c:pt>
                <c:pt idx="227">
                  <c:v>-1488.6348243437733</c:v>
                </c:pt>
                <c:pt idx="228">
                  <c:v>-940.62792845418812</c:v>
                </c:pt>
                <c:pt idx="229">
                  <c:v>-568.00182778917724</c:v>
                </c:pt>
                <c:pt idx="230">
                  <c:v>-1479.6924061207535</c:v>
                </c:pt>
                <c:pt idx="231">
                  <c:v>-801.9650343350304</c:v>
                </c:pt>
                <c:pt idx="232">
                  <c:v>-806.03810164339893</c:v>
                </c:pt>
                <c:pt idx="233">
                  <c:v>-910.19584073108695</c:v>
                </c:pt>
                <c:pt idx="234">
                  <c:v>-1196.0554891345541</c:v>
                </c:pt>
                <c:pt idx="235">
                  <c:v>-922.79486935045406</c:v>
                </c:pt>
                <c:pt idx="236">
                  <c:v>-848.90996000039331</c:v>
                </c:pt>
                <c:pt idx="237">
                  <c:v>-778.04031804998567</c:v>
                </c:pt>
                <c:pt idx="238">
                  <c:v>-1257.6426927687012</c:v>
                </c:pt>
                <c:pt idx="239">
                  <c:v>-1019.2641930086688</c:v>
                </c:pt>
                <c:pt idx="240">
                  <c:v>-457.61620620563826</c:v>
                </c:pt>
                <c:pt idx="241">
                  <c:v>-935.42560123466319</c:v>
                </c:pt>
                <c:pt idx="242">
                  <c:v>-1033.4313011293848</c:v>
                </c:pt>
                <c:pt idx="243">
                  <c:v>-502.36523243845795</c:v>
                </c:pt>
                <c:pt idx="244">
                  <c:v>-766.72583356811674</c:v>
                </c:pt>
                <c:pt idx="245">
                  <c:v>-680.7862422965859</c:v>
                </c:pt>
                <c:pt idx="246">
                  <c:v>-844.1752786724569</c:v>
                </c:pt>
                <c:pt idx="247">
                  <c:v>-702.17314303251214</c:v>
                </c:pt>
                <c:pt idx="248">
                  <c:v>-1405.7263927611803</c:v>
                </c:pt>
                <c:pt idx="249">
                  <c:v>-774.4544997931539</c:v>
                </c:pt>
                <c:pt idx="250">
                  <c:v>-612.72396106993801</c:v>
                </c:pt>
                <c:pt idx="251">
                  <c:v>-932.0377112104693</c:v>
                </c:pt>
                <c:pt idx="252">
                  <c:v>-1329.2706256585493</c:v>
                </c:pt>
                <c:pt idx="253">
                  <c:v>-1473.3754601366786</c:v>
                </c:pt>
                <c:pt idx="254">
                  <c:v>-981.43811331195775</c:v>
                </c:pt>
                <c:pt idx="255">
                  <c:v>-1027.2869846744909</c:v>
                </c:pt>
                <c:pt idx="256">
                  <c:v>-646.50768455929574</c:v>
                </c:pt>
                <c:pt idx="257">
                  <c:v>-437.99550799479721</c:v>
                </c:pt>
                <c:pt idx="258">
                  <c:v>-1106.5364876292688</c:v>
                </c:pt>
                <c:pt idx="259">
                  <c:v>-1377.8736300716907</c:v>
                </c:pt>
                <c:pt idx="260">
                  <c:v>-1035.2042669509879</c:v>
                </c:pt>
                <c:pt idx="261">
                  <c:v>-877.98923467654686</c:v>
                </c:pt>
                <c:pt idx="262">
                  <c:v>-733.57965955869804</c:v>
                </c:pt>
                <c:pt idx="263">
                  <c:v>-1427.5425441017337</c:v>
                </c:pt>
                <c:pt idx="264">
                  <c:v>-519.24365437357392</c:v>
                </c:pt>
                <c:pt idx="265">
                  <c:v>-997.14209329401547</c:v>
                </c:pt>
                <c:pt idx="266">
                  <c:v>-1407.1309286320707</c:v>
                </c:pt>
                <c:pt idx="267">
                  <c:v>-933.46011920629098</c:v>
                </c:pt>
                <c:pt idx="268">
                  <c:v>-1006.9535479268391</c:v>
                </c:pt>
                <c:pt idx="269">
                  <c:v>-1058.9480832320842</c:v>
                </c:pt>
                <c:pt idx="270">
                  <c:v>-1003.1517818805332</c:v>
                </c:pt>
                <c:pt idx="271">
                  <c:v>-1247.3673007364696</c:v>
                </c:pt>
                <c:pt idx="272">
                  <c:v>-1372.5650806620397</c:v>
                </c:pt>
                <c:pt idx="273">
                  <c:v>-632.09703950485527</c:v>
                </c:pt>
                <c:pt idx="274">
                  <c:v>-720.4722107089683</c:v>
                </c:pt>
                <c:pt idx="275">
                  <c:v>-899.70633389462773</c:v>
                </c:pt>
                <c:pt idx="276">
                  <c:v>-1293.2559698061627</c:v>
                </c:pt>
                <c:pt idx="277">
                  <c:v>-1100.9280440791244</c:v>
                </c:pt>
                <c:pt idx="278">
                  <c:v>-840.99729867152064</c:v>
                </c:pt>
                <c:pt idx="279">
                  <c:v>-1360.7956203872627</c:v>
                </c:pt>
                <c:pt idx="280">
                  <c:v>-571.04186043701475</c:v>
                </c:pt>
                <c:pt idx="281">
                  <c:v>-1218.2532366216938</c:v>
                </c:pt>
                <c:pt idx="282">
                  <c:v>-1250.945676153729</c:v>
                </c:pt>
                <c:pt idx="283">
                  <c:v>-933.31043498791223</c:v>
                </c:pt>
                <c:pt idx="284">
                  <c:v>-1137.7176907519802</c:v>
                </c:pt>
                <c:pt idx="285">
                  <c:v>-953.60749366696746</c:v>
                </c:pt>
                <c:pt idx="286">
                  <c:v>-1049.1642702434592</c:v>
                </c:pt>
                <c:pt idx="287">
                  <c:v>-642.76442855220421</c:v>
                </c:pt>
                <c:pt idx="288">
                  <c:v>-1009.6592291672519</c:v>
                </c:pt>
                <c:pt idx="289">
                  <c:v>-1111.4403321325033</c:v>
                </c:pt>
                <c:pt idx="290">
                  <c:v>-1196.1789957724329</c:v>
                </c:pt>
                <c:pt idx="291">
                  <c:v>-1124.2280477800305</c:v>
                </c:pt>
                <c:pt idx="292">
                  <c:v>-824.39187041139758</c:v>
                </c:pt>
                <c:pt idx="293">
                  <c:v>-858.21342625947455</c:v>
                </c:pt>
                <c:pt idx="294">
                  <c:v>-1073.6178105610743</c:v>
                </c:pt>
                <c:pt idx="295">
                  <c:v>-435.93644284284164</c:v>
                </c:pt>
                <c:pt idx="296">
                  <c:v>-405.97633788882695</c:v>
                </c:pt>
                <c:pt idx="297">
                  <c:v>-937.3757191784598</c:v>
                </c:pt>
                <c:pt idx="298">
                  <c:v>-932.10879977031664</c:v>
                </c:pt>
                <c:pt idx="299">
                  <c:v>-603.60384717810712</c:v>
                </c:pt>
                <c:pt idx="300">
                  <c:v>-876.54645404498501</c:v>
                </c:pt>
                <c:pt idx="301">
                  <c:v>-561.47039138342143</c:v>
                </c:pt>
                <c:pt idx="302">
                  <c:v>-776.79021592957338</c:v>
                </c:pt>
                <c:pt idx="303">
                  <c:v>-1017.3282336197449</c:v>
                </c:pt>
                <c:pt idx="304">
                  <c:v>-1146.5347167928117</c:v>
                </c:pt>
                <c:pt idx="305">
                  <c:v>-605.83685254537795</c:v>
                </c:pt>
                <c:pt idx="306">
                  <c:v>-757.83672584846863</c:v>
                </c:pt>
                <c:pt idx="307">
                  <c:v>-1066.5520152402423</c:v>
                </c:pt>
                <c:pt idx="308">
                  <c:v>-744.0177193170075</c:v>
                </c:pt>
                <c:pt idx="309">
                  <c:v>-914.12419901343333</c:v>
                </c:pt>
                <c:pt idx="310">
                  <c:v>-1168.2519147019066</c:v>
                </c:pt>
                <c:pt idx="311">
                  <c:v>-404.38494176309041</c:v>
                </c:pt>
                <c:pt idx="312">
                  <c:v>-1105.8321686484214</c:v>
                </c:pt>
                <c:pt idx="313">
                  <c:v>-672.79833203851695</c:v>
                </c:pt>
                <c:pt idx="314">
                  <c:v>-911.64804472279684</c:v>
                </c:pt>
                <c:pt idx="315">
                  <c:v>-1394.2404405106131</c:v>
                </c:pt>
                <c:pt idx="316">
                  <c:v>-1072.3811697627007</c:v>
                </c:pt>
                <c:pt idx="317">
                  <c:v>-1291.4872138216151</c:v>
                </c:pt>
                <c:pt idx="318">
                  <c:v>-978.46960410762722</c:v>
                </c:pt>
                <c:pt idx="319">
                  <c:v>-1553.0815290061428</c:v>
                </c:pt>
                <c:pt idx="320">
                  <c:v>-565.18977172698987</c:v>
                </c:pt>
                <c:pt idx="321">
                  <c:v>-699.40022747266676</c:v>
                </c:pt>
                <c:pt idx="322">
                  <c:v>-928.32632614306931</c:v>
                </c:pt>
                <c:pt idx="323">
                  <c:v>-1422.5204009572703</c:v>
                </c:pt>
                <c:pt idx="324">
                  <c:v>-1054.3059243232237</c:v>
                </c:pt>
                <c:pt idx="325">
                  <c:v>-1373.0140758226189</c:v>
                </c:pt>
                <c:pt idx="326">
                  <c:v>-602.7656889908003</c:v>
                </c:pt>
                <c:pt idx="327">
                  <c:v>-1305.7112435370673</c:v>
                </c:pt>
                <c:pt idx="328">
                  <c:v>-1309.9251175169411</c:v>
                </c:pt>
                <c:pt idx="329">
                  <c:v>-816.11701179351167</c:v>
                </c:pt>
                <c:pt idx="330">
                  <c:v>-760.39704123454612</c:v>
                </c:pt>
                <c:pt idx="331">
                  <c:v>-1312.8912350704613</c:v>
                </c:pt>
                <c:pt idx="332">
                  <c:v>-682.18096913640466</c:v>
                </c:pt>
                <c:pt idx="333">
                  <c:v>-1379.1334005441254</c:v>
                </c:pt>
                <c:pt idx="334">
                  <c:v>-1430.8838954773087</c:v>
                </c:pt>
                <c:pt idx="335">
                  <c:v>-626.73171688072034</c:v>
                </c:pt>
                <c:pt idx="336">
                  <c:v>-981.99817396609819</c:v>
                </c:pt>
                <c:pt idx="337">
                  <c:v>-1015.8532048183879</c:v>
                </c:pt>
                <c:pt idx="338">
                  <c:v>-855.74702596534917</c:v>
                </c:pt>
                <c:pt idx="339">
                  <c:v>-718.67366453139493</c:v>
                </c:pt>
                <c:pt idx="340">
                  <c:v>-877.16733663229388</c:v>
                </c:pt>
                <c:pt idx="341">
                  <c:v>-962.5391993140579</c:v>
                </c:pt>
                <c:pt idx="342">
                  <c:v>-436.965685935892</c:v>
                </c:pt>
                <c:pt idx="343">
                  <c:v>-887.76442037985498</c:v>
                </c:pt>
                <c:pt idx="344">
                  <c:v>-1015.1926391349421</c:v>
                </c:pt>
                <c:pt idx="345">
                  <c:v>-1004.5043296771414</c:v>
                </c:pt>
                <c:pt idx="346">
                  <c:v>-778.90087217669679</c:v>
                </c:pt>
                <c:pt idx="347">
                  <c:v>-1126.4974761579938</c:v>
                </c:pt>
                <c:pt idx="348">
                  <c:v>-882.92091340145362</c:v>
                </c:pt>
                <c:pt idx="349">
                  <c:v>-798.46605792841638</c:v>
                </c:pt>
                <c:pt idx="350">
                  <c:v>-632.22187060150964</c:v>
                </c:pt>
                <c:pt idx="351">
                  <c:v>-571.36934152737194</c:v>
                </c:pt>
                <c:pt idx="352">
                  <c:v>-1230.2264025402596</c:v>
                </c:pt>
                <c:pt idx="353">
                  <c:v>-370.69923081842671</c:v>
                </c:pt>
                <c:pt idx="354">
                  <c:v>-1104.9181819772102</c:v>
                </c:pt>
                <c:pt idx="355">
                  <c:v>-810.71653002951871</c:v>
                </c:pt>
                <c:pt idx="356">
                  <c:v>-608.94672188622053</c:v>
                </c:pt>
                <c:pt idx="357">
                  <c:v>-851.60063977287564</c:v>
                </c:pt>
                <c:pt idx="358">
                  <c:v>-828.17408262316394</c:v>
                </c:pt>
                <c:pt idx="359">
                  <c:v>-1024.1254013994389</c:v>
                </c:pt>
                <c:pt idx="360">
                  <c:v>-474.23138343500341</c:v>
                </c:pt>
                <c:pt idx="361">
                  <c:v>-859.75482529517012</c:v>
                </c:pt>
                <c:pt idx="362">
                  <c:v>-1063.7048814063814</c:v>
                </c:pt>
                <c:pt idx="363">
                  <c:v>-1135.2248285933842</c:v>
                </c:pt>
                <c:pt idx="364">
                  <c:v>-966.55070823205051</c:v>
                </c:pt>
                <c:pt idx="365">
                  <c:v>-989.54671574533313</c:v>
                </c:pt>
                <c:pt idx="366">
                  <c:v>-766.95177685716772</c:v>
                </c:pt>
                <c:pt idx="367">
                  <c:v>-1156.5274948327144</c:v>
                </c:pt>
                <c:pt idx="368">
                  <c:v>-1143.5847307199697</c:v>
                </c:pt>
                <c:pt idx="369">
                  <c:v>-627.16647884367467</c:v>
                </c:pt>
                <c:pt idx="370">
                  <c:v>-951.80539255597319</c:v>
                </c:pt>
                <c:pt idx="371">
                  <c:v>-1208.2343070927168</c:v>
                </c:pt>
                <c:pt idx="372">
                  <c:v>-864.30194610359695</c:v>
                </c:pt>
                <c:pt idx="373">
                  <c:v>-1208.722201830934</c:v>
                </c:pt>
                <c:pt idx="374">
                  <c:v>-1161.3428946148058</c:v>
                </c:pt>
                <c:pt idx="375">
                  <c:v>-1162.514732219528</c:v>
                </c:pt>
                <c:pt idx="376">
                  <c:v>-605.95002050121093</c:v>
                </c:pt>
                <c:pt idx="377">
                  <c:v>-1091.5728340087226</c:v>
                </c:pt>
                <c:pt idx="378">
                  <c:v>-991.97276994596587</c:v>
                </c:pt>
                <c:pt idx="379">
                  <c:v>-709.37682361858606</c:v>
                </c:pt>
                <c:pt idx="380">
                  <c:v>-602.32176740588648</c:v>
                </c:pt>
                <c:pt idx="381">
                  <c:v>-691.74091136958168</c:v>
                </c:pt>
                <c:pt idx="382">
                  <c:v>-844.45662599828711</c:v>
                </c:pt>
                <c:pt idx="383">
                  <c:v>-905.89355447951448</c:v>
                </c:pt>
                <c:pt idx="384">
                  <c:v>-1101.3921561890734</c:v>
                </c:pt>
                <c:pt idx="385">
                  <c:v>-688.75289045304771</c:v>
                </c:pt>
                <c:pt idx="386">
                  <c:v>-852.42699796989427</c:v>
                </c:pt>
                <c:pt idx="387">
                  <c:v>-1054.3294978445906</c:v>
                </c:pt>
                <c:pt idx="388">
                  <c:v>-939.16032724094634</c:v>
                </c:pt>
                <c:pt idx="389">
                  <c:v>-1251.6595634660398</c:v>
                </c:pt>
                <c:pt idx="390">
                  <c:v>-881.55821346019366</c:v>
                </c:pt>
                <c:pt idx="391">
                  <c:v>-863.54614783217312</c:v>
                </c:pt>
                <c:pt idx="392">
                  <c:v>-486.07674639411312</c:v>
                </c:pt>
                <c:pt idx="393">
                  <c:v>-799.1772003672645</c:v>
                </c:pt>
                <c:pt idx="394">
                  <c:v>-1151.5770853178306</c:v>
                </c:pt>
                <c:pt idx="395">
                  <c:v>-621.11397852805476</c:v>
                </c:pt>
                <c:pt idx="396">
                  <c:v>-1068.8035838409457</c:v>
                </c:pt>
                <c:pt idx="397">
                  <c:v>-859.69471879657181</c:v>
                </c:pt>
                <c:pt idx="398">
                  <c:v>-649.25493295226852</c:v>
                </c:pt>
                <c:pt idx="399">
                  <c:v>-905.70477656857952</c:v>
                </c:pt>
                <c:pt idx="400">
                  <c:v>-892.84471232867327</c:v>
                </c:pt>
                <c:pt idx="401">
                  <c:v>-689.0952453880102</c:v>
                </c:pt>
                <c:pt idx="402">
                  <c:v>-965.62247550597408</c:v>
                </c:pt>
                <c:pt idx="403">
                  <c:v>-519.93668385113961</c:v>
                </c:pt>
                <c:pt idx="404">
                  <c:v>-895.51246891972005</c:v>
                </c:pt>
                <c:pt idx="405">
                  <c:v>-827.5419042774256</c:v>
                </c:pt>
                <c:pt idx="406">
                  <c:v>-881.75661053106592</c:v>
                </c:pt>
                <c:pt idx="407">
                  <c:v>-1358.1610544728997</c:v>
                </c:pt>
                <c:pt idx="408">
                  <c:v>-1252.8402504923347</c:v>
                </c:pt>
                <c:pt idx="409">
                  <c:v>-979.01211425076599</c:v>
                </c:pt>
                <c:pt idx="410">
                  <c:v>-1441.1480052218567</c:v>
                </c:pt>
                <c:pt idx="411">
                  <c:v>-786.64807914759604</c:v>
                </c:pt>
                <c:pt idx="412">
                  <c:v>-925.38583419262545</c:v>
                </c:pt>
                <c:pt idx="413">
                  <c:v>-1140.5412763676761</c:v>
                </c:pt>
                <c:pt idx="414">
                  <c:v>-1025.0024449397765</c:v>
                </c:pt>
                <c:pt idx="415">
                  <c:v>-1144.3868789031862</c:v>
                </c:pt>
                <c:pt idx="416">
                  <c:v>-1361.2800566551107</c:v>
                </c:pt>
                <c:pt idx="417">
                  <c:v>-1425.1183976550215</c:v>
                </c:pt>
                <c:pt idx="418">
                  <c:v>-1632.7350389326855</c:v>
                </c:pt>
                <c:pt idx="419">
                  <c:v>-1016.6413660251255</c:v>
                </c:pt>
                <c:pt idx="420">
                  <c:v>-825.16421969740531</c:v>
                </c:pt>
                <c:pt idx="421">
                  <c:v>-1003.2659765967237</c:v>
                </c:pt>
                <c:pt idx="422">
                  <c:v>-868.04839885154024</c:v>
                </c:pt>
                <c:pt idx="423">
                  <c:v>-870.19388391207121</c:v>
                </c:pt>
                <c:pt idx="424">
                  <c:v>-749.10270929553917</c:v>
                </c:pt>
                <c:pt idx="425">
                  <c:v>-1174.6386121796832</c:v>
                </c:pt>
                <c:pt idx="426">
                  <c:v>-842.33736537192203</c:v>
                </c:pt>
                <c:pt idx="427">
                  <c:v>-881.80739446646567</c:v>
                </c:pt>
                <c:pt idx="428">
                  <c:v>-776.85371258208215</c:v>
                </c:pt>
                <c:pt idx="429">
                  <c:v>-898.43893460440449</c:v>
                </c:pt>
                <c:pt idx="430">
                  <c:v>-775.88238918926709</c:v>
                </c:pt>
                <c:pt idx="431">
                  <c:v>-287.92068245454243</c:v>
                </c:pt>
                <c:pt idx="432">
                  <c:v>-330.16251996448136</c:v>
                </c:pt>
                <c:pt idx="433">
                  <c:v>-1672.0263805943937</c:v>
                </c:pt>
                <c:pt idx="434">
                  <c:v>-974.42375117594429</c:v>
                </c:pt>
                <c:pt idx="435">
                  <c:v>-1209.8800456286954</c:v>
                </c:pt>
                <c:pt idx="436">
                  <c:v>-886.81296879969887</c:v>
                </c:pt>
                <c:pt idx="437">
                  <c:v>-926.7838809420341</c:v>
                </c:pt>
                <c:pt idx="438">
                  <c:v>-861.46726160993012</c:v>
                </c:pt>
                <c:pt idx="439">
                  <c:v>-1208.5274687493347</c:v>
                </c:pt>
                <c:pt idx="440">
                  <c:v>-813.91036579775027</c:v>
                </c:pt>
                <c:pt idx="441">
                  <c:v>-931.65947240852711</c:v>
                </c:pt>
                <c:pt idx="442">
                  <c:v>-1316.9607181045667</c:v>
                </c:pt>
                <c:pt idx="443">
                  <c:v>-930.53040616123462</c:v>
                </c:pt>
                <c:pt idx="444">
                  <c:v>-1106.30684112175</c:v>
                </c:pt>
                <c:pt idx="445">
                  <c:v>-858.47118445462138</c:v>
                </c:pt>
                <c:pt idx="446">
                  <c:v>-818.416346859025</c:v>
                </c:pt>
                <c:pt idx="447">
                  <c:v>-1203.1701879468728</c:v>
                </c:pt>
                <c:pt idx="448">
                  <c:v>-946.11102628790059</c:v>
                </c:pt>
                <c:pt idx="449">
                  <c:v>-907.26154139414075</c:v>
                </c:pt>
                <c:pt idx="450">
                  <c:v>-855.48123949188357</c:v>
                </c:pt>
                <c:pt idx="451">
                  <c:v>-1149.2775208912917</c:v>
                </c:pt>
                <c:pt idx="452">
                  <c:v>-905.91398587151843</c:v>
                </c:pt>
                <c:pt idx="453">
                  <c:v>-1180.9216777129618</c:v>
                </c:pt>
                <c:pt idx="454">
                  <c:v>-820.04847540414426</c:v>
                </c:pt>
                <c:pt idx="455">
                  <c:v>-1230.3148524029643</c:v>
                </c:pt>
                <c:pt idx="456">
                  <c:v>-794.21179905878989</c:v>
                </c:pt>
                <c:pt idx="457">
                  <c:v>-1045.8854492633909</c:v>
                </c:pt>
                <c:pt idx="458">
                  <c:v>-1308.3208798296223</c:v>
                </c:pt>
                <c:pt idx="459">
                  <c:v>-633.51470449953081</c:v>
                </c:pt>
                <c:pt idx="460">
                  <c:v>-1072.2213702899412</c:v>
                </c:pt>
                <c:pt idx="461">
                  <c:v>-1039.4608768327325</c:v>
                </c:pt>
                <c:pt idx="462">
                  <c:v>-1222.8586714613234</c:v>
                </c:pt>
                <c:pt idx="463">
                  <c:v>-1227.5899414254177</c:v>
                </c:pt>
                <c:pt idx="464">
                  <c:v>-427.28062983593054</c:v>
                </c:pt>
                <c:pt idx="465">
                  <c:v>-1056.296209911849</c:v>
                </c:pt>
                <c:pt idx="466">
                  <c:v>-1453.4200109751455</c:v>
                </c:pt>
                <c:pt idx="467">
                  <c:v>-280.48942455813267</c:v>
                </c:pt>
                <c:pt idx="468">
                  <c:v>-862.26172191293745</c:v>
                </c:pt>
                <c:pt idx="469">
                  <c:v>-644.48863803113727</c:v>
                </c:pt>
                <c:pt idx="470">
                  <c:v>-1142.942658836826</c:v>
                </c:pt>
                <c:pt idx="471">
                  <c:v>-1184.3915024577209</c:v>
                </c:pt>
                <c:pt idx="472">
                  <c:v>-1241.3285944979098</c:v>
                </c:pt>
                <c:pt idx="473">
                  <c:v>-1130.1848329358763</c:v>
                </c:pt>
                <c:pt idx="474">
                  <c:v>-1219.3424476720656</c:v>
                </c:pt>
                <c:pt idx="475">
                  <c:v>-812.97842412358546</c:v>
                </c:pt>
                <c:pt idx="476">
                  <c:v>-1146.6096804198205</c:v>
                </c:pt>
                <c:pt idx="477">
                  <c:v>-1493.6571461977783</c:v>
                </c:pt>
                <c:pt idx="478">
                  <c:v>-1236.7705778441752</c:v>
                </c:pt>
                <c:pt idx="479">
                  <c:v>-907.18054573440986</c:v>
                </c:pt>
                <c:pt idx="480">
                  <c:v>-849.49514984980851</c:v>
                </c:pt>
                <c:pt idx="481">
                  <c:v>-1468.4931436711415</c:v>
                </c:pt>
                <c:pt idx="482">
                  <c:v>-1220.0236973547362</c:v>
                </c:pt>
                <c:pt idx="483">
                  <c:v>-863.79291669825443</c:v>
                </c:pt>
                <c:pt idx="484">
                  <c:v>-874.89433227593327</c:v>
                </c:pt>
                <c:pt idx="485">
                  <c:v>-593.48632320117031</c:v>
                </c:pt>
                <c:pt idx="486">
                  <c:v>-673.05184251778519</c:v>
                </c:pt>
                <c:pt idx="487">
                  <c:v>-1023.6372825785788</c:v>
                </c:pt>
                <c:pt idx="488">
                  <c:v>-648.28916348228904</c:v>
                </c:pt>
                <c:pt idx="489">
                  <c:v>-938.74798638067819</c:v>
                </c:pt>
                <c:pt idx="490">
                  <c:v>-981.61012243279265</c:v>
                </c:pt>
                <c:pt idx="491">
                  <c:v>-1183.4864406552379</c:v>
                </c:pt>
                <c:pt idx="492">
                  <c:v>-803.3285884789691</c:v>
                </c:pt>
                <c:pt idx="493">
                  <c:v>-997.67412823439645</c:v>
                </c:pt>
                <c:pt idx="494">
                  <c:v>-998.32210870155404</c:v>
                </c:pt>
                <c:pt idx="495">
                  <c:v>-1101.7156403495014</c:v>
                </c:pt>
                <c:pt idx="496">
                  <c:v>-1012.7677318754345</c:v>
                </c:pt>
                <c:pt idx="497">
                  <c:v>-1050.5626770075278</c:v>
                </c:pt>
                <c:pt idx="498">
                  <c:v>-739.42325998843853</c:v>
                </c:pt>
                <c:pt idx="499">
                  <c:v>-1134.7169941537948</c:v>
                </c:pt>
                <c:pt idx="500">
                  <c:v>-1300.6422610174377</c:v>
                </c:pt>
                <c:pt idx="501">
                  <c:v>-963.73770774933155</c:v>
                </c:pt>
                <c:pt idx="502">
                  <c:v>-1024.7978108028196</c:v>
                </c:pt>
                <c:pt idx="503">
                  <c:v>-947.01554320979494</c:v>
                </c:pt>
                <c:pt idx="504">
                  <c:v>-1051.0417033538461</c:v>
                </c:pt>
                <c:pt idx="505">
                  <c:v>-1137.7669295598134</c:v>
                </c:pt>
                <c:pt idx="506">
                  <c:v>-1466.7989676498919</c:v>
                </c:pt>
                <c:pt idx="507">
                  <c:v>-763.88181452347817</c:v>
                </c:pt>
                <c:pt idx="508">
                  <c:v>-792.48604127111048</c:v>
                </c:pt>
                <c:pt idx="509">
                  <c:v>-588.19422543096698</c:v>
                </c:pt>
                <c:pt idx="510">
                  <c:v>-548.37523572983628</c:v>
                </c:pt>
                <c:pt idx="511">
                  <c:v>-1139.0005356905785</c:v>
                </c:pt>
                <c:pt idx="512">
                  <c:v>-598.39394465659825</c:v>
                </c:pt>
                <c:pt idx="513">
                  <c:v>-1042.9226210598149</c:v>
                </c:pt>
                <c:pt idx="514">
                  <c:v>-1073.9604086645118</c:v>
                </c:pt>
                <c:pt idx="515">
                  <c:v>-1125.9329274120701</c:v>
                </c:pt>
                <c:pt idx="516">
                  <c:v>-1024.7154344909363</c:v>
                </c:pt>
                <c:pt idx="517">
                  <c:v>-965.46672425810493</c:v>
                </c:pt>
                <c:pt idx="518">
                  <c:v>-944.23853310664254</c:v>
                </c:pt>
                <c:pt idx="519">
                  <c:v>-969.12773471552919</c:v>
                </c:pt>
                <c:pt idx="520">
                  <c:v>-833.5033946200756</c:v>
                </c:pt>
                <c:pt idx="521">
                  <c:v>-1209.4033623019532</c:v>
                </c:pt>
                <c:pt idx="522">
                  <c:v>-1140.9174270309022</c:v>
                </c:pt>
                <c:pt idx="523">
                  <c:v>-1164.7070213589925</c:v>
                </c:pt>
                <c:pt idx="524">
                  <c:v>-614.79468258115458</c:v>
                </c:pt>
                <c:pt idx="525">
                  <c:v>-745.62609942210884</c:v>
                </c:pt>
                <c:pt idx="526">
                  <c:v>-1112.4871693954833</c:v>
                </c:pt>
                <c:pt idx="527">
                  <c:v>-915.12970752090268</c:v>
                </c:pt>
                <c:pt idx="528">
                  <c:v>-736.68288807262115</c:v>
                </c:pt>
                <c:pt idx="529">
                  <c:v>-840.30445357881035</c:v>
                </c:pt>
                <c:pt idx="530">
                  <c:v>-1092.0528659252632</c:v>
                </c:pt>
                <c:pt idx="531">
                  <c:v>-1076.873434931214</c:v>
                </c:pt>
                <c:pt idx="532">
                  <c:v>-344.31906902593528</c:v>
                </c:pt>
                <c:pt idx="533">
                  <c:v>-1065.131777430852</c:v>
                </c:pt>
                <c:pt idx="534">
                  <c:v>-1535.8283406573855</c:v>
                </c:pt>
                <c:pt idx="535">
                  <c:v>-597.70157105611065</c:v>
                </c:pt>
                <c:pt idx="536">
                  <c:v>-928.85195459913757</c:v>
                </c:pt>
                <c:pt idx="537">
                  <c:v>-1206.4336660406855</c:v>
                </c:pt>
                <c:pt idx="538">
                  <c:v>-986.71228145002624</c:v>
                </c:pt>
                <c:pt idx="539">
                  <c:v>-381.13802526365089</c:v>
                </c:pt>
                <c:pt idx="540">
                  <c:v>-1539.857669367897</c:v>
                </c:pt>
                <c:pt idx="541">
                  <c:v>-994.79314015529872</c:v>
                </c:pt>
                <c:pt idx="542">
                  <c:v>-532.22840806559952</c:v>
                </c:pt>
                <c:pt idx="543">
                  <c:v>-901.79542045494236</c:v>
                </c:pt>
                <c:pt idx="544">
                  <c:v>-908.5340391294269</c:v>
                </c:pt>
                <c:pt idx="545">
                  <c:v>-1416.1893426703014</c:v>
                </c:pt>
                <c:pt idx="546">
                  <c:v>-854.76774567960069</c:v>
                </c:pt>
                <c:pt idx="547">
                  <c:v>-1174.0035942234513</c:v>
                </c:pt>
                <c:pt idx="548">
                  <c:v>-879.07208868125099</c:v>
                </c:pt>
                <c:pt idx="549">
                  <c:v>-437.17042672478146</c:v>
                </c:pt>
                <c:pt idx="550">
                  <c:v>-865.70699646871435</c:v>
                </c:pt>
                <c:pt idx="551">
                  <c:v>-671.95864480696127</c:v>
                </c:pt>
                <c:pt idx="552">
                  <c:v>-579.87346422593873</c:v>
                </c:pt>
                <c:pt idx="553">
                  <c:v>-1255.0571155264338</c:v>
                </c:pt>
                <c:pt idx="554">
                  <c:v>-493.86670314721459</c:v>
                </c:pt>
                <c:pt idx="555">
                  <c:v>-1186.8212261993294</c:v>
                </c:pt>
                <c:pt idx="556">
                  <c:v>-1073.9295804911462</c:v>
                </c:pt>
                <c:pt idx="557">
                  <c:v>-1211.7818265577325</c:v>
                </c:pt>
                <c:pt idx="558">
                  <c:v>-1021.4546139701069</c:v>
                </c:pt>
                <c:pt idx="559">
                  <c:v>-1380.6396227664295</c:v>
                </c:pt>
                <c:pt idx="560">
                  <c:v>-890.69950494178602</c:v>
                </c:pt>
                <c:pt idx="561">
                  <c:v>-926.39742312878593</c:v>
                </c:pt>
                <c:pt idx="562">
                  <c:v>-844.12915708504443</c:v>
                </c:pt>
                <c:pt idx="563">
                  <c:v>-989.83818794052513</c:v>
                </c:pt>
                <c:pt idx="564">
                  <c:v>-1067.1091113044827</c:v>
                </c:pt>
                <c:pt idx="565">
                  <c:v>-538.90500206260685</c:v>
                </c:pt>
                <c:pt idx="566">
                  <c:v>-1061.1219653677413</c:v>
                </c:pt>
                <c:pt idx="567">
                  <c:v>-427.98541408820529</c:v>
                </c:pt>
                <c:pt idx="568">
                  <c:v>-549.57921031427122</c:v>
                </c:pt>
                <c:pt idx="569">
                  <c:v>-788.96757051972099</c:v>
                </c:pt>
                <c:pt idx="570">
                  <c:v>-1246.9699171091243</c:v>
                </c:pt>
                <c:pt idx="571">
                  <c:v>-967.78013806140984</c:v>
                </c:pt>
                <c:pt idx="572">
                  <c:v>-1155.4865295572272</c:v>
                </c:pt>
                <c:pt idx="573">
                  <c:v>-1040.7174429686097</c:v>
                </c:pt>
                <c:pt idx="574">
                  <c:v>-958.73759783220885</c:v>
                </c:pt>
                <c:pt idx="575">
                  <c:v>-1048.8755608223396</c:v>
                </c:pt>
                <c:pt idx="576">
                  <c:v>-1057.1423591574048</c:v>
                </c:pt>
                <c:pt idx="577">
                  <c:v>-1165.9186066185157</c:v>
                </c:pt>
                <c:pt idx="578">
                  <c:v>-884.65921046760832</c:v>
                </c:pt>
                <c:pt idx="579">
                  <c:v>-847.1335278373831</c:v>
                </c:pt>
                <c:pt idx="580">
                  <c:v>-1007.5895374288571</c:v>
                </c:pt>
                <c:pt idx="581">
                  <c:v>-839.61650547606268</c:v>
                </c:pt>
                <c:pt idx="582">
                  <c:v>-1081.8388203583122</c:v>
                </c:pt>
                <c:pt idx="583">
                  <c:v>-1036.9715046775432</c:v>
                </c:pt>
                <c:pt idx="584">
                  <c:v>-1505.701489672841</c:v>
                </c:pt>
                <c:pt idx="585">
                  <c:v>-712.96794425434655</c:v>
                </c:pt>
                <c:pt idx="586">
                  <c:v>-1045.421596062668</c:v>
                </c:pt>
                <c:pt idx="587">
                  <c:v>-963.25681430985151</c:v>
                </c:pt>
                <c:pt idx="588">
                  <c:v>-426.11681686456018</c:v>
                </c:pt>
                <c:pt idx="589">
                  <c:v>-503.32599175535643</c:v>
                </c:pt>
                <c:pt idx="590">
                  <c:v>-1039.534181137853</c:v>
                </c:pt>
                <c:pt idx="591">
                  <c:v>-494.22148051636964</c:v>
                </c:pt>
                <c:pt idx="592">
                  <c:v>-995.8726051447461</c:v>
                </c:pt>
                <c:pt idx="593">
                  <c:v>-715.57725859615039</c:v>
                </c:pt>
                <c:pt idx="594">
                  <c:v>-852.74170720202846</c:v>
                </c:pt>
                <c:pt idx="595">
                  <c:v>-1085.4730546003693</c:v>
                </c:pt>
                <c:pt idx="596">
                  <c:v>-539.90210757694513</c:v>
                </c:pt>
                <c:pt idx="597">
                  <c:v>-1243.6668703515393</c:v>
                </c:pt>
                <c:pt idx="598">
                  <c:v>-405.53704628194146</c:v>
                </c:pt>
                <c:pt idx="599">
                  <c:v>-979.01110399278355</c:v>
                </c:pt>
                <c:pt idx="600">
                  <c:v>-878.31193351561842</c:v>
                </c:pt>
                <c:pt idx="601">
                  <c:v>-1039.9127568847348</c:v>
                </c:pt>
                <c:pt idx="602">
                  <c:v>-958.8319292582828</c:v>
                </c:pt>
                <c:pt idx="603">
                  <c:v>-1235.7717748983009</c:v>
                </c:pt>
                <c:pt idx="604">
                  <c:v>-1183.6610569467525</c:v>
                </c:pt>
                <c:pt idx="605">
                  <c:v>-999.2916881726087</c:v>
                </c:pt>
                <c:pt idx="606">
                  <c:v>-1420.1352435923141</c:v>
                </c:pt>
                <c:pt idx="607">
                  <c:v>-1155.7939556763949</c:v>
                </c:pt>
                <c:pt idx="608">
                  <c:v>-1225.8152115676999</c:v>
                </c:pt>
                <c:pt idx="609">
                  <c:v>-1163.3364896361056</c:v>
                </c:pt>
                <c:pt idx="610">
                  <c:v>-946.90574474369191</c:v>
                </c:pt>
                <c:pt idx="611">
                  <c:v>-850.75859877815901</c:v>
                </c:pt>
                <c:pt idx="612">
                  <c:v>-817.36579791510712</c:v>
                </c:pt>
                <c:pt idx="613">
                  <c:v>-990.05042572384059</c:v>
                </c:pt>
                <c:pt idx="614">
                  <c:v>-773.18403612471002</c:v>
                </c:pt>
                <c:pt idx="615">
                  <c:v>-887.2234458220928</c:v>
                </c:pt>
                <c:pt idx="616">
                  <c:v>-606.34357285081387</c:v>
                </c:pt>
                <c:pt idx="617">
                  <c:v>-1327.4329030058834</c:v>
                </c:pt>
                <c:pt idx="618">
                  <c:v>-936.8101617229554</c:v>
                </c:pt>
                <c:pt idx="619">
                  <c:v>-1167.2470018728418</c:v>
                </c:pt>
                <c:pt idx="620">
                  <c:v>-936.86667596965572</c:v>
                </c:pt>
                <c:pt idx="621">
                  <c:v>-826.04593569273084</c:v>
                </c:pt>
                <c:pt idx="622">
                  <c:v>-653.04811382110483</c:v>
                </c:pt>
                <c:pt idx="623">
                  <c:v>-812.56211812336551</c:v>
                </c:pt>
                <c:pt idx="624">
                  <c:v>-1015.7302763094417</c:v>
                </c:pt>
                <c:pt idx="625">
                  <c:v>-954.23052162096701</c:v>
                </c:pt>
                <c:pt idx="626">
                  <c:v>-1633.2551751726155</c:v>
                </c:pt>
                <c:pt idx="627">
                  <c:v>-1188.340858825291</c:v>
                </c:pt>
                <c:pt idx="628">
                  <c:v>-856.60108291551842</c:v>
                </c:pt>
                <c:pt idx="629">
                  <c:v>-660.26500661879481</c:v>
                </c:pt>
                <c:pt idx="630">
                  <c:v>-1227.530369999241</c:v>
                </c:pt>
                <c:pt idx="631">
                  <c:v>-915.47876579145486</c:v>
                </c:pt>
                <c:pt idx="632">
                  <c:v>-562.27142041651859</c:v>
                </c:pt>
                <c:pt idx="633">
                  <c:v>-1128.4709089063765</c:v>
                </c:pt>
                <c:pt idx="634">
                  <c:v>-611.99656385821118</c:v>
                </c:pt>
                <c:pt idx="635">
                  <c:v>-1141.9409803254016</c:v>
                </c:pt>
                <c:pt idx="636">
                  <c:v>-1113.7291106492135</c:v>
                </c:pt>
                <c:pt idx="637">
                  <c:v>-1387.3198877232646</c:v>
                </c:pt>
                <c:pt idx="638">
                  <c:v>-891.48748163455957</c:v>
                </c:pt>
                <c:pt idx="639">
                  <c:v>-1213.1692358271898</c:v>
                </c:pt>
                <c:pt idx="640">
                  <c:v>-1022.8834551804448</c:v>
                </c:pt>
                <c:pt idx="641">
                  <c:v>-1331.1215005095505</c:v>
                </c:pt>
                <c:pt idx="642">
                  <c:v>-553.54289463536452</c:v>
                </c:pt>
                <c:pt idx="643">
                  <c:v>-797.05429724458736</c:v>
                </c:pt>
                <c:pt idx="644">
                  <c:v>-966.33416560361184</c:v>
                </c:pt>
                <c:pt idx="645">
                  <c:v>-637.75610406473879</c:v>
                </c:pt>
                <c:pt idx="646">
                  <c:v>-941.83814230585449</c:v>
                </c:pt>
                <c:pt idx="647">
                  <c:v>-769.98832213239348</c:v>
                </c:pt>
                <c:pt idx="648">
                  <c:v>-737.18785673442062</c:v>
                </c:pt>
                <c:pt idx="649">
                  <c:v>-1371.8501532370021</c:v>
                </c:pt>
                <c:pt idx="650">
                  <c:v>-738.71900562852488</c:v>
                </c:pt>
                <c:pt idx="651">
                  <c:v>-479.71904571128721</c:v>
                </c:pt>
                <c:pt idx="652">
                  <c:v>-526.19465904441927</c:v>
                </c:pt>
                <c:pt idx="653">
                  <c:v>-818.16377941689211</c:v>
                </c:pt>
                <c:pt idx="654">
                  <c:v>-878.87948962933001</c:v>
                </c:pt>
                <c:pt idx="655">
                  <c:v>-1315.1232353976302</c:v>
                </c:pt>
                <c:pt idx="656">
                  <c:v>-1205.7052711018614</c:v>
                </c:pt>
                <c:pt idx="657">
                  <c:v>-1125.1487399842881</c:v>
                </c:pt>
                <c:pt idx="658">
                  <c:v>-785.53357424039996</c:v>
                </c:pt>
                <c:pt idx="659">
                  <c:v>-937.2344762588823</c:v>
                </c:pt>
                <c:pt idx="660">
                  <c:v>-1031.9515234889172</c:v>
                </c:pt>
                <c:pt idx="661">
                  <c:v>-989.41124416884759</c:v>
                </c:pt>
                <c:pt idx="662">
                  <c:v>-1065.1019266202088</c:v>
                </c:pt>
                <c:pt idx="663">
                  <c:v>-725.86043664457657</c:v>
                </c:pt>
                <c:pt idx="664">
                  <c:v>-1062.0745977266045</c:v>
                </c:pt>
                <c:pt idx="665">
                  <c:v>-982.46580233821373</c:v>
                </c:pt>
                <c:pt idx="666">
                  <c:v>-1068.926734876477</c:v>
                </c:pt>
                <c:pt idx="667">
                  <c:v>-1211.7427552990603</c:v>
                </c:pt>
                <c:pt idx="668">
                  <c:v>-1094.2164880077949</c:v>
                </c:pt>
                <c:pt idx="669">
                  <c:v>-1098.8789475354415</c:v>
                </c:pt>
                <c:pt idx="670">
                  <c:v>-587.48755900680453</c:v>
                </c:pt>
                <c:pt idx="671">
                  <c:v>-726.40928605792215</c:v>
                </c:pt>
                <c:pt idx="672">
                  <c:v>-922.86314214506569</c:v>
                </c:pt>
                <c:pt idx="673">
                  <c:v>-774.38673395387059</c:v>
                </c:pt>
                <c:pt idx="674">
                  <c:v>-1013.1314015626942</c:v>
                </c:pt>
                <c:pt idx="675">
                  <c:v>-914.98460242663987</c:v>
                </c:pt>
                <c:pt idx="676">
                  <c:v>-654.57761335906116</c:v>
                </c:pt>
                <c:pt idx="677">
                  <c:v>-776.2719430169991</c:v>
                </c:pt>
                <c:pt idx="678">
                  <c:v>-1028.0738461702658</c:v>
                </c:pt>
                <c:pt idx="679">
                  <c:v>-569.09797840946794</c:v>
                </c:pt>
                <c:pt idx="680">
                  <c:v>-1172.834246891033</c:v>
                </c:pt>
                <c:pt idx="681">
                  <c:v>-953.29943949946778</c:v>
                </c:pt>
                <c:pt idx="682">
                  <c:v>-431.30827813898441</c:v>
                </c:pt>
                <c:pt idx="683">
                  <c:v>-562.25089251419377</c:v>
                </c:pt>
                <c:pt idx="684">
                  <c:v>-1093.3898475090059</c:v>
                </c:pt>
                <c:pt idx="685">
                  <c:v>-743.33839205840604</c:v>
                </c:pt>
                <c:pt idx="686">
                  <c:v>-916.40511374740504</c:v>
                </c:pt>
                <c:pt idx="687">
                  <c:v>-910.31858080798156</c:v>
                </c:pt>
                <c:pt idx="688">
                  <c:v>-883.15690855698267</c:v>
                </c:pt>
                <c:pt idx="689">
                  <c:v>-982.74484002717782</c:v>
                </c:pt>
                <c:pt idx="690">
                  <c:v>-913.70664274200772</c:v>
                </c:pt>
                <c:pt idx="691">
                  <c:v>-239.80769136852746</c:v>
                </c:pt>
                <c:pt idx="692">
                  <c:v>-1314.6326292402746</c:v>
                </c:pt>
                <c:pt idx="693">
                  <c:v>-697.96889468596555</c:v>
                </c:pt>
                <c:pt idx="694">
                  <c:v>-820.33764314834639</c:v>
                </c:pt>
                <c:pt idx="695">
                  <c:v>-570.23360705060236</c:v>
                </c:pt>
                <c:pt idx="696">
                  <c:v>-1211.9041699484346</c:v>
                </c:pt>
                <c:pt idx="697">
                  <c:v>-1115.0466053469695</c:v>
                </c:pt>
                <c:pt idx="698">
                  <c:v>-862.65240886590368</c:v>
                </c:pt>
                <c:pt idx="699">
                  <c:v>-1208.0419554119953</c:v>
                </c:pt>
                <c:pt idx="700">
                  <c:v>-1028.3430642636245</c:v>
                </c:pt>
                <c:pt idx="701">
                  <c:v>-703.1638265271572</c:v>
                </c:pt>
                <c:pt idx="702">
                  <c:v>-1051.3935511036711</c:v>
                </c:pt>
                <c:pt idx="703">
                  <c:v>-659.89764152122461</c:v>
                </c:pt>
                <c:pt idx="704">
                  <c:v>-711.63884276936005</c:v>
                </c:pt>
                <c:pt idx="705">
                  <c:v>-1201.5503406899384</c:v>
                </c:pt>
                <c:pt idx="706">
                  <c:v>-1079.210463912133</c:v>
                </c:pt>
                <c:pt idx="707">
                  <c:v>-1195.9794111430788</c:v>
                </c:pt>
                <c:pt idx="708">
                  <c:v>-960.17081888686153</c:v>
                </c:pt>
                <c:pt idx="709">
                  <c:v>-1010.0792488189718</c:v>
                </c:pt>
                <c:pt idx="710">
                  <c:v>-1538.9625770359321</c:v>
                </c:pt>
                <c:pt idx="711">
                  <c:v>-1095.8464356126819</c:v>
                </c:pt>
                <c:pt idx="712">
                  <c:v>-1219.1707280027113</c:v>
                </c:pt>
                <c:pt idx="713">
                  <c:v>-845.2382722155503</c:v>
                </c:pt>
                <c:pt idx="714">
                  <c:v>-530.26531918315231</c:v>
                </c:pt>
                <c:pt idx="715">
                  <c:v>-1025.7733103092855</c:v>
                </c:pt>
                <c:pt idx="716">
                  <c:v>-662.24212478565096</c:v>
                </c:pt>
                <c:pt idx="717">
                  <c:v>-992.67686155656043</c:v>
                </c:pt>
                <c:pt idx="718">
                  <c:v>-646.65186292984663</c:v>
                </c:pt>
                <c:pt idx="719">
                  <c:v>-1219.1641702626875</c:v>
                </c:pt>
                <c:pt idx="720">
                  <c:v>-557.36808697777224</c:v>
                </c:pt>
                <c:pt idx="721">
                  <c:v>-1045.1369438565853</c:v>
                </c:pt>
                <c:pt idx="722">
                  <c:v>-933.52555132939597</c:v>
                </c:pt>
                <c:pt idx="723">
                  <c:v>-874.79643074223873</c:v>
                </c:pt>
                <c:pt idx="724">
                  <c:v>-1259.5750274713482</c:v>
                </c:pt>
                <c:pt idx="725">
                  <c:v>-1091.6220148385296</c:v>
                </c:pt>
                <c:pt idx="726">
                  <c:v>-1208.2347085840029</c:v>
                </c:pt>
                <c:pt idx="727">
                  <c:v>-964.01849456431137</c:v>
                </c:pt>
                <c:pt idx="728">
                  <c:v>-1075.6031029355022</c:v>
                </c:pt>
                <c:pt idx="729">
                  <c:v>-1101.2238495213041</c:v>
                </c:pt>
                <c:pt idx="730">
                  <c:v>-1031.6088210941307</c:v>
                </c:pt>
                <c:pt idx="731">
                  <c:v>-760.2334879760374</c:v>
                </c:pt>
                <c:pt idx="732">
                  <c:v>-1288.9540380264202</c:v>
                </c:pt>
                <c:pt idx="733">
                  <c:v>-1278.6123437582332</c:v>
                </c:pt>
                <c:pt idx="734">
                  <c:v>-369.67979855559975</c:v>
                </c:pt>
                <c:pt idx="735">
                  <c:v>-675.43995103177258</c:v>
                </c:pt>
                <c:pt idx="736">
                  <c:v>-1482.0602152717265</c:v>
                </c:pt>
                <c:pt idx="737">
                  <c:v>-859.93341991212037</c:v>
                </c:pt>
                <c:pt idx="738">
                  <c:v>-617.96871165244102</c:v>
                </c:pt>
                <c:pt idx="739">
                  <c:v>-1022.6843736463447</c:v>
                </c:pt>
                <c:pt idx="740">
                  <c:v>-895.3080175966461</c:v>
                </c:pt>
                <c:pt idx="741">
                  <c:v>-1145.7940990260972</c:v>
                </c:pt>
                <c:pt idx="742">
                  <c:v>-1111.08211332881</c:v>
                </c:pt>
                <c:pt idx="743">
                  <c:v>-881.83540157473658</c:v>
                </c:pt>
                <c:pt idx="744">
                  <c:v>-773.11930749923204</c:v>
                </c:pt>
                <c:pt idx="745">
                  <c:v>-929.072252993446</c:v>
                </c:pt>
                <c:pt idx="746">
                  <c:v>-989.59948595351534</c:v>
                </c:pt>
                <c:pt idx="747">
                  <c:v>-1120.3472949602628</c:v>
                </c:pt>
                <c:pt idx="748">
                  <c:v>-888.21001881541997</c:v>
                </c:pt>
                <c:pt idx="749">
                  <c:v>-649.6394280446807</c:v>
                </c:pt>
                <c:pt idx="750">
                  <c:v>-1002.5487225694064</c:v>
                </c:pt>
                <c:pt idx="751">
                  <c:v>-955.95655914426516</c:v>
                </c:pt>
                <c:pt idx="752">
                  <c:v>-494.9553204693093</c:v>
                </c:pt>
                <c:pt idx="753">
                  <c:v>-482.21622839486145</c:v>
                </c:pt>
                <c:pt idx="754">
                  <c:v>-661.35149884198586</c:v>
                </c:pt>
                <c:pt idx="755">
                  <c:v>-969.48407277084334</c:v>
                </c:pt>
                <c:pt idx="756">
                  <c:v>-953.62255935191479</c:v>
                </c:pt>
                <c:pt idx="757">
                  <c:v>-613.11943881764864</c:v>
                </c:pt>
                <c:pt idx="758">
                  <c:v>-1532.8822390027576</c:v>
                </c:pt>
                <c:pt idx="759">
                  <c:v>-599.82419295150794</c:v>
                </c:pt>
                <c:pt idx="760">
                  <c:v>-989.53284019956936</c:v>
                </c:pt>
                <c:pt idx="761">
                  <c:v>-772.68065352938629</c:v>
                </c:pt>
                <c:pt idx="762">
                  <c:v>-936.45854841251094</c:v>
                </c:pt>
                <c:pt idx="763">
                  <c:v>-942.71097001959561</c:v>
                </c:pt>
                <c:pt idx="764">
                  <c:v>-1283.568543502384</c:v>
                </c:pt>
                <c:pt idx="765">
                  <c:v>-573.62569068902758</c:v>
                </c:pt>
                <c:pt idx="766">
                  <c:v>-1320.0643456592525</c:v>
                </c:pt>
                <c:pt idx="767">
                  <c:v>-1450.8959848733389</c:v>
                </c:pt>
                <c:pt idx="768">
                  <c:v>-1203.8346710123874</c:v>
                </c:pt>
                <c:pt idx="769">
                  <c:v>-919.62524407686851</c:v>
                </c:pt>
                <c:pt idx="770">
                  <c:v>-981.20408576952423</c:v>
                </c:pt>
                <c:pt idx="771">
                  <c:v>-657.86038248771774</c:v>
                </c:pt>
                <c:pt idx="772">
                  <c:v>-1702.2657554440329</c:v>
                </c:pt>
                <c:pt idx="773">
                  <c:v>-1310.7933489756074</c:v>
                </c:pt>
                <c:pt idx="774">
                  <c:v>-902.68138084393468</c:v>
                </c:pt>
                <c:pt idx="775">
                  <c:v>-933.60741585540927</c:v>
                </c:pt>
                <c:pt idx="776">
                  <c:v>-1136.7484076848664</c:v>
                </c:pt>
                <c:pt idx="777">
                  <c:v>-550.09511407925038</c:v>
                </c:pt>
                <c:pt idx="778">
                  <c:v>-684.51118207762784</c:v>
                </c:pt>
                <c:pt idx="779">
                  <c:v>-692.63403906952499</c:v>
                </c:pt>
                <c:pt idx="780">
                  <c:v>-806.03855456141582</c:v>
                </c:pt>
                <c:pt idx="781">
                  <c:v>-892.05548094185451</c:v>
                </c:pt>
                <c:pt idx="782">
                  <c:v>-824.29849094795554</c:v>
                </c:pt>
                <c:pt idx="783">
                  <c:v>-1102.226451308899</c:v>
                </c:pt>
                <c:pt idx="784">
                  <c:v>-807.17119464582356</c:v>
                </c:pt>
                <c:pt idx="785">
                  <c:v>-1362.2522527775095</c:v>
                </c:pt>
                <c:pt idx="786">
                  <c:v>-904.60676188062575</c:v>
                </c:pt>
                <c:pt idx="787">
                  <c:v>-697.02702053040775</c:v>
                </c:pt>
                <c:pt idx="788">
                  <c:v>-893.39405729149235</c:v>
                </c:pt>
                <c:pt idx="789">
                  <c:v>-988.45774241555728</c:v>
                </c:pt>
                <c:pt idx="790">
                  <c:v>-472.5972636302713</c:v>
                </c:pt>
                <c:pt idx="791">
                  <c:v>-720.75784502226361</c:v>
                </c:pt>
                <c:pt idx="792">
                  <c:v>-729.72684242203468</c:v>
                </c:pt>
                <c:pt idx="793">
                  <c:v>-713.86867036895501</c:v>
                </c:pt>
                <c:pt idx="794">
                  <c:v>-634.20572873487208</c:v>
                </c:pt>
                <c:pt idx="795">
                  <c:v>-1275.3066960682966</c:v>
                </c:pt>
                <c:pt idx="796">
                  <c:v>-1029.1895415880583</c:v>
                </c:pt>
                <c:pt idx="797">
                  <c:v>-1069.6527628300942</c:v>
                </c:pt>
                <c:pt idx="798">
                  <c:v>-596.38727292087879</c:v>
                </c:pt>
                <c:pt idx="799">
                  <c:v>-1357.2867808964743</c:v>
                </c:pt>
                <c:pt idx="800">
                  <c:v>-1100.2082022054287</c:v>
                </c:pt>
                <c:pt idx="801">
                  <c:v>-1111.2583985161914</c:v>
                </c:pt>
                <c:pt idx="802">
                  <c:v>-1463.4416808361423</c:v>
                </c:pt>
                <c:pt idx="803">
                  <c:v>-1348.9632518273693</c:v>
                </c:pt>
                <c:pt idx="804">
                  <c:v>-951.60973722085691</c:v>
                </c:pt>
                <c:pt idx="805">
                  <c:v>-953.82807458541333</c:v>
                </c:pt>
                <c:pt idx="806">
                  <c:v>-622.27622492687533</c:v>
                </c:pt>
                <c:pt idx="807">
                  <c:v>-841.84028076123877</c:v>
                </c:pt>
                <c:pt idx="808">
                  <c:v>-1284.44724090817</c:v>
                </c:pt>
                <c:pt idx="809">
                  <c:v>-976.89231787046219</c:v>
                </c:pt>
                <c:pt idx="810">
                  <c:v>-1133.3229752926613</c:v>
                </c:pt>
                <c:pt idx="811">
                  <c:v>-556.15208203798602</c:v>
                </c:pt>
                <c:pt idx="812">
                  <c:v>-883.52536321995558</c:v>
                </c:pt>
                <c:pt idx="813">
                  <c:v>-1043.5687853738823</c:v>
                </c:pt>
                <c:pt idx="814">
                  <c:v>-958.70616515642632</c:v>
                </c:pt>
                <c:pt idx="815">
                  <c:v>-1163.5084004777987</c:v>
                </c:pt>
                <c:pt idx="816">
                  <c:v>-1109.7471408149936</c:v>
                </c:pt>
                <c:pt idx="817">
                  <c:v>-939.14742241027307</c:v>
                </c:pt>
                <c:pt idx="818">
                  <c:v>-639.70637059110322</c:v>
                </c:pt>
                <c:pt idx="819">
                  <c:v>-838.63793050247932</c:v>
                </c:pt>
                <c:pt idx="820">
                  <c:v>-1063.404588661705</c:v>
                </c:pt>
                <c:pt idx="821">
                  <c:v>-852.17369560217821</c:v>
                </c:pt>
                <c:pt idx="822">
                  <c:v>-897.60250930430129</c:v>
                </c:pt>
                <c:pt idx="823">
                  <c:v>-1082.2534244876392</c:v>
                </c:pt>
                <c:pt idx="824">
                  <c:v>-775.13554497307837</c:v>
                </c:pt>
                <c:pt idx="825">
                  <c:v>-1019.818260009999</c:v>
                </c:pt>
                <c:pt idx="826">
                  <c:v>-853.39913434650612</c:v>
                </c:pt>
                <c:pt idx="827">
                  <c:v>-1040.5718882959004</c:v>
                </c:pt>
                <c:pt idx="828">
                  <c:v>-782.66143773737122</c:v>
                </c:pt>
                <c:pt idx="829">
                  <c:v>-532.60789445787987</c:v>
                </c:pt>
                <c:pt idx="830">
                  <c:v>-807.79656563543699</c:v>
                </c:pt>
                <c:pt idx="831">
                  <c:v>-1194.9864826174967</c:v>
                </c:pt>
                <c:pt idx="832">
                  <c:v>-920.78206677658773</c:v>
                </c:pt>
                <c:pt idx="833">
                  <c:v>-821.21788828175613</c:v>
                </c:pt>
                <c:pt idx="834">
                  <c:v>-784.01510394714296</c:v>
                </c:pt>
                <c:pt idx="835">
                  <c:v>-1130.8195060085031</c:v>
                </c:pt>
                <c:pt idx="836">
                  <c:v>-810.64208618654629</c:v>
                </c:pt>
                <c:pt idx="837">
                  <c:v>-1114.7927415608929</c:v>
                </c:pt>
                <c:pt idx="838">
                  <c:v>-677.52027080837024</c:v>
                </c:pt>
                <c:pt idx="839">
                  <c:v>-999.19181001123115</c:v>
                </c:pt>
                <c:pt idx="840">
                  <c:v>-1014.4417850657442</c:v>
                </c:pt>
                <c:pt idx="841">
                  <c:v>-934.92343570048206</c:v>
                </c:pt>
                <c:pt idx="842">
                  <c:v>-1262.7874937456863</c:v>
                </c:pt>
                <c:pt idx="843">
                  <c:v>-1161.2731603674565</c:v>
                </c:pt>
                <c:pt idx="844">
                  <c:v>-673.16830639829368</c:v>
                </c:pt>
                <c:pt idx="845">
                  <c:v>-951.88758350303442</c:v>
                </c:pt>
                <c:pt idx="846">
                  <c:v>-953.07309149359799</c:v>
                </c:pt>
                <c:pt idx="847">
                  <c:v>-612.17792158487237</c:v>
                </c:pt>
                <c:pt idx="848">
                  <c:v>-1098.4427166164978</c:v>
                </c:pt>
                <c:pt idx="849">
                  <c:v>-1064.1442157584547</c:v>
                </c:pt>
                <c:pt idx="850">
                  <c:v>-567.49104351077403</c:v>
                </c:pt>
                <c:pt idx="851">
                  <c:v>-667.80587219704648</c:v>
                </c:pt>
                <c:pt idx="852">
                  <c:v>-984.39977713410099</c:v>
                </c:pt>
                <c:pt idx="853">
                  <c:v>-764.77207673847533</c:v>
                </c:pt>
                <c:pt idx="854">
                  <c:v>-1046.0793264057465</c:v>
                </c:pt>
                <c:pt idx="855">
                  <c:v>-723.58879671962677</c:v>
                </c:pt>
                <c:pt idx="856">
                  <c:v>-1294.517562215176</c:v>
                </c:pt>
                <c:pt idx="857">
                  <c:v>-704.54045821663203</c:v>
                </c:pt>
                <c:pt idx="858">
                  <c:v>-958.62093421660302</c:v>
                </c:pt>
                <c:pt idx="859">
                  <c:v>-1245.4306280149749</c:v>
                </c:pt>
                <c:pt idx="860">
                  <c:v>-799.63597010199419</c:v>
                </c:pt>
                <c:pt idx="861">
                  <c:v>-1087.7830868780425</c:v>
                </c:pt>
                <c:pt idx="862">
                  <c:v>-940.39589885774785</c:v>
                </c:pt>
                <c:pt idx="863">
                  <c:v>-495.50247455824956</c:v>
                </c:pt>
                <c:pt idx="864">
                  <c:v>-785.06305549369335</c:v>
                </c:pt>
                <c:pt idx="865">
                  <c:v>-1176.2668946397546</c:v>
                </c:pt>
                <c:pt idx="866">
                  <c:v>-929.41909998127312</c:v>
                </c:pt>
                <c:pt idx="867">
                  <c:v>-1009.0877621084037</c:v>
                </c:pt>
                <c:pt idx="868">
                  <c:v>-1299.9470159418311</c:v>
                </c:pt>
                <c:pt idx="869">
                  <c:v>-920.46497092647201</c:v>
                </c:pt>
                <c:pt idx="870">
                  <c:v>-844.21808520617651</c:v>
                </c:pt>
                <c:pt idx="871">
                  <c:v>-983.15648977785895</c:v>
                </c:pt>
                <c:pt idx="872">
                  <c:v>-781.90942349426177</c:v>
                </c:pt>
                <c:pt idx="873">
                  <c:v>-871.50529336825093</c:v>
                </c:pt>
                <c:pt idx="874">
                  <c:v>-605.92978956417483</c:v>
                </c:pt>
                <c:pt idx="875">
                  <c:v>-763.93576355568575</c:v>
                </c:pt>
                <c:pt idx="876">
                  <c:v>-1248.0209684677366</c:v>
                </c:pt>
                <c:pt idx="877">
                  <c:v>-952.09318207859042</c:v>
                </c:pt>
                <c:pt idx="878">
                  <c:v>-1163.2360838527416</c:v>
                </c:pt>
                <c:pt idx="879">
                  <c:v>-1114.9417033850527</c:v>
                </c:pt>
                <c:pt idx="880">
                  <c:v>-969.64941435019</c:v>
                </c:pt>
                <c:pt idx="881">
                  <c:v>-1221.5034093123991</c:v>
                </c:pt>
                <c:pt idx="882">
                  <c:v>-1035.0863519401723</c:v>
                </c:pt>
                <c:pt idx="883">
                  <c:v>-859.18291623603136</c:v>
                </c:pt>
                <c:pt idx="884">
                  <c:v>-1119.1306546701271</c:v>
                </c:pt>
                <c:pt idx="885">
                  <c:v>-898.39605189031681</c:v>
                </c:pt>
                <c:pt idx="886">
                  <c:v>-1159.4739369856411</c:v>
                </c:pt>
                <c:pt idx="887">
                  <c:v>-993.82777676439082</c:v>
                </c:pt>
                <c:pt idx="888">
                  <c:v>-1077.7359354581467</c:v>
                </c:pt>
                <c:pt idx="889">
                  <c:v>-953.78263779622603</c:v>
                </c:pt>
                <c:pt idx="890">
                  <c:v>-1474.3944545334871</c:v>
                </c:pt>
                <c:pt idx="891">
                  <c:v>-913.30290236575365</c:v>
                </c:pt>
                <c:pt idx="892">
                  <c:v>-916.82890336306218</c:v>
                </c:pt>
                <c:pt idx="893">
                  <c:v>-1258.6797986857118</c:v>
                </c:pt>
                <c:pt idx="894">
                  <c:v>-330.26080511802638</c:v>
                </c:pt>
                <c:pt idx="895">
                  <c:v>-1260.4267201400048</c:v>
                </c:pt>
                <c:pt idx="896">
                  <c:v>-1053.8093256682484</c:v>
                </c:pt>
                <c:pt idx="897">
                  <c:v>-995.81322044714079</c:v>
                </c:pt>
                <c:pt idx="898">
                  <c:v>-918.61321821971387</c:v>
                </c:pt>
                <c:pt idx="899">
                  <c:v>-476.20337427933191</c:v>
                </c:pt>
                <c:pt idx="900">
                  <c:v>-558.98799953621892</c:v>
                </c:pt>
                <c:pt idx="901">
                  <c:v>-1140.7451765237802</c:v>
                </c:pt>
                <c:pt idx="902">
                  <c:v>-1074.1949858850458</c:v>
                </c:pt>
                <c:pt idx="903">
                  <c:v>-1334.8646701218645</c:v>
                </c:pt>
                <c:pt idx="904">
                  <c:v>-1205.5971623540518</c:v>
                </c:pt>
                <c:pt idx="905">
                  <c:v>-1096.6304828144384</c:v>
                </c:pt>
                <c:pt idx="906">
                  <c:v>-1492.4888545942049</c:v>
                </c:pt>
                <c:pt idx="907">
                  <c:v>-732.41865712254003</c:v>
                </c:pt>
                <c:pt idx="908">
                  <c:v>-616.68770433860186</c:v>
                </c:pt>
                <c:pt idx="909">
                  <c:v>-1151.8826950991524</c:v>
                </c:pt>
                <c:pt idx="910">
                  <c:v>-723.0928758621817</c:v>
                </c:pt>
                <c:pt idx="911">
                  <c:v>-1199.3086033199443</c:v>
                </c:pt>
                <c:pt idx="912">
                  <c:v>-912.26445596404483</c:v>
                </c:pt>
                <c:pt idx="913">
                  <c:v>-892.86489502402765</c:v>
                </c:pt>
                <c:pt idx="914">
                  <c:v>-1270.100981482778</c:v>
                </c:pt>
                <c:pt idx="915">
                  <c:v>-1320.834615380194</c:v>
                </c:pt>
                <c:pt idx="916">
                  <c:v>-880.16198208426431</c:v>
                </c:pt>
                <c:pt idx="917">
                  <c:v>-1080.0968549881627</c:v>
                </c:pt>
                <c:pt idx="918">
                  <c:v>-1098.6911527960892</c:v>
                </c:pt>
                <c:pt idx="919">
                  <c:v>-352.5040560855532</c:v>
                </c:pt>
                <c:pt idx="920">
                  <c:v>-1030.5018107530241</c:v>
                </c:pt>
                <c:pt idx="921">
                  <c:v>-695.98305059935842</c:v>
                </c:pt>
                <c:pt idx="922">
                  <c:v>-1011.3709523441044</c:v>
                </c:pt>
                <c:pt idx="923">
                  <c:v>-1196.7227513296039</c:v>
                </c:pt>
                <c:pt idx="924">
                  <c:v>-1456.2396055653085</c:v>
                </c:pt>
                <c:pt idx="925">
                  <c:v>-817.01699406775242</c:v>
                </c:pt>
                <c:pt idx="926">
                  <c:v>-1270.8554795797913</c:v>
                </c:pt>
                <c:pt idx="927">
                  <c:v>-1026.2738870324702</c:v>
                </c:pt>
                <c:pt idx="928">
                  <c:v>-944.31183245783313</c:v>
                </c:pt>
                <c:pt idx="929">
                  <c:v>-1292.0703616231776</c:v>
                </c:pt>
                <c:pt idx="930">
                  <c:v>-1142.0083430942577</c:v>
                </c:pt>
                <c:pt idx="931">
                  <c:v>-987.24553045043285</c:v>
                </c:pt>
                <c:pt idx="932">
                  <c:v>-574.21175873068887</c:v>
                </c:pt>
                <c:pt idx="933">
                  <c:v>-934.81344112656643</c:v>
                </c:pt>
                <c:pt idx="934">
                  <c:v>-845.45140390830829</c:v>
                </c:pt>
                <c:pt idx="935">
                  <c:v>-749.24375318991588</c:v>
                </c:pt>
                <c:pt idx="936">
                  <c:v>-799.52746834892378</c:v>
                </c:pt>
                <c:pt idx="937">
                  <c:v>-825.27943712777505</c:v>
                </c:pt>
                <c:pt idx="938">
                  <c:v>-807.71965829953115</c:v>
                </c:pt>
                <c:pt idx="939">
                  <c:v>-929.49081559358865</c:v>
                </c:pt>
                <c:pt idx="940">
                  <c:v>-770.48535102315054</c:v>
                </c:pt>
                <c:pt idx="941">
                  <c:v>-1032.4337974554728</c:v>
                </c:pt>
                <c:pt idx="942">
                  <c:v>-1035.2871075889859</c:v>
                </c:pt>
                <c:pt idx="943">
                  <c:v>-958.71582980976791</c:v>
                </c:pt>
                <c:pt idx="944">
                  <c:v>-764.00706795071846</c:v>
                </c:pt>
                <c:pt idx="945">
                  <c:v>-1029.4983444936202</c:v>
                </c:pt>
                <c:pt idx="946">
                  <c:v>-832.59766721289861</c:v>
                </c:pt>
                <c:pt idx="947">
                  <c:v>-1083.7538998067885</c:v>
                </c:pt>
                <c:pt idx="948">
                  <c:v>-449.84813511522225</c:v>
                </c:pt>
                <c:pt idx="949">
                  <c:v>-776.92706348481215</c:v>
                </c:pt>
                <c:pt idx="950">
                  <c:v>-946.02018439203539</c:v>
                </c:pt>
                <c:pt idx="951">
                  <c:v>-1841.5561932561818</c:v>
                </c:pt>
                <c:pt idx="952">
                  <c:v>-782.61517570868045</c:v>
                </c:pt>
                <c:pt idx="953">
                  <c:v>-658.12843868477103</c:v>
                </c:pt>
                <c:pt idx="954">
                  <c:v>-1044.5633768575403</c:v>
                </c:pt>
                <c:pt idx="955">
                  <c:v>-1093.3063784895144</c:v>
                </c:pt>
                <c:pt idx="956">
                  <c:v>-697.1126925996</c:v>
                </c:pt>
                <c:pt idx="957">
                  <c:v>-961.44195835068922</c:v>
                </c:pt>
                <c:pt idx="958">
                  <c:v>-731.12484519910163</c:v>
                </c:pt>
                <c:pt idx="959">
                  <c:v>-816.89851833873172</c:v>
                </c:pt>
                <c:pt idx="960">
                  <c:v>-864.01017109869781</c:v>
                </c:pt>
                <c:pt idx="961">
                  <c:v>-712.24303008496827</c:v>
                </c:pt>
                <c:pt idx="962">
                  <c:v>-830.36152128246977</c:v>
                </c:pt>
                <c:pt idx="963">
                  <c:v>-838.65660380287636</c:v>
                </c:pt>
                <c:pt idx="964">
                  <c:v>-1045.1296298699917</c:v>
                </c:pt>
                <c:pt idx="965">
                  <c:v>-1009.5889019647045</c:v>
                </c:pt>
                <c:pt idx="966">
                  <c:v>-1141.4063829390946</c:v>
                </c:pt>
                <c:pt idx="967">
                  <c:v>-963.7704566310772</c:v>
                </c:pt>
                <c:pt idx="968">
                  <c:v>-868.75963026582644</c:v>
                </c:pt>
                <c:pt idx="969">
                  <c:v>-1412.4049784510273</c:v>
                </c:pt>
                <c:pt idx="970">
                  <c:v>-773.72416208510867</c:v>
                </c:pt>
                <c:pt idx="971">
                  <c:v>-1323.1075764638281</c:v>
                </c:pt>
                <c:pt idx="972">
                  <c:v>-401.26118496101253</c:v>
                </c:pt>
                <c:pt idx="973">
                  <c:v>-612.13639327901774</c:v>
                </c:pt>
                <c:pt idx="974">
                  <c:v>-830.70730948434812</c:v>
                </c:pt>
                <c:pt idx="975">
                  <c:v>-1163.5701920846432</c:v>
                </c:pt>
                <c:pt idx="976">
                  <c:v>-781.75886293864869</c:v>
                </c:pt>
                <c:pt idx="977">
                  <c:v>-1655.2164400011029</c:v>
                </c:pt>
                <c:pt idx="978">
                  <c:v>-1408.0963808903862</c:v>
                </c:pt>
                <c:pt idx="979">
                  <c:v>-745.69586369717877</c:v>
                </c:pt>
                <c:pt idx="980">
                  <c:v>-1284.2474060200457</c:v>
                </c:pt>
                <c:pt idx="981">
                  <c:v>-1636.7706529646757</c:v>
                </c:pt>
                <c:pt idx="982">
                  <c:v>-350.41591246049393</c:v>
                </c:pt>
                <c:pt idx="983">
                  <c:v>-854.02341785270119</c:v>
                </c:pt>
                <c:pt idx="984">
                  <c:v>-781.92327675427441</c:v>
                </c:pt>
                <c:pt idx="985">
                  <c:v>-1264.1047846813794</c:v>
                </c:pt>
                <c:pt idx="986">
                  <c:v>-1494.410987284547</c:v>
                </c:pt>
                <c:pt idx="987">
                  <c:v>-1128.9583924263907</c:v>
                </c:pt>
                <c:pt idx="988">
                  <c:v>-1238.9101188612176</c:v>
                </c:pt>
                <c:pt idx="989">
                  <c:v>-1157.6929824400245</c:v>
                </c:pt>
                <c:pt idx="990">
                  <c:v>-905.45677543356351</c:v>
                </c:pt>
                <c:pt idx="991">
                  <c:v>-684.1685710201109</c:v>
                </c:pt>
                <c:pt idx="992">
                  <c:v>-1016.7461358435294</c:v>
                </c:pt>
                <c:pt idx="993">
                  <c:v>-659.11679565387431</c:v>
                </c:pt>
                <c:pt idx="994">
                  <c:v>-1125.0349694908246</c:v>
                </c:pt>
                <c:pt idx="995">
                  <c:v>-1204.9635159709192</c:v>
                </c:pt>
                <c:pt idx="996">
                  <c:v>-1552.8578215190823</c:v>
                </c:pt>
                <c:pt idx="997">
                  <c:v>-1233.8401345442398</c:v>
                </c:pt>
                <c:pt idx="998">
                  <c:v>-872.07074206791231</c:v>
                </c:pt>
                <c:pt idx="999">
                  <c:v>-821.48032583710756</c:v>
                </c:pt>
              </c:numCache>
            </c:numRef>
          </c:yVal>
          <c:smooth val="0"/>
          <c:extLst>
            <c:ext xmlns:c16="http://schemas.microsoft.com/office/drawing/2014/chart" uri="{C3380CC4-5D6E-409C-BE32-E72D297353CC}">
              <c16:uniqueId val="{00000004-46EA-48D7-8109-19533355BB6D}"/>
            </c:ext>
          </c:extLst>
        </c:ser>
        <c:dLbls>
          <c:showLegendKey val="0"/>
          <c:showVal val="0"/>
          <c:showCatName val="0"/>
          <c:showSerName val="0"/>
          <c:showPercent val="0"/>
          <c:showBubbleSize val="0"/>
        </c:dLbls>
        <c:axId val="106172800"/>
        <c:axId val="106175104"/>
      </c:scatterChart>
      <c:valAx>
        <c:axId val="106172800"/>
        <c:scaling>
          <c:orientation val="minMax"/>
        </c:scaling>
        <c:delete val="0"/>
        <c:axPos val="b"/>
        <c:title>
          <c:tx>
            <c:rich>
              <a:bodyPr rot="0" spcFirstLastPara="1" vertOverflow="ellipsis" vert="horz" wrap="square" anchor="ctr" anchorCtr="1"/>
              <a:lstStyle/>
              <a:p>
                <a:pPr>
                  <a:defRPr sz="9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pt-BR"/>
                  <a:t>Incremental Effectiveness</a:t>
                </a:r>
              </a:p>
            </c:rich>
          </c:tx>
          <c:layout>
            <c:manualLayout>
              <c:xMode val="edge"/>
              <c:yMode val="edge"/>
              <c:x val="0.33181546610308316"/>
              <c:y val="0.93810219324062427"/>
            </c:manualLayout>
          </c:layout>
          <c:overlay val="0"/>
          <c:spPr>
            <a:noFill/>
            <a:ln>
              <a:noFill/>
            </a:ln>
            <a:effectLst/>
          </c:spPr>
          <c:txPr>
            <a:bodyPr rot="0" spcFirstLastPara="1" vertOverflow="ellipsis" vert="horz" wrap="square" anchor="ctr" anchorCtr="1"/>
            <a:lstStyle/>
            <a:p>
              <a:pPr>
                <a:defRPr sz="9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pt-BR"/>
            </a:p>
          </c:txPr>
        </c:title>
        <c:numFmt formatCode="0" sourceLinked="1"/>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pt-BR"/>
          </a:p>
        </c:txPr>
        <c:crossAx val="106175104"/>
        <c:crosses val="autoZero"/>
        <c:crossBetween val="midCat"/>
      </c:valAx>
      <c:valAx>
        <c:axId val="106175104"/>
        <c:scaling>
          <c:orientation val="minMax"/>
        </c:scaling>
        <c:delete val="0"/>
        <c:axPos val="l"/>
        <c:title>
          <c:tx>
            <c:rich>
              <a:bodyPr rot="-5400000" spcFirstLastPara="1" vertOverflow="ellipsis" vert="horz" wrap="square" anchor="ctr" anchorCtr="1"/>
              <a:lstStyle/>
              <a:p>
                <a:pPr>
                  <a:defRPr sz="900" b="1" i="0" u="none" strike="noStrike" kern="1200" baseline="0">
                    <a:solidFill>
                      <a:sysClr val="windowText" lastClr="000000"/>
                    </a:solidFill>
                    <a:latin typeface="Arial" panose="020B0604020202020204" pitchFamily="34" charset="0"/>
                    <a:ea typeface="+mn-ea"/>
                    <a:cs typeface="Arial" panose="020B0604020202020204" pitchFamily="34" charset="0"/>
                  </a:defRPr>
                </a:pPr>
                <a:r>
                  <a:rPr lang="pt-BR"/>
                  <a:t>Incremental Cost</a:t>
                </a:r>
              </a:p>
            </c:rich>
          </c:tx>
          <c:layout>
            <c:manualLayout>
              <c:xMode val="edge"/>
              <c:yMode val="edge"/>
              <c:x val="3.7825064734471024E-3"/>
              <c:y val="0.30048682532662674"/>
            </c:manualLayout>
          </c:layout>
          <c:overlay val="0"/>
          <c:spPr>
            <a:noFill/>
            <a:ln>
              <a:noFill/>
            </a:ln>
            <a:effectLst/>
          </c:spPr>
          <c:txPr>
            <a:bodyPr rot="-5400000" spcFirstLastPara="1" vertOverflow="ellipsis" vert="horz" wrap="square" anchor="ctr" anchorCtr="1"/>
            <a:lstStyle/>
            <a:p>
              <a:pPr>
                <a:defRPr sz="900" b="1"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pt-BR"/>
            </a:p>
          </c:txPr>
        </c:title>
        <c:numFmt formatCode="&quot;R$&quot;\ #,##0" sourceLinked="0"/>
        <c:majorTickMark val="out"/>
        <c:minorTickMark val="none"/>
        <c:tickLblPos val="nextTo"/>
        <c:spPr>
          <a:noFill/>
          <a:ln>
            <a:solidFill>
              <a:schemeClr val="tx1"/>
            </a:solid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Arial" panose="020B0604020202020204" pitchFamily="34" charset="0"/>
                <a:ea typeface="+mn-ea"/>
                <a:cs typeface="Arial" panose="020B0604020202020204" pitchFamily="34" charset="0"/>
              </a:defRPr>
            </a:pPr>
            <a:endParaRPr lang="pt-BR"/>
          </a:p>
        </c:txPr>
        <c:crossAx val="106172800"/>
        <c:crosses val="autoZero"/>
        <c:crossBetween val="midCat"/>
      </c:valAx>
      <c:spPr>
        <a:noFill/>
        <a:ln>
          <a:noFill/>
        </a:ln>
        <a:effectLst/>
      </c:spPr>
    </c:plotArea>
    <c:plotVisOnly val="1"/>
    <c:dispBlanksAs val="gap"/>
    <c:showDLblsOverMax val="0"/>
  </c:chart>
  <c:spPr>
    <a:solidFill>
      <a:schemeClr val="bg1"/>
    </a:solidFill>
    <a:ln w="9525" cap="flat" cmpd="sng" algn="ctr">
      <a:noFill/>
      <a:round/>
    </a:ln>
    <a:effectLst/>
  </c:spPr>
  <c:txPr>
    <a:bodyPr/>
    <a:lstStyle/>
    <a:p>
      <a:pPr>
        <a:defRPr>
          <a:solidFill>
            <a:sysClr val="windowText" lastClr="000000"/>
          </a:solidFill>
          <a:latin typeface="Arial" panose="020B0604020202020204" pitchFamily="34" charset="0"/>
          <a:cs typeface="Arial" panose="020B0604020202020204" pitchFamily="34" charset="0"/>
        </a:defRPr>
      </a:pPr>
      <a:endParaRPr lang="pt-BR"/>
    </a:p>
  </c:txPr>
  <c:printSettings>
    <c:headerFooter/>
    <c:pageMargins b="1" l="0.75" r="0.75" t="1" header="0.5" footer="0.5"/>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2">
  <cs:axisTitle>
    <cs:lnRef idx="0"/>
    <cs:fillRef idx="0"/>
    <cs:effectRef idx="0"/>
    <cs:fontRef idx="minor">
      <a:schemeClr val="tx2"/>
    </cs:fontRef>
    <cs:defRPr sz="900" b="1" kern="1200"/>
  </cs:axisTitle>
  <cs:categoryAxis>
    <cs:lnRef idx="0"/>
    <cs:fillRef idx="0"/>
    <cs:effectRef idx="0"/>
    <cs:fontRef idx="minor">
      <a:schemeClr val="tx2"/>
    </cs:fontRef>
    <cs:spPr>
      <a:ln w="9525" cap="flat" cmpd="sng" algn="ctr">
        <a:solidFill>
          <a:schemeClr val="tx2">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2">
            <a:lumMod val="15000"/>
            <a:lumOff val="85000"/>
          </a:schemeClr>
        </a:solidFill>
        <a:round/>
      </a:ln>
    </cs:spPr>
    <cs:defRPr sz="900" kern="1200"/>
  </cs:chartArea>
  <cs:dataLabel>
    <cs:lnRef idx="0"/>
    <cs:fillRef idx="0"/>
    <cs:effectRef idx="0"/>
    <cs:fontRef idx="minor">
      <a:schemeClr val="tx2"/>
    </cs:fontRef>
    <cs:defRPr sz="900" kern="1200"/>
  </cs:dataLabel>
  <cs:dataLabelCallout>
    <cs:lnRef idx="0"/>
    <cs:fillRef idx="0"/>
    <cs:effectRef idx="0"/>
    <cs:fontRef idx="minor">
      <a:schemeClr val="dk2">
        <a:lumMod val="7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2"/>
    <cs:fontRef idx="minor">
      <a:schemeClr val="tx2"/>
    </cs:fontRef>
  </cs:dataPoint>
  <cs:dataPoint3D>
    <cs:lnRef idx="0"/>
    <cs:fillRef idx="3">
      <cs:styleClr val="auto"/>
    </cs:fillRef>
    <cs:effectRef idx="2"/>
    <cs:fontRef idx="minor">
      <a:schemeClr val="tx2"/>
    </cs:fontRef>
  </cs:dataPoint3D>
  <cs:dataPointLine>
    <cs:lnRef idx="0">
      <cs:styleClr val="auto"/>
    </cs:lnRef>
    <cs:fillRef idx="3"/>
    <cs:effectRef idx="2"/>
    <cs:fontRef idx="minor">
      <a:schemeClr val="tx2"/>
    </cs:fontRef>
    <cs:spPr>
      <a:ln w="9525" cap="rnd">
        <a:solidFill>
          <a:schemeClr val="phClr"/>
        </a:solidFill>
        <a:round/>
      </a:ln>
    </cs:spPr>
  </cs:dataPointLine>
  <cs:dataPointMarker>
    <cs:lnRef idx="0">
      <cs:styleClr val="auto"/>
    </cs:lnRef>
    <cs:fillRef idx="3">
      <cs:styleClr val="auto"/>
    </cs:fillRef>
    <cs:effectRef idx="2"/>
    <cs:fontRef idx="minor">
      <a:schemeClr val="tx2"/>
    </cs:fontRef>
    <cs:spPr>
      <a:ln w="9525">
        <a:solidFill>
          <a:schemeClr val="phClr"/>
        </a:solidFill>
        <a:round/>
      </a:ln>
    </cs:spPr>
  </cs:dataPointMarker>
  <cs:dataPointMarkerLayout symbol="circle" size="5"/>
  <cs:dataPointWireframe>
    <cs:lnRef idx="0">
      <cs:styleClr val="auto"/>
    </cs:lnRef>
    <cs:fillRef idx="3"/>
    <cs:effectRef idx="2"/>
    <cs:fontRef idx="minor">
      <a:schemeClr val="tx2"/>
    </cs:fontRef>
    <cs:spPr>
      <a:ln w="9525" cap="rnd">
        <a:solidFill>
          <a:schemeClr val="phClr"/>
        </a:solidFill>
        <a:round/>
      </a:ln>
    </cs:spPr>
  </cs:dataPointWireframe>
  <cs:dataTable>
    <cs:lnRef idx="0"/>
    <cs:fillRef idx="0"/>
    <cs:effectRef idx="0"/>
    <cs:fontRef idx="minor">
      <a:schemeClr val="tx2"/>
    </cs:fontRef>
    <cs:spPr>
      <a:ln w="9525">
        <a:solidFill>
          <a:schemeClr val="tx2">
            <a:lumMod val="15000"/>
            <a:lumOff val="85000"/>
          </a:schemeClr>
        </a:solidFill>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2"/>
    </cs:fontRef>
    <cs:spPr>
      <a:ln w="9525">
        <a:solidFill>
          <a:schemeClr val="tx2">
            <a:lumMod val="60000"/>
            <a:lumOff val="40000"/>
          </a:schemeClr>
        </a:solidFill>
        <a:prstDash val="dash"/>
      </a:ln>
    </cs:spPr>
  </cs:dropLine>
  <cs:errorBar>
    <cs:lnRef idx="0"/>
    <cs:fillRef idx="0"/>
    <cs:effectRef idx="0"/>
    <cs:fontRef idx="minor">
      <a:schemeClr val="tx2"/>
    </cs:fontRef>
    <cs:spPr>
      <a:ln w="9525">
        <a:solidFill>
          <a:schemeClr val="tx2">
            <a:lumMod val="75000"/>
          </a:schemeClr>
        </a:solidFill>
        <a:round/>
      </a:ln>
    </cs:spPr>
  </cs:errorBar>
  <cs:floor>
    <cs:lnRef idx="0"/>
    <cs:fillRef idx="0"/>
    <cs:effectRef idx="0"/>
    <cs:fontRef idx="minor">
      <a:schemeClr val="tx2"/>
    </cs:fontRef>
  </cs:floor>
  <cs:gridlineMajor>
    <cs:lnRef idx="0"/>
    <cs:fillRef idx="0"/>
    <cs:effectRef idx="0"/>
    <cs:fontRef idx="minor">
      <a:schemeClr val="tx2"/>
    </cs:fontRef>
    <cs:spPr>
      <a:ln w="9525" cap="flat" cmpd="sng" algn="ctr">
        <a:solidFill>
          <a:schemeClr val="tx2">
            <a:lumMod val="15000"/>
            <a:lumOff val="85000"/>
          </a:schemeClr>
        </a:solidFill>
        <a:round/>
      </a:ln>
    </cs:spPr>
  </cs:gridlineMajor>
  <cs:gridlineMinor>
    <cs:lnRef idx="0"/>
    <cs:fillRef idx="0"/>
    <cs:effectRef idx="0"/>
    <cs:fontRef idx="minor">
      <a:schemeClr val="tx2"/>
    </cs:fontRef>
    <cs:spPr>
      <a:ln>
        <a:solidFill>
          <a:schemeClr val="tx2">
            <a:lumMod val="5000"/>
            <a:lumOff val="95000"/>
          </a:schemeClr>
        </a:solidFill>
      </a:ln>
    </cs:spPr>
  </cs:gridlineMinor>
  <cs:hiLoLine>
    <cs:lnRef idx="0"/>
    <cs:fillRef idx="0"/>
    <cs:effectRef idx="0"/>
    <cs:fontRef idx="minor">
      <a:schemeClr val="tx2"/>
    </cs:fontRef>
    <cs:spPr>
      <a:ln w="9525">
        <a:solidFill>
          <a:schemeClr val="tx2">
            <a:lumMod val="60000"/>
            <a:lumOff val="40000"/>
          </a:schemeClr>
        </a:solidFill>
        <a:prstDash val="dash"/>
      </a:ln>
    </cs:spPr>
  </cs:hiLoLine>
  <cs:leaderLine>
    <cs:lnRef idx="0"/>
    <cs:fillRef idx="0"/>
    <cs:effectRef idx="0"/>
    <cs:fontRef idx="minor">
      <a:schemeClr val="tx2"/>
    </cs:fontRef>
    <cs:spPr>
      <a:ln w="9525">
        <a:solidFill>
          <a:schemeClr val="tx2">
            <a:lumMod val="35000"/>
            <a:lumOff val="65000"/>
          </a:schemeClr>
        </a:solidFill>
      </a:ln>
    </cs:spPr>
  </cs:leaderLine>
  <cs:legend>
    <cs:lnRef idx="0"/>
    <cs:fillRef idx="0"/>
    <cs:effectRef idx="0"/>
    <cs:fontRef idx="minor">
      <a:schemeClr val="tx2"/>
    </cs:fontRef>
    <cs:defRPr sz="900" kern="1200"/>
  </cs:legend>
  <cs:plotArea>
    <cs:lnRef idx="0"/>
    <cs:fillRef idx="0"/>
    <cs:effectRef idx="0"/>
    <cs:fontRef idx="minor">
      <a:schemeClr val="tx2"/>
    </cs:fontRef>
  </cs:plotArea>
  <cs:plotArea3D>
    <cs:lnRef idx="0"/>
    <cs:fillRef idx="0"/>
    <cs:effectRef idx="0"/>
    <cs:fontRef idx="minor">
      <a:schemeClr val="tx2"/>
    </cs:fontRef>
  </cs:plotArea3D>
  <cs:seriesAxis>
    <cs:lnRef idx="0"/>
    <cs:fillRef idx="0"/>
    <cs:effectRef idx="0"/>
    <cs:fontRef idx="minor">
      <a:schemeClr val="tx2"/>
    </cs:fontRef>
    <cs:spPr>
      <a:ln w="9525" cap="flat" cmpd="sng" algn="ctr">
        <a:solidFill>
          <a:schemeClr val="tx2">
            <a:lumMod val="15000"/>
            <a:lumOff val="85000"/>
          </a:schemeClr>
        </a:solidFill>
        <a:round/>
      </a:ln>
    </cs:spPr>
    <cs:defRPr sz="900" kern="1200"/>
  </cs:seriesAxis>
  <cs:seriesLine>
    <cs:lnRef idx="0"/>
    <cs:fillRef idx="0"/>
    <cs:effectRef idx="0"/>
    <cs:fontRef idx="minor">
      <a:schemeClr val="tx2"/>
    </cs:fontRef>
    <cs:spPr>
      <a:ln w="9525">
        <a:solidFill>
          <a:schemeClr val="tx2">
            <a:lumMod val="60000"/>
            <a:lumOff val="40000"/>
          </a:schemeClr>
        </a:solidFill>
        <a:prstDash val="dash"/>
      </a:ln>
    </cs:spPr>
  </cs:seriesLine>
  <cs:title>
    <cs:lnRef idx="0"/>
    <cs:fillRef idx="0"/>
    <cs:effectRef idx="0"/>
    <cs:fontRef idx="minor">
      <a:schemeClr val="tx2"/>
    </cs:fontRef>
    <cs:defRPr sz="1600" b="1" kern="1200"/>
  </cs:title>
  <cs:trendline>
    <cs:lnRef idx="0">
      <cs:styleClr val="auto"/>
    </cs:lnRef>
    <cs:fillRef idx="0"/>
    <cs:effectRef idx="0"/>
    <cs:fontRef idx="minor">
      <a:schemeClr val="tx2"/>
    </cs:fontRef>
    <cs:spPr>
      <a:ln w="9525" cap="rnd">
        <a:solidFill>
          <a:schemeClr val="phClr"/>
        </a:solidFill>
      </a:ln>
    </cs:spPr>
  </cs:trendline>
  <cs:trendlineLabel>
    <cs:lnRef idx="0"/>
    <cs:fillRef idx="0"/>
    <cs:effectRef idx="0"/>
    <cs:fontRef idx="minor">
      <a:schemeClr val="tx2"/>
    </cs:fontRef>
    <cs:defRPr sz="900" kern="1200"/>
  </cs:trendlineLabel>
  <cs:upBar>
    <cs:lnRef idx="0"/>
    <cs:fillRef idx="0"/>
    <cs:effectRef idx="0"/>
    <cs:fontRef idx="minor">
      <a:schemeClr val="tx2"/>
    </cs:fontRef>
    <cs:spPr>
      <a:solidFill>
        <a:schemeClr val="lt1"/>
      </a:solidFill>
      <a:ln w="9525">
        <a:solidFill>
          <a:schemeClr val="tx1">
            <a:lumMod val="15000"/>
            <a:lumOff val="85000"/>
          </a:schemeClr>
        </a:solidFill>
      </a:ln>
    </cs:spPr>
  </cs:upBar>
  <cs:valueAxis>
    <cs:lnRef idx="0"/>
    <cs:fillRef idx="0"/>
    <cs:effectRef idx="0"/>
    <cs:fontRef idx="minor">
      <a:schemeClr val="tx2"/>
    </cs:fontRef>
    <cs:spPr>
      <a:ln>
        <a:solidFill>
          <a:schemeClr val="tx2">
            <a:lumMod val="40000"/>
            <a:lumOff val="60000"/>
          </a:schemeClr>
        </a:solidFill>
      </a:ln>
    </cs:spPr>
    <cs:defRPr sz="900" kern="1200"/>
  </cs:valueAxis>
  <cs:wall>
    <cs:lnRef idx="0"/>
    <cs:fillRef idx="0"/>
    <cs:effectRef idx="0"/>
    <cs:fontRef idx="minor">
      <a:schemeClr val="tx2"/>
    </cs:fontRef>
  </cs:wall>
</cs:chartStyle>
</file>

<file path=xl/drawings/_rels/drawing1.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hyperlink" Target="#Presentation!A1"/><Relationship Id="rId1" Type="http://schemas.openxmlformats.org/officeDocument/2006/relationships/hyperlink" Target="#CostEffectiveAnalysis!A1"/><Relationship Id="rId6" Type="http://schemas.openxmlformats.org/officeDocument/2006/relationships/hyperlink" Target="#Costs!A1"/><Relationship Id="rId5" Type="http://schemas.openxmlformats.org/officeDocument/2006/relationships/hyperlink" Target="#Parameters!A1"/><Relationship Id="rId4" Type="http://schemas.openxmlformats.org/officeDocument/2006/relationships/hyperlink" Target="#Model!A1"/></Relationships>
</file>

<file path=xl/drawings/_rels/drawing2.xml.rels><?xml version="1.0" encoding="UTF-8" standalone="yes"?>
<Relationships xmlns="http://schemas.openxmlformats.org/package/2006/relationships"><Relationship Id="rId8" Type="http://schemas.openxmlformats.org/officeDocument/2006/relationships/hyperlink" Target="#Costs!A1"/><Relationship Id="rId3" Type="http://schemas.openxmlformats.org/officeDocument/2006/relationships/chart" Target="../charts/chart2.xml"/><Relationship Id="rId7" Type="http://schemas.openxmlformats.org/officeDocument/2006/relationships/hyperlink" Target="#Parameters!A1"/><Relationship Id="rId2" Type="http://schemas.openxmlformats.org/officeDocument/2006/relationships/chart" Target="../charts/chart1.xml"/><Relationship Id="rId1" Type="http://schemas.openxmlformats.org/officeDocument/2006/relationships/image" Target="../media/image1.png"/><Relationship Id="rId6" Type="http://schemas.openxmlformats.org/officeDocument/2006/relationships/hyperlink" Target="#Model!A1"/><Relationship Id="rId5" Type="http://schemas.openxmlformats.org/officeDocument/2006/relationships/hyperlink" Target="#Presentation!A1"/><Relationship Id="rId4" Type="http://schemas.openxmlformats.org/officeDocument/2006/relationships/hyperlink" Target="#CostEffectiveAnalysis!A1"/></Relationships>
</file>

<file path=xl/drawings/_rels/drawing4.xml.rels><?xml version="1.0" encoding="UTF-8" standalone="yes"?>
<Relationships xmlns="http://schemas.openxmlformats.org/package/2006/relationships"><Relationship Id="rId3" Type="http://schemas.openxmlformats.org/officeDocument/2006/relationships/hyperlink" Target="#Presentation!A1"/><Relationship Id="rId2" Type="http://schemas.openxmlformats.org/officeDocument/2006/relationships/hyperlink" Target="#CostEffectiveAnalysis!A1"/><Relationship Id="rId1" Type="http://schemas.openxmlformats.org/officeDocument/2006/relationships/image" Target="../media/image1.png"/><Relationship Id="rId6" Type="http://schemas.openxmlformats.org/officeDocument/2006/relationships/hyperlink" Target="#Costs!A1"/><Relationship Id="rId5" Type="http://schemas.openxmlformats.org/officeDocument/2006/relationships/hyperlink" Target="#Parameters!A1"/><Relationship Id="rId4" Type="http://schemas.openxmlformats.org/officeDocument/2006/relationships/hyperlink" Target="#Model!A1"/></Relationships>
</file>

<file path=xl/drawings/_rels/drawing5.xml.rels><?xml version="1.0" encoding="UTF-8" standalone="yes"?>
<Relationships xmlns="http://schemas.openxmlformats.org/package/2006/relationships"><Relationship Id="rId3" Type="http://schemas.openxmlformats.org/officeDocument/2006/relationships/hyperlink" Target="#Model!A1"/><Relationship Id="rId2" Type="http://schemas.openxmlformats.org/officeDocument/2006/relationships/hyperlink" Target="#Presentation!A1"/><Relationship Id="rId1" Type="http://schemas.openxmlformats.org/officeDocument/2006/relationships/hyperlink" Target="#CostEffectiveAnalysis!A1"/><Relationship Id="rId5" Type="http://schemas.openxmlformats.org/officeDocument/2006/relationships/hyperlink" Target="#Costs!A1"/><Relationship Id="rId4" Type="http://schemas.openxmlformats.org/officeDocument/2006/relationships/hyperlink" Target="#Parameters!A1"/></Relationships>
</file>

<file path=xl/drawings/_rels/drawing6.xml.rels><?xml version="1.0" encoding="UTF-8" standalone="yes"?>
<Relationships xmlns="http://schemas.openxmlformats.org/package/2006/relationships"><Relationship Id="rId3" Type="http://schemas.openxmlformats.org/officeDocument/2006/relationships/hyperlink" Target="#Model!A1"/><Relationship Id="rId2" Type="http://schemas.openxmlformats.org/officeDocument/2006/relationships/hyperlink" Target="#Presentation!A1"/><Relationship Id="rId1" Type="http://schemas.openxmlformats.org/officeDocument/2006/relationships/hyperlink" Target="#CostEffectiveAnalysis!A1"/><Relationship Id="rId5" Type="http://schemas.openxmlformats.org/officeDocument/2006/relationships/hyperlink" Target="#Costs!A1"/><Relationship Id="rId4" Type="http://schemas.openxmlformats.org/officeDocument/2006/relationships/hyperlink" Target="#Parameters!A1"/></Relationships>
</file>

<file path=xl/drawings/_rels/drawing8.xml.rels><?xml version="1.0" encoding="UTF-8" standalone="yes"?>
<Relationships xmlns="http://schemas.openxmlformats.org/package/2006/relationships"><Relationship Id="rId2" Type="http://schemas.openxmlformats.org/officeDocument/2006/relationships/chart" Target="../charts/chart4.xml"/><Relationship Id="rId1" Type="http://schemas.openxmlformats.org/officeDocument/2006/relationships/chart" Target="../charts/chart3.xml"/></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102920</xdr:colOff>
      <xdr:row>2</xdr:row>
      <xdr:rowOff>197392</xdr:rowOff>
    </xdr:from>
    <xdr:to>
      <xdr:col>0</xdr:col>
      <xdr:colOff>1470920</xdr:colOff>
      <xdr:row>4</xdr:row>
      <xdr:rowOff>204691</xdr:rowOff>
    </xdr:to>
    <xdr:sp macro="[0]!Aba_CostEffectiveAnalysis" textlink="">
      <xdr:nvSpPr>
        <xdr:cNvPr id="2" name="Retângulo: Cantos Arredondados 21">
          <a:hlinkClick xmlns:r="http://schemas.openxmlformats.org/officeDocument/2006/relationships" r:id="rId1"/>
          <a:extLst>
            <a:ext uri="{FF2B5EF4-FFF2-40B4-BE49-F238E27FC236}">
              <a16:creationId xmlns:a16="http://schemas.microsoft.com/office/drawing/2014/main" id="{6BE10893-052A-43D0-969D-541CED4766BE}"/>
            </a:ext>
          </a:extLst>
        </xdr:cNvPr>
        <xdr:cNvSpPr/>
      </xdr:nvSpPr>
      <xdr:spPr>
        <a:xfrm>
          <a:off x="102920" y="635542"/>
          <a:ext cx="1368000" cy="48354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chemeClr val="lt1"/>
              </a:solidFill>
              <a:effectLst/>
              <a:latin typeface="+mn-lt"/>
              <a:ea typeface="+mn-ea"/>
              <a:cs typeface="+mn-cs"/>
            </a:rPr>
            <a:t>Cost-Effectiveness Analysis</a:t>
          </a:r>
          <a:endParaRPr lang="pt-BR" sz="1050">
            <a:effectLst/>
          </a:endParaRPr>
        </a:p>
      </xdr:txBody>
    </xdr:sp>
    <xdr:clientData/>
  </xdr:twoCellAnchor>
  <xdr:twoCellAnchor>
    <xdr:from>
      <xdr:col>0</xdr:col>
      <xdr:colOff>102920</xdr:colOff>
      <xdr:row>1</xdr:row>
      <xdr:rowOff>21167</xdr:rowOff>
    </xdr:from>
    <xdr:to>
      <xdr:col>0</xdr:col>
      <xdr:colOff>1470920</xdr:colOff>
      <xdr:row>2</xdr:row>
      <xdr:rowOff>99842</xdr:rowOff>
    </xdr:to>
    <xdr:sp macro="[0]!Aba_Presentation" textlink="">
      <xdr:nvSpPr>
        <xdr:cNvPr id="3" name="Retângulo: Cantos Arredondados 21">
          <a:hlinkClick xmlns:r="http://schemas.openxmlformats.org/officeDocument/2006/relationships" r:id="rId2"/>
          <a:extLst>
            <a:ext uri="{FF2B5EF4-FFF2-40B4-BE49-F238E27FC236}">
              <a16:creationId xmlns:a16="http://schemas.microsoft.com/office/drawing/2014/main" id="{325FC480-4890-4B05-91A7-5B878FD3C5F7}"/>
            </a:ext>
          </a:extLst>
        </xdr:cNvPr>
        <xdr:cNvSpPr/>
      </xdr:nvSpPr>
      <xdr:spPr>
        <a:xfrm>
          <a:off x="102920" y="221192"/>
          <a:ext cx="1368000" cy="316800"/>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Presentation</a:t>
          </a:r>
          <a:endParaRPr lang="pt-BR" sz="1050">
            <a:effectLst/>
          </a:endParaRPr>
        </a:p>
      </xdr:txBody>
    </xdr:sp>
    <xdr:clientData/>
  </xdr:twoCellAnchor>
  <xdr:twoCellAnchor editAs="oneCell">
    <xdr:from>
      <xdr:col>1</xdr:col>
      <xdr:colOff>123825</xdr:colOff>
      <xdr:row>1</xdr:row>
      <xdr:rowOff>123825</xdr:rowOff>
    </xdr:from>
    <xdr:to>
      <xdr:col>2</xdr:col>
      <xdr:colOff>56626</xdr:colOff>
      <xdr:row>3</xdr:row>
      <xdr:rowOff>68335</xdr:rowOff>
    </xdr:to>
    <xdr:pic>
      <xdr:nvPicPr>
        <xdr:cNvPr id="5" name="Imagem 9">
          <a:extLst>
            <a:ext uri="{FF2B5EF4-FFF2-40B4-BE49-F238E27FC236}">
              <a16:creationId xmlns:a16="http://schemas.microsoft.com/office/drawing/2014/main" id="{3E510A03-D3FB-4471-8498-7C3DB4719F01}"/>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724025" y="323850"/>
          <a:ext cx="864891" cy="420760"/>
        </a:xfrm>
        <a:prstGeom prst="rect">
          <a:avLst/>
        </a:prstGeom>
      </xdr:spPr>
    </xdr:pic>
    <xdr:clientData/>
  </xdr:twoCellAnchor>
  <xdr:twoCellAnchor>
    <xdr:from>
      <xdr:col>0</xdr:col>
      <xdr:colOff>102920</xdr:colOff>
      <xdr:row>5</xdr:row>
      <xdr:rowOff>52220</xdr:rowOff>
    </xdr:from>
    <xdr:to>
      <xdr:col>0</xdr:col>
      <xdr:colOff>1470920</xdr:colOff>
      <xdr:row>6</xdr:row>
      <xdr:rowOff>156504</xdr:rowOff>
    </xdr:to>
    <xdr:sp macro="[0]!Aba_Model" textlink="">
      <xdr:nvSpPr>
        <xdr:cNvPr id="6" name="Retângulo: Cantos Arredondados 11">
          <a:hlinkClick xmlns:r="http://schemas.openxmlformats.org/officeDocument/2006/relationships" r:id="rId4"/>
          <a:extLst>
            <a:ext uri="{FF2B5EF4-FFF2-40B4-BE49-F238E27FC236}">
              <a16:creationId xmlns:a16="http://schemas.microsoft.com/office/drawing/2014/main" id="{A304D061-41BA-417D-8EDD-1904E1250365}"/>
            </a:ext>
          </a:extLst>
        </xdr:cNvPr>
        <xdr:cNvSpPr/>
      </xdr:nvSpPr>
      <xdr:spPr>
        <a:xfrm>
          <a:off x="102920" y="1204745"/>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Model</a:t>
          </a:r>
          <a:endParaRPr lang="pt-BR" sz="1050">
            <a:effectLst/>
          </a:endParaRPr>
        </a:p>
      </xdr:txBody>
    </xdr:sp>
    <xdr:clientData/>
  </xdr:twoCellAnchor>
  <xdr:twoCellAnchor>
    <xdr:from>
      <xdr:col>0</xdr:col>
      <xdr:colOff>102920</xdr:colOff>
      <xdr:row>7</xdr:row>
      <xdr:rowOff>54029</xdr:rowOff>
    </xdr:from>
    <xdr:to>
      <xdr:col>0</xdr:col>
      <xdr:colOff>1470920</xdr:colOff>
      <xdr:row>8</xdr:row>
      <xdr:rowOff>158313</xdr:rowOff>
    </xdr:to>
    <xdr:sp macro="[0]!Aba_Parameters" textlink="">
      <xdr:nvSpPr>
        <xdr:cNvPr id="7" name="Retângulo: Cantos Arredondados 11">
          <a:hlinkClick xmlns:r="http://schemas.openxmlformats.org/officeDocument/2006/relationships" r:id="rId5"/>
          <a:extLst>
            <a:ext uri="{FF2B5EF4-FFF2-40B4-BE49-F238E27FC236}">
              <a16:creationId xmlns:a16="http://schemas.microsoft.com/office/drawing/2014/main" id="{502543DA-1494-4890-9CA2-71798AD70585}"/>
            </a:ext>
          </a:extLst>
        </xdr:cNvPr>
        <xdr:cNvSpPr/>
      </xdr:nvSpPr>
      <xdr:spPr>
        <a:xfrm>
          <a:off x="102920" y="1606604"/>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chemeClr val="lt1"/>
              </a:solidFill>
              <a:effectLst/>
              <a:latin typeface="+mn-lt"/>
              <a:ea typeface="+mn-ea"/>
              <a:cs typeface="+mn-cs"/>
            </a:rPr>
            <a:t>Parameters</a:t>
          </a:r>
          <a:endParaRPr lang="pt-BR" sz="1050">
            <a:effectLst/>
          </a:endParaRPr>
        </a:p>
      </xdr:txBody>
    </xdr:sp>
    <xdr:clientData/>
  </xdr:twoCellAnchor>
  <xdr:twoCellAnchor>
    <xdr:from>
      <xdr:col>0</xdr:col>
      <xdr:colOff>102920</xdr:colOff>
      <xdr:row>9</xdr:row>
      <xdr:rowOff>55836</xdr:rowOff>
    </xdr:from>
    <xdr:to>
      <xdr:col>0</xdr:col>
      <xdr:colOff>1470920</xdr:colOff>
      <xdr:row>10</xdr:row>
      <xdr:rowOff>160120</xdr:rowOff>
    </xdr:to>
    <xdr:sp macro="[0]!Aba_Costs" textlink="">
      <xdr:nvSpPr>
        <xdr:cNvPr id="8" name="Retângulo: Cantos Arredondados 11">
          <a:hlinkClick xmlns:r="http://schemas.openxmlformats.org/officeDocument/2006/relationships" r:id="rId6"/>
          <a:extLst>
            <a:ext uri="{FF2B5EF4-FFF2-40B4-BE49-F238E27FC236}">
              <a16:creationId xmlns:a16="http://schemas.microsoft.com/office/drawing/2014/main" id="{96133453-06A2-487C-B2F2-0B990A1C41D6}"/>
            </a:ext>
          </a:extLst>
        </xdr:cNvPr>
        <xdr:cNvSpPr/>
      </xdr:nvSpPr>
      <xdr:spPr>
        <a:xfrm>
          <a:off x="102920" y="2008461"/>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Costs</a:t>
          </a:r>
          <a:endParaRPr lang="pt-BR" sz="1050">
            <a:effectLst/>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190500</xdr:colOff>
      <xdr:row>1</xdr:row>
      <xdr:rowOff>104775</xdr:rowOff>
    </xdr:from>
    <xdr:to>
      <xdr:col>2</xdr:col>
      <xdr:colOff>569616</xdr:colOff>
      <xdr:row>3</xdr:row>
      <xdr:rowOff>144535</xdr:rowOff>
    </xdr:to>
    <xdr:pic>
      <xdr:nvPicPr>
        <xdr:cNvPr id="4" name="Imagem 9">
          <a:extLst>
            <a:ext uri="{FF2B5EF4-FFF2-40B4-BE49-F238E27FC236}">
              <a16:creationId xmlns:a16="http://schemas.microsoft.com/office/drawing/2014/main" id="{E82BDC82-0288-4E34-8456-FBD5A05D572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85900" y="295275"/>
          <a:ext cx="864891" cy="420760"/>
        </a:xfrm>
        <a:prstGeom prst="rect">
          <a:avLst/>
        </a:prstGeom>
      </xdr:spPr>
    </xdr:pic>
    <xdr:clientData/>
  </xdr:twoCellAnchor>
  <xdr:twoCellAnchor>
    <xdr:from>
      <xdr:col>1</xdr:col>
      <xdr:colOff>166687</xdr:colOff>
      <xdr:row>41</xdr:row>
      <xdr:rowOff>83343</xdr:rowOff>
    </xdr:from>
    <xdr:to>
      <xdr:col>3</xdr:col>
      <xdr:colOff>107156</xdr:colOff>
      <xdr:row>43</xdr:row>
      <xdr:rowOff>142874</xdr:rowOff>
    </xdr:to>
    <xdr:sp macro="[0]!PSA_ACE" textlink="">
      <xdr:nvSpPr>
        <xdr:cNvPr id="7" name="Retângulo: Cantos Arredondados 6">
          <a:extLst>
            <a:ext uri="{FF2B5EF4-FFF2-40B4-BE49-F238E27FC236}">
              <a16:creationId xmlns:a16="http://schemas.microsoft.com/office/drawing/2014/main" id="{E0C79BDE-B6BA-4B30-8D13-5ADA64F6FE37}"/>
            </a:ext>
          </a:extLst>
        </xdr:cNvPr>
        <xdr:cNvSpPr/>
      </xdr:nvSpPr>
      <xdr:spPr>
        <a:xfrm>
          <a:off x="1464468" y="8536781"/>
          <a:ext cx="1404938" cy="440531"/>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50"/>
            <a:t>PSA ACE</a:t>
          </a:r>
        </a:p>
      </xdr:txBody>
    </xdr:sp>
    <xdr:clientData/>
  </xdr:twoCellAnchor>
  <xdr:twoCellAnchor>
    <xdr:from>
      <xdr:col>3</xdr:col>
      <xdr:colOff>736336</xdr:colOff>
      <xdr:row>41</xdr:row>
      <xdr:rowOff>35719</xdr:rowOff>
    </xdr:from>
    <xdr:to>
      <xdr:col>9</xdr:col>
      <xdr:colOff>428625</xdr:colOff>
      <xdr:row>68</xdr:row>
      <xdr:rowOff>11114</xdr:rowOff>
    </xdr:to>
    <xdr:graphicFrame macro="">
      <xdr:nvGraphicFramePr>
        <xdr:cNvPr id="2" name="Chart 1">
          <a:extLst>
            <a:ext uri="{FF2B5EF4-FFF2-40B4-BE49-F238E27FC236}">
              <a16:creationId xmlns:a16="http://schemas.microsoft.com/office/drawing/2014/main" id="{189A9574-D071-4DD1-93C5-1473EF582E6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455877</xdr:colOff>
      <xdr:row>71</xdr:row>
      <xdr:rowOff>169068</xdr:rowOff>
    </xdr:from>
    <xdr:to>
      <xdr:col>11</xdr:col>
      <xdr:colOff>166687</xdr:colOff>
      <xdr:row>118</xdr:row>
      <xdr:rowOff>103467</xdr:rowOff>
    </xdr:to>
    <xdr:graphicFrame macro="">
      <xdr:nvGraphicFramePr>
        <xdr:cNvPr id="3" name="tornado">
          <a:extLst>
            <a:ext uri="{FF2B5EF4-FFF2-40B4-BE49-F238E27FC236}">
              <a16:creationId xmlns:a16="http://schemas.microsoft.com/office/drawing/2014/main" id="{CF2010EC-AB55-4CAD-A0AA-6000C5232B22}"/>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154782</xdr:colOff>
      <xdr:row>3</xdr:row>
      <xdr:rowOff>57162</xdr:rowOff>
    </xdr:from>
    <xdr:to>
      <xdr:col>0</xdr:col>
      <xdr:colOff>1522782</xdr:colOff>
      <xdr:row>5</xdr:row>
      <xdr:rowOff>159711</xdr:rowOff>
    </xdr:to>
    <xdr:sp macro="[0]!Aba_CostEffectiveAnalysis" textlink="">
      <xdr:nvSpPr>
        <xdr:cNvPr id="11" name="Retângulo: Cantos Arredondados 21">
          <a:hlinkClick xmlns:r="http://schemas.openxmlformats.org/officeDocument/2006/relationships" r:id="rId4"/>
          <a:extLst>
            <a:ext uri="{FF2B5EF4-FFF2-40B4-BE49-F238E27FC236}">
              <a16:creationId xmlns:a16="http://schemas.microsoft.com/office/drawing/2014/main" id="{DE83C730-4007-4925-8FB3-6A36D296D3AE}"/>
            </a:ext>
          </a:extLst>
        </xdr:cNvPr>
        <xdr:cNvSpPr/>
      </xdr:nvSpPr>
      <xdr:spPr>
        <a:xfrm>
          <a:off x="154782" y="628662"/>
          <a:ext cx="1368000" cy="48354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chemeClr val="lt1"/>
              </a:solidFill>
              <a:effectLst/>
              <a:latin typeface="+mn-lt"/>
              <a:ea typeface="+mn-ea"/>
              <a:cs typeface="+mn-cs"/>
            </a:rPr>
            <a:t>Cost-Effectiveness Analysis</a:t>
          </a:r>
          <a:endParaRPr lang="pt-BR" sz="1050">
            <a:effectLst/>
          </a:endParaRPr>
        </a:p>
      </xdr:txBody>
    </xdr:sp>
    <xdr:clientData/>
  </xdr:twoCellAnchor>
  <xdr:twoCellAnchor>
    <xdr:from>
      <xdr:col>0</xdr:col>
      <xdr:colOff>154782</xdr:colOff>
      <xdr:row>1</xdr:row>
      <xdr:rowOff>23812</xdr:rowOff>
    </xdr:from>
    <xdr:to>
      <xdr:col>0</xdr:col>
      <xdr:colOff>1522782</xdr:colOff>
      <xdr:row>2</xdr:row>
      <xdr:rowOff>150112</xdr:rowOff>
    </xdr:to>
    <xdr:sp macro="[0]!Aba_Presentation" textlink="">
      <xdr:nvSpPr>
        <xdr:cNvPr id="12" name="Retângulo: Cantos Arredondados 21">
          <a:hlinkClick xmlns:r="http://schemas.openxmlformats.org/officeDocument/2006/relationships" r:id="rId5"/>
          <a:extLst>
            <a:ext uri="{FF2B5EF4-FFF2-40B4-BE49-F238E27FC236}">
              <a16:creationId xmlns:a16="http://schemas.microsoft.com/office/drawing/2014/main" id="{4AEA5C6A-D76F-4361-9CB7-57DEFDA237B8}"/>
            </a:ext>
          </a:extLst>
        </xdr:cNvPr>
        <xdr:cNvSpPr/>
      </xdr:nvSpPr>
      <xdr:spPr>
        <a:xfrm>
          <a:off x="154782" y="214312"/>
          <a:ext cx="1368000" cy="316800"/>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Presentation</a:t>
          </a:r>
          <a:endParaRPr lang="pt-BR" sz="1050">
            <a:effectLst/>
          </a:endParaRPr>
        </a:p>
      </xdr:txBody>
    </xdr:sp>
    <xdr:clientData/>
  </xdr:twoCellAnchor>
  <xdr:twoCellAnchor>
    <xdr:from>
      <xdr:col>0</xdr:col>
      <xdr:colOff>154782</xdr:colOff>
      <xdr:row>6</xdr:row>
      <xdr:rowOff>54865</xdr:rowOff>
    </xdr:from>
    <xdr:to>
      <xdr:col>0</xdr:col>
      <xdr:colOff>1522782</xdr:colOff>
      <xdr:row>7</xdr:row>
      <xdr:rowOff>168674</xdr:rowOff>
    </xdr:to>
    <xdr:sp macro="[0]!Aba_Model" textlink="">
      <xdr:nvSpPr>
        <xdr:cNvPr id="13" name="Retângulo: Cantos Arredondados 11">
          <a:hlinkClick xmlns:r="http://schemas.openxmlformats.org/officeDocument/2006/relationships" r:id="rId6"/>
          <a:extLst>
            <a:ext uri="{FF2B5EF4-FFF2-40B4-BE49-F238E27FC236}">
              <a16:creationId xmlns:a16="http://schemas.microsoft.com/office/drawing/2014/main" id="{7A9B4DDC-2348-4FF0-AA76-F89288161C54}"/>
            </a:ext>
          </a:extLst>
        </xdr:cNvPr>
        <xdr:cNvSpPr/>
      </xdr:nvSpPr>
      <xdr:spPr>
        <a:xfrm>
          <a:off x="154782" y="1197865"/>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Model</a:t>
          </a:r>
          <a:endParaRPr lang="pt-BR" sz="1050">
            <a:effectLst/>
          </a:endParaRPr>
        </a:p>
      </xdr:txBody>
    </xdr:sp>
    <xdr:clientData/>
  </xdr:twoCellAnchor>
  <xdr:twoCellAnchor>
    <xdr:from>
      <xdr:col>0</xdr:col>
      <xdr:colOff>154782</xdr:colOff>
      <xdr:row>8</xdr:row>
      <xdr:rowOff>75724</xdr:rowOff>
    </xdr:from>
    <xdr:to>
      <xdr:col>0</xdr:col>
      <xdr:colOff>1522782</xdr:colOff>
      <xdr:row>9</xdr:row>
      <xdr:rowOff>189533</xdr:rowOff>
    </xdr:to>
    <xdr:sp macro="[0]!Aba_Parameters" textlink="">
      <xdr:nvSpPr>
        <xdr:cNvPr id="14" name="Retângulo: Cantos Arredondados 11">
          <a:hlinkClick xmlns:r="http://schemas.openxmlformats.org/officeDocument/2006/relationships" r:id="rId7"/>
          <a:extLst>
            <a:ext uri="{FF2B5EF4-FFF2-40B4-BE49-F238E27FC236}">
              <a16:creationId xmlns:a16="http://schemas.microsoft.com/office/drawing/2014/main" id="{F84EC54A-BBB0-48FF-B44D-6D8D9BB4E3F5}"/>
            </a:ext>
          </a:extLst>
        </xdr:cNvPr>
        <xdr:cNvSpPr/>
      </xdr:nvSpPr>
      <xdr:spPr>
        <a:xfrm>
          <a:off x="154782" y="1599724"/>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chemeClr val="lt1"/>
              </a:solidFill>
              <a:effectLst/>
              <a:latin typeface="+mn-lt"/>
              <a:ea typeface="+mn-ea"/>
              <a:cs typeface="+mn-cs"/>
            </a:rPr>
            <a:t>Parameters</a:t>
          </a:r>
          <a:endParaRPr lang="pt-BR" sz="1050">
            <a:effectLst/>
          </a:endParaRPr>
        </a:p>
      </xdr:txBody>
    </xdr:sp>
    <xdr:clientData/>
  </xdr:twoCellAnchor>
  <xdr:twoCellAnchor>
    <xdr:from>
      <xdr:col>0</xdr:col>
      <xdr:colOff>154782</xdr:colOff>
      <xdr:row>10</xdr:row>
      <xdr:rowOff>96581</xdr:rowOff>
    </xdr:from>
    <xdr:to>
      <xdr:col>0</xdr:col>
      <xdr:colOff>1522782</xdr:colOff>
      <xdr:row>12</xdr:row>
      <xdr:rowOff>19890</xdr:rowOff>
    </xdr:to>
    <xdr:sp macro="[0]!Aba_Costs" textlink="">
      <xdr:nvSpPr>
        <xdr:cNvPr id="15" name="Retângulo: Cantos Arredondados 11">
          <a:hlinkClick xmlns:r="http://schemas.openxmlformats.org/officeDocument/2006/relationships" r:id="rId8"/>
          <a:extLst>
            <a:ext uri="{FF2B5EF4-FFF2-40B4-BE49-F238E27FC236}">
              <a16:creationId xmlns:a16="http://schemas.microsoft.com/office/drawing/2014/main" id="{32D5F7D1-528A-4012-8808-439A0A285E4E}"/>
            </a:ext>
          </a:extLst>
        </xdr:cNvPr>
        <xdr:cNvSpPr/>
      </xdr:nvSpPr>
      <xdr:spPr>
        <a:xfrm>
          <a:off x="154782" y="2001581"/>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Costs</a:t>
          </a:r>
          <a:endParaRPr lang="pt-BR" sz="1050">
            <a:effectLst/>
          </a:endParaRPr>
        </a:p>
      </xdr:txBody>
    </xdr:sp>
    <xdr:clientData/>
  </xdr:twoCellAnchor>
</xdr:wsDr>
</file>

<file path=xl/drawings/drawing3.xml><?xml version="1.0" encoding="utf-8"?>
<c:userShapes xmlns:c="http://schemas.openxmlformats.org/drawingml/2006/chart">
  <cdr:relSizeAnchor xmlns:cdr="http://schemas.openxmlformats.org/drawingml/2006/chartDrawing">
    <cdr:from>
      <cdr:x>0.01375</cdr:x>
      <cdr:y>0</cdr:y>
    </cdr:from>
    <cdr:to>
      <cdr:x>0.98216</cdr:x>
      <cdr:y>0.05767</cdr:y>
    </cdr:to>
    <cdr:sp macro="" textlink="">
      <cdr:nvSpPr>
        <cdr:cNvPr id="2" name="CaixaDeTexto 1"/>
        <cdr:cNvSpPr txBox="1"/>
      </cdr:nvSpPr>
      <cdr:spPr>
        <a:xfrm xmlns:a="http://schemas.openxmlformats.org/drawingml/2006/main">
          <a:off x="127561" y="0"/>
          <a:ext cx="8983253" cy="533400"/>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pt-BR" sz="1400" b="1">
              <a:latin typeface="+mn-lt"/>
              <a:cs typeface="Arial" panose="020B0604020202020204" pitchFamily="34" charset="0"/>
            </a:rPr>
            <a:t>Deterministic Sensitivity Analysis</a:t>
          </a:r>
          <a:r>
            <a:rPr lang="pt-BR" sz="1400" b="1" baseline="0">
              <a:latin typeface="+mn-lt"/>
              <a:cs typeface="Arial" panose="020B0604020202020204" pitchFamily="34" charset="0"/>
            </a:rPr>
            <a:t> </a:t>
          </a:r>
          <a:r>
            <a:rPr lang="pt-BR" sz="1400" b="1">
              <a:latin typeface="+mn-lt"/>
              <a:cs typeface="Arial" panose="020B0604020202020204" pitchFamily="34" charset="0"/>
            </a:rPr>
            <a:t>- Tornado Chart</a:t>
          </a:r>
          <a:endParaRPr lang="pt-BR" sz="1400" b="1" baseline="0">
            <a:latin typeface="+mn-lt"/>
            <a:cs typeface="Arial" panose="020B0604020202020204" pitchFamily="34" charset="0"/>
          </a:endParaRPr>
        </a:p>
        <a:p xmlns:a="http://schemas.openxmlformats.org/drawingml/2006/main">
          <a:pPr algn="ctr"/>
          <a:r>
            <a:rPr lang="pt-BR" sz="1400" b="1" baseline="0">
              <a:latin typeface="+mn-lt"/>
              <a:cs typeface="Arial" panose="020B0604020202020204" pitchFamily="34" charset="0"/>
            </a:rPr>
            <a:t>Outcome: Incremental Cost-Utility Ratio (RCUI) (EUR per QALY)</a:t>
          </a:r>
          <a:endParaRPr lang="pt-BR" sz="1400" b="1">
            <a:latin typeface="+mn-lt"/>
            <a:cs typeface="Arial" panose="020B0604020202020204" pitchFamily="34" charset="0"/>
          </a:endParaRPr>
        </a:p>
      </cdr:txBody>
    </cdr:sp>
  </cdr:relSizeAnchor>
  <cdr:relSizeAnchor xmlns:cdr="http://schemas.openxmlformats.org/drawingml/2006/chartDrawing">
    <cdr:from>
      <cdr:x>0.22456</cdr:x>
      <cdr:y>0.94106</cdr:y>
    </cdr:from>
    <cdr:to>
      <cdr:x>0.85146</cdr:x>
      <cdr:y>0.98593</cdr:y>
    </cdr:to>
    <cdr:sp macro="" textlink="">
      <cdr:nvSpPr>
        <cdr:cNvPr id="3" name="CaixaDeTexto 1">
          <a:extLst xmlns:a="http://schemas.openxmlformats.org/drawingml/2006/main">
            <a:ext uri="{FF2B5EF4-FFF2-40B4-BE49-F238E27FC236}">
              <a16:creationId xmlns:a16="http://schemas.microsoft.com/office/drawing/2014/main" id="{0FDA2A46-C690-422B-B4CE-FC1450445471}"/>
            </a:ext>
          </a:extLst>
        </cdr:cNvPr>
        <cdr:cNvSpPr txBox="1"/>
      </cdr:nvSpPr>
      <cdr:spPr>
        <a:xfrm xmlns:a="http://schemas.openxmlformats.org/drawingml/2006/main">
          <a:off x="2599767" y="10238445"/>
          <a:ext cx="7257688" cy="488171"/>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pPr algn="ctr"/>
          <a:r>
            <a:rPr lang="pt-BR" sz="1200" b="1">
              <a:latin typeface="Arial" panose="020B0604020202020204" pitchFamily="34" charset="0"/>
              <a:cs typeface="Arial" panose="020B0604020202020204" pitchFamily="34" charset="0"/>
            </a:rPr>
            <a:t>Incremental Cost-Effectiveness Ratio</a:t>
          </a:r>
        </a:p>
      </cdr:txBody>
    </cdr:sp>
  </cdr:relSizeAnchor>
</c:userShapes>
</file>

<file path=xl/drawings/drawing4.xml><?xml version="1.0" encoding="utf-8"?>
<xdr:wsDr xmlns:xdr="http://schemas.openxmlformats.org/drawingml/2006/spreadsheetDrawing" xmlns:a="http://schemas.openxmlformats.org/drawingml/2006/main">
  <xdr:twoCellAnchor editAs="oneCell">
    <xdr:from>
      <xdr:col>1</xdr:col>
      <xdr:colOff>161925</xdr:colOff>
      <xdr:row>1</xdr:row>
      <xdr:rowOff>152400</xdr:rowOff>
    </xdr:from>
    <xdr:to>
      <xdr:col>1</xdr:col>
      <xdr:colOff>1020466</xdr:colOff>
      <xdr:row>3</xdr:row>
      <xdr:rowOff>189779</xdr:rowOff>
    </xdr:to>
    <xdr:pic>
      <xdr:nvPicPr>
        <xdr:cNvPr id="3" name="Imagem 9">
          <a:extLst>
            <a:ext uri="{FF2B5EF4-FFF2-40B4-BE49-F238E27FC236}">
              <a16:creationId xmlns:a16="http://schemas.microsoft.com/office/drawing/2014/main" id="{8854ECB3-3B24-405B-A8D0-B654BC04B9E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2125" y="342900"/>
          <a:ext cx="864891" cy="418379"/>
        </a:xfrm>
        <a:prstGeom prst="rect">
          <a:avLst/>
        </a:prstGeom>
      </xdr:spPr>
    </xdr:pic>
    <xdr:clientData/>
  </xdr:twoCellAnchor>
  <xdr:twoCellAnchor>
    <xdr:from>
      <xdr:col>0</xdr:col>
      <xdr:colOff>114300</xdr:colOff>
      <xdr:row>3</xdr:row>
      <xdr:rowOff>80975</xdr:rowOff>
    </xdr:from>
    <xdr:to>
      <xdr:col>0</xdr:col>
      <xdr:colOff>1482300</xdr:colOff>
      <xdr:row>5</xdr:row>
      <xdr:rowOff>183524</xdr:rowOff>
    </xdr:to>
    <xdr:sp macro="[0]!Aba_CostEffectiveAnalysis" textlink="">
      <xdr:nvSpPr>
        <xdr:cNvPr id="8" name="Retângulo: Cantos Arredondados 21">
          <a:hlinkClick xmlns:r="http://schemas.openxmlformats.org/officeDocument/2006/relationships" r:id="rId2"/>
          <a:extLst>
            <a:ext uri="{FF2B5EF4-FFF2-40B4-BE49-F238E27FC236}">
              <a16:creationId xmlns:a16="http://schemas.microsoft.com/office/drawing/2014/main" id="{8F6C0BA0-228B-4E92-B983-C0A8E54881DE}"/>
            </a:ext>
          </a:extLst>
        </xdr:cNvPr>
        <xdr:cNvSpPr/>
      </xdr:nvSpPr>
      <xdr:spPr>
        <a:xfrm>
          <a:off x="114300" y="652475"/>
          <a:ext cx="1368000" cy="48354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chemeClr val="lt1"/>
              </a:solidFill>
              <a:effectLst/>
              <a:latin typeface="+mn-lt"/>
              <a:ea typeface="+mn-ea"/>
              <a:cs typeface="+mn-cs"/>
            </a:rPr>
            <a:t>Cost-Effectiveness Analysis</a:t>
          </a:r>
          <a:endParaRPr lang="pt-BR" sz="1050">
            <a:effectLst/>
          </a:endParaRPr>
        </a:p>
      </xdr:txBody>
    </xdr:sp>
    <xdr:clientData/>
  </xdr:twoCellAnchor>
  <xdr:twoCellAnchor>
    <xdr:from>
      <xdr:col>0</xdr:col>
      <xdr:colOff>114300</xdr:colOff>
      <xdr:row>1</xdr:row>
      <xdr:rowOff>47625</xdr:rowOff>
    </xdr:from>
    <xdr:to>
      <xdr:col>0</xdr:col>
      <xdr:colOff>1482300</xdr:colOff>
      <xdr:row>2</xdr:row>
      <xdr:rowOff>173925</xdr:rowOff>
    </xdr:to>
    <xdr:sp macro="[0]!Aba_Presentation" textlink="">
      <xdr:nvSpPr>
        <xdr:cNvPr id="9" name="Retângulo: Cantos Arredondados 21">
          <a:hlinkClick xmlns:r="http://schemas.openxmlformats.org/officeDocument/2006/relationships" r:id="rId3"/>
          <a:extLst>
            <a:ext uri="{FF2B5EF4-FFF2-40B4-BE49-F238E27FC236}">
              <a16:creationId xmlns:a16="http://schemas.microsoft.com/office/drawing/2014/main" id="{748393CC-DC54-419C-BD7D-9E5A67B50D3C}"/>
            </a:ext>
          </a:extLst>
        </xdr:cNvPr>
        <xdr:cNvSpPr/>
      </xdr:nvSpPr>
      <xdr:spPr>
        <a:xfrm>
          <a:off x="114300" y="238125"/>
          <a:ext cx="1368000" cy="316800"/>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Presentation</a:t>
          </a:r>
          <a:endParaRPr lang="pt-BR" sz="1050">
            <a:effectLst/>
          </a:endParaRPr>
        </a:p>
      </xdr:txBody>
    </xdr:sp>
    <xdr:clientData/>
  </xdr:twoCellAnchor>
  <xdr:twoCellAnchor>
    <xdr:from>
      <xdr:col>0</xdr:col>
      <xdr:colOff>114300</xdr:colOff>
      <xdr:row>6</xdr:row>
      <xdr:rowOff>78678</xdr:rowOff>
    </xdr:from>
    <xdr:to>
      <xdr:col>0</xdr:col>
      <xdr:colOff>1482300</xdr:colOff>
      <xdr:row>7</xdr:row>
      <xdr:rowOff>135337</xdr:rowOff>
    </xdr:to>
    <xdr:sp macro="[0]!Aba_Model" textlink="">
      <xdr:nvSpPr>
        <xdr:cNvPr id="10" name="Retângulo: Cantos Arredondados 11">
          <a:hlinkClick xmlns:r="http://schemas.openxmlformats.org/officeDocument/2006/relationships" r:id="rId4"/>
          <a:extLst>
            <a:ext uri="{FF2B5EF4-FFF2-40B4-BE49-F238E27FC236}">
              <a16:creationId xmlns:a16="http://schemas.microsoft.com/office/drawing/2014/main" id="{704A2AE7-6BF5-4A2C-9754-EF72979FA9E0}"/>
            </a:ext>
          </a:extLst>
        </xdr:cNvPr>
        <xdr:cNvSpPr/>
      </xdr:nvSpPr>
      <xdr:spPr>
        <a:xfrm>
          <a:off x="114300" y="1221678"/>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Model</a:t>
          </a:r>
          <a:endParaRPr lang="pt-BR" sz="1050">
            <a:effectLst/>
          </a:endParaRPr>
        </a:p>
      </xdr:txBody>
    </xdr:sp>
    <xdr:clientData/>
  </xdr:twoCellAnchor>
  <xdr:twoCellAnchor>
    <xdr:from>
      <xdr:col>0</xdr:col>
      <xdr:colOff>114300</xdr:colOff>
      <xdr:row>8</xdr:row>
      <xdr:rowOff>23337</xdr:rowOff>
    </xdr:from>
    <xdr:to>
      <xdr:col>0</xdr:col>
      <xdr:colOff>1482300</xdr:colOff>
      <xdr:row>9</xdr:row>
      <xdr:rowOff>137146</xdr:rowOff>
    </xdr:to>
    <xdr:sp macro="[0]!Aba_Parameters" textlink="">
      <xdr:nvSpPr>
        <xdr:cNvPr id="11" name="Retângulo: Cantos Arredondados 11">
          <a:hlinkClick xmlns:r="http://schemas.openxmlformats.org/officeDocument/2006/relationships" r:id="rId5"/>
          <a:extLst>
            <a:ext uri="{FF2B5EF4-FFF2-40B4-BE49-F238E27FC236}">
              <a16:creationId xmlns:a16="http://schemas.microsoft.com/office/drawing/2014/main" id="{B0E6163C-72A5-421F-91C8-323176759AB5}"/>
            </a:ext>
          </a:extLst>
        </xdr:cNvPr>
        <xdr:cNvSpPr/>
      </xdr:nvSpPr>
      <xdr:spPr>
        <a:xfrm>
          <a:off x="114300" y="1623537"/>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chemeClr val="lt1"/>
              </a:solidFill>
              <a:effectLst/>
              <a:latin typeface="+mn-lt"/>
              <a:ea typeface="+mn-ea"/>
              <a:cs typeface="+mn-cs"/>
            </a:rPr>
            <a:t>Parameters</a:t>
          </a:r>
          <a:endParaRPr lang="pt-BR" sz="1050">
            <a:effectLst/>
          </a:endParaRPr>
        </a:p>
      </xdr:txBody>
    </xdr:sp>
    <xdr:clientData/>
  </xdr:twoCellAnchor>
  <xdr:twoCellAnchor>
    <xdr:from>
      <xdr:col>0</xdr:col>
      <xdr:colOff>114300</xdr:colOff>
      <xdr:row>10</xdr:row>
      <xdr:rowOff>44194</xdr:rowOff>
    </xdr:from>
    <xdr:to>
      <xdr:col>0</xdr:col>
      <xdr:colOff>1482300</xdr:colOff>
      <xdr:row>11</xdr:row>
      <xdr:rowOff>158003</xdr:rowOff>
    </xdr:to>
    <xdr:sp macro="[0]!Aba_Costs" textlink="">
      <xdr:nvSpPr>
        <xdr:cNvPr id="12" name="Retângulo: Cantos Arredondados 11">
          <a:hlinkClick xmlns:r="http://schemas.openxmlformats.org/officeDocument/2006/relationships" r:id="rId6"/>
          <a:extLst>
            <a:ext uri="{FF2B5EF4-FFF2-40B4-BE49-F238E27FC236}">
              <a16:creationId xmlns:a16="http://schemas.microsoft.com/office/drawing/2014/main" id="{B2F56F0A-77F6-4B6E-89BE-BF4DAC7960E3}"/>
            </a:ext>
          </a:extLst>
        </xdr:cNvPr>
        <xdr:cNvSpPr/>
      </xdr:nvSpPr>
      <xdr:spPr>
        <a:xfrm>
          <a:off x="114300" y="2025394"/>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Costs</a:t>
          </a:r>
          <a:endParaRPr lang="pt-BR" sz="1050">
            <a:effectLst/>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152400</xdr:colOff>
      <xdr:row>2</xdr:row>
      <xdr:rowOff>281000</xdr:rowOff>
    </xdr:from>
    <xdr:to>
      <xdr:col>0</xdr:col>
      <xdr:colOff>1520400</xdr:colOff>
      <xdr:row>5</xdr:row>
      <xdr:rowOff>59699</xdr:rowOff>
    </xdr:to>
    <xdr:sp macro="[0]!Aba_CostEffectiveAnalysis" textlink="">
      <xdr:nvSpPr>
        <xdr:cNvPr id="2" name="Retângulo: Cantos Arredondados 21">
          <a:hlinkClick xmlns:r="http://schemas.openxmlformats.org/officeDocument/2006/relationships" r:id="rId1"/>
          <a:extLst>
            <a:ext uri="{FF2B5EF4-FFF2-40B4-BE49-F238E27FC236}">
              <a16:creationId xmlns:a16="http://schemas.microsoft.com/office/drawing/2014/main" id="{BCD0BB45-4602-49DE-8596-3D27CB86B1DC}"/>
            </a:ext>
          </a:extLst>
        </xdr:cNvPr>
        <xdr:cNvSpPr/>
      </xdr:nvSpPr>
      <xdr:spPr>
        <a:xfrm>
          <a:off x="152400" y="604850"/>
          <a:ext cx="1368000" cy="48354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chemeClr val="lt1"/>
              </a:solidFill>
              <a:effectLst/>
              <a:latin typeface="+mn-lt"/>
              <a:ea typeface="+mn-ea"/>
              <a:cs typeface="+mn-cs"/>
            </a:rPr>
            <a:t>Cost-Effectiveness Analysis</a:t>
          </a:r>
          <a:endParaRPr lang="pt-BR" sz="1050">
            <a:effectLst/>
          </a:endParaRPr>
        </a:p>
      </xdr:txBody>
    </xdr:sp>
    <xdr:clientData/>
  </xdr:twoCellAnchor>
  <xdr:twoCellAnchor>
    <xdr:from>
      <xdr:col>0</xdr:col>
      <xdr:colOff>152400</xdr:colOff>
      <xdr:row>1</xdr:row>
      <xdr:rowOff>28575</xdr:rowOff>
    </xdr:from>
    <xdr:to>
      <xdr:col>0</xdr:col>
      <xdr:colOff>1520400</xdr:colOff>
      <xdr:row>2</xdr:row>
      <xdr:rowOff>183450</xdr:rowOff>
    </xdr:to>
    <xdr:sp macro="[0]!Aba_Presentation" textlink="">
      <xdr:nvSpPr>
        <xdr:cNvPr id="3" name="Retângulo: Cantos Arredondados 21">
          <a:hlinkClick xmlns:r="http://schemas.openxmlformats.org/officeDocument/2006/relationships" r:id="rId2"/>
          <a:extLst>
            <a:ext uri="{FF2B5EF4-FFF2-40B4-BE49-F238E27FC236}">
              <a16:creationId xmlns:a16="http://schemas.microsoft.com/office/drawing/2014/main" id="{99101045-9B2B-4EE2-ABB8-E4FC85BFA5F6}"/>
            </a:ext>
          </a:extLst>
        </xdr:cNvPr>
        <xdr:cNvSpPr/>
      </xdr:nvSpPr>
      <xdr:spPr>
        <a:xfrm>
          <a:off x="152400" y="190500"/>
          <a:ext cx="1368000" cy="316800"/>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Presentation</a:t>
          </a:r>
          <a:endParaRPr lang="pt-BR" sz="1050">
            <a:effectLst/>
          </a:endParaRPr>
        </a:p>
      </xdr:txBody>
    </xdr:sp>
    <xdr:clientData/>
  </xdr:twoCellAnchor>
  <xdr:twoCellAnchor>
    <xdr:from>
      <xdr:col>0</xdr:col>
      <xdr:colOff>152400</xdr:colOff>
      <xdr:row>5</xdr:row>
      <xdr:rowOff>145353</xdr:rowOff>
    </xdr:from>
    <xdr:to>
      <xdr:col>0</xdr:col>
      <xdr:colOff>1520400</xdr:colOff>
      <xdr:row>7</xdr:row>
      <xdr:rowOff>125812</xdr:rowOff>
    </xdr:to>
    <xdr:sp macro="[0]!Aba_Model" textlink="">
      <xdr:nvSpPr>
        <xdr:cNvPr id="4" name="Retângulo: Cantos Arredondados 11">
          <a:hlinkClick xmlns:r="http://schemas.openxmlformats.org/officeDocument/2006/relationships" r:id="rId3"/>
          <a:extLst>
            <a:ext uri="{FF2B5EF4-FFF2-40B4-BE49-F238E27FC236}">
              <a16:creationId xmlns:a16="http://schemas.microsoft.com/office/drawing/2014/main" id="{09BF7C6A-5ED1-4721-9959-E136F47678BF}"/>
            </a:ext>
          </a:extLst>
        </xdr:cNvPr>
        <xdr:cNvSpPr/>
      </xdr:nvSpPr>
      <xdr:spPr>
        <a:xfrm>
          <a:off x="152400" y="1174053"/>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Model</a:t>
          </a:r>
          <a:endParaRPr lang="pt-BR" sz="1050">
            <a:effectLst/>
          </a:endParaRPr>
        </a:p>
      </xdr:txBody>
    </xdr:sp>
    <xdr:clientData/>
  </xdr:twoCellAnchor>
  <xdr:twoCellAnchor>
    <xdr:from>
      <xdr:col>0</xdr:col>
      <xdr:colOff>152400</xdr:colOff>
      <xdr:row>8</xdr:row>
      <xdr:rowOff>61437</xdr:rowOff>
    </xdr:from>
    <xdr:to>
      <xdr:col>0</xdr:col>
      <xdr:colOff>1520400</xdr:colOff>
      <xdr:row>10</xdr:row>
      <xdr:rowOff>41896</xdr:rowOff>
    </xdr:to>
    <xdr:sp macro="[0]!Aba_Parameters" textlink="">
      <xdr:nvSpPr>
        <xdr:cNvPr id="5" name="Retângulo: Cantos Arredondados 11">
          <a:hlinkClick xmlns:r="http://schemas.openxmlformats.org/officeDocument/2006/relationships" r:id="rId4"/>
          <a:extLst>
            <a:ext uri="{FF2B5EF4-FFF2-40B4-BE49-F238E27FC236}">
              <a16:creationId xmlns:a16="http://schemas.microsoft.com/office/drawing/2014/main" id="{C652F2F8-DDE1-45DF-A68A-F857B4A00CB8}"/>
            </a:ext>
          </a:extLst>
        </xdr:cNvPr>
        <xdr:cNvSpPr/>
      </xdr:nvSpPr>
      <xdr:spPr>
        <a:xfrm>
          <a:off x="152400" y="1575912"/>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chemeClr val="lt1"/>
              </a:solidFill>
              <a:effectLst/>
              <a:latin typeface="+mn-lt"/>
              <a:ea typeface="+mn-ea"/>
              <a:cs typeface="+mn-cs"/>
            </a:rPr>
            <a:t>Parameters</a:t>
          </a:r>
          <a:endParaRPr lang="pt-BR" sz="1050">
            <a:effectLst/>
          </a:endParaRPr>
        </a:p>
      </xdr:txBody>
    </xdr:sp>
    <xdr:clientData/>
  </xdr:twoCellAnchor>
  <xdr:twoCellAnchor>
    <xdr:from>
      <xdr:col>0</xdr:col>
      <xdr:colOff>152400</xdr:colOff>
      <xdr:row>10</xdr:row>
      <xdr:rowOff>139444</xdr:rowOff>
    </xdr:from>
    <xdr:to>
      <xdr:col>0</xdr:col>
      <xdr:colOff>1520400</xdr:colOff>
      <xdr:row>12</xdr:row>
      <xdr:rowOff>119903</xdr:rowOff>
    </xdr:to>
    <xdr:sp macro="[0]!Aba_Costs" textlink="">
      <xdr:nvSpPr>
        <xdr:cNvPr id="6" name="Retângulo: Cantos Arredondados 11">
          <a:hlinkClick xmlns:r="http://schemas.openxmlformats.org/officeDocument/2006/relationships" r:id="rId5"/>
          <a:extLst>
            <a:ext uri="{FF2B5EF4-FFF2-40B4-BE49-F238E27FC236}">
              <a16:creationId xmlns:a16="http://schemas.microsoft.com/office/drawing/2014/main" id="{8873422A-C7A1-40BB-8CB0-4E0BC9306AEA}"/>
            </a:ext>
          </a:extLst>
        </xdr:cNvPr>
        <xdr:cNvSpPr/>
      </xdr:nvSpPr>
      <xdr:spPr>
        <a:xfrm>
          <a:off x="152400" y="1977769"/>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Costs</a:t>
          </a:r>
          <a:endParaRPr lang="pt-BR" sz="1050">
            <a:effectLst/>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95250</xdr:colOff>
      <xdr:row>2</xdr:row>
      <xdr:rowOff>195275</xdr:rowOff>
    </xdr:from>
    <xdr:to>
      <xdr:col>0</xdr:col>
      <xdr:colOff>1463250</xdr:colOff>
      <xdr:row>4</xdr:row>
      <xdr:rowOff>193049</xdr:rowOff>
    </xdr:to>
    <xdr:sp macro="[0]!Aba_CostEffectiveAnalysis" textlink="">
      <xdr:nvSpPr>
        <xdr:cNvPr id="2" name="Retângulo: Cantos Arredondados 21">
          <a:hlinkClick xmlns:r="http://schemas.openxmlformats.org/officeDocument/2006/relationships" r:id="rId1"/>
          <a:extLst>
            <a:ext uri="{FF2B5EF4-FFF2-40B4-BE49-F238E27FC236}">
              <a16:creationId xmlns:a16="http://schemas.microsoft.com/office/drawing/2014/main" id="{EBCBF2AB-F015-44A1-8404-05DA36C032E3}"/>
            </a:ext>
          </a:extLst>
        </xdr:cNvPr>
        <xdr:cNvSpPr/>
      </xdr:nvSpPr>
      <xdr:spPr>
        <a:xfrm>
          <a:off x="95250" y="671525"/>
          <a:ext cx="1368000" cy="48354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chemeClr val="lt1"/>
              </a:solidFill>
              <a:effectLst/>
              <a:latin typeface="+mn-lt"/>
              <a:ea typeface="+mn-ea"/>
              <a:cs typeface="+mn-cs"/>
            </a:rPr>
            <a:t>Cost-Effectiveness Analysis</a:t>
          </a:r>
          <a:endParaRPr lang="pt-BR" sz="1050">
            <a:effectLst/>
          </a:endParaRPr>
        </a:p>
      </xdr:txBody>
    </xdr:sp>
    <xdr:clientData/>
  </xdr:twoCellAnchor>
  <xdr:twoCellAnchor>
    <xdr:from>
      <xdr:col>0</xdr:col>
      <xdr:colOff>95250</xdr:colOff>
      <xdr:row>1</xdr:row>
      <xdr:rowOff>19050</xdr:rowOff>
    </xdr:from>
    <xdr:to>
      <xdr:col>0</xdr:col>
      <xdr:colOff>1463250</xdr:colOff>
      <xdr:row>2</xdr:row>
      <xdr:rowOff>97725</xdr:rowOff>
    </xdr:to>
    <xdr:sp macro="[0]!Aba_Presentation" textlink="">
      <xdr:nvSpPr>
        <xdr:cNvPr id="3" name="Retângulo: Cantos Arredondados 21">
          <a:hlinkClick xmlns:r="http://schemas.openxmlformats.org/officeDocument/2006/relationships" r:id="rId2"/>
          <a:extLst>
            <a:ext uri="{FF2B5EF4-FFF2-40B4-BE49-F238E27FC236}">
              <a16:creationId xmlns:a16="http://schemas.microsoft.com/office/drawing/2014/main" id="{C48D8AC7-E6A1-4C45-B79E-EEC1E6390A14}"/>
            </a:ext>
          </a:extLst>
        </xdr:cNvPr>
        <xdr:cNvSpPr/>
      </xdr:nvSpPr>
      <xdr:spPr>
        <a:xfrm>
          <a:off x="95250" y="257175"/>
          <a:ext cx="1368000" cy="316800"/>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Presentation</a:t>
          </a:r>
          <a:endParaRPr lang="pt-BR" sz="1050">
            <a:effectLst/>
          </a:endParaRPr>
        </a:p>
      </xdr:txBody>
    </xdr:sp>
    <xdr:clientData/>
  </xdr:twoCellAnchor>
  <xdr:twoCellAnchor>
    <xdr:from>
      <xdr:col>0</xdr:col>
      <xdr:colOff>95250</xdr:colOff>
      <xdr:row>5</xdr:row>
      <xdr:rowOff>40578</xdr:rowOff>
    </xdr:from>
    <xdr:to>
      <xdr:col>0</xdr:col>
      <xdr:colOff>1463250</xdr:colOff>
      <xdr:row>6</xdr:row>
      <xdr:rowOff>106762</xdr:rowOff>
    </xdr:to>
    <xdr:sp macro="[0]!Aba_Model" textlink="">
      <xdr:nvSpPr>
        <xdr:cNvPr id="4" name="Retângulo: Cantos Arredondados 11">
          <a:hlinkClick xmlns:r="http://schemas.openxmlformats.org/officeDocument/2006/relationships" r:id="rId3"/>
          <a:extLst>
            <a:ext uri="{FF2B5EF4-FFF2-40B4-BE49-F238E27FC236}">
              <a16:creationId xmlns:a16="http://schemas.microsoft.com/office/drawing/2014/main" id="{09B422FB-EB4B-464A-857E-7338176E63F7}"/>
            </a:ext>
          </a:extLst>
        </xdr:cNvPr>
        <xdr:cNvSpPr/>
      </xdr:nvSpPr>
      <xdr:spPr>
        <a:xfrm>
          <a:off x="95250" y="1240728"/>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Model</a:t>
          </a:r>
          <a:endParaRPr lang="pt-BR" sz="1050">
            <a:effectLst/>
          </a:endParaRPr>
        </a:p>
      </xdr:txBody>
    </xdr:sp>
    <xdr:clientData/>
  </xdr:twoCellAnchor>
  <xdr:twoCellAnchor>
    <xdr:from>
      <xdr:col>0</xdr:col>
      <xdr:colOff>95250</xdr:colOff>
      <xdr:row>6</xdr:row>
      <xdr:rowOff>204312</xdr:rowOff>
    </xdr:from>
    <xdr:to>
      <xdr:col>0</xdr:col>
      <xdr:colOff>1463250</xdr:colOff>
      <xdr:row>8</xdr:row>
      <xdr:rowOff>32371</xdr:rowOff>
    </xdr:to>
    <xdr:sp macro="[0]!Aba_Parameters" textlink="">
      <xdr:nvSpPr>
        <xdr:cNvPr id="7" name="Retângulo: Cantos Arredondados 11">
          <a:hlinkClick xmlns:r="http://schemas.openxmlformats.org/officeDocument/2006/relationships" r:id="rId4"/>
          <a:extLst>
            <a:ext uri="{FF2B5EF4-FFF2-40B4-BE49-F238E27FC236}">
              <a16:creationId xmlns:a16="http://schemas.microsoft.com/office/drawing/2014/main" id="{9FEB2BEC-B46B-446C-B18A-92949494764C}"/>
            </a:ext>
          </a:extLst>
        </xdr:cNvPr>
        <xdr:cNvSpPr/>
      </xdr:nvSpPr>
      <xdr:spPr>
        <a:xfrm>
          <a:off x="95250" y="1642587"/>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100">
              <a:solidFill>
                <a:schemeClr val="lt1"/>
              </a:solidFill>
              <a:effectLst/>
              <a:latin typeface="+mn-lt"/>
              <a:ea typeface="+mn-ea"/>
              <a:cs typeface="+mn-cs"/>
            </a:rPr>
            <a:t>Parameters</a:t>
          </a:r>
          <a:endParaRPr lang="pt-BR" sz="1050">
            <a:effectLst/>
          </a:endParaRPr>
        </a:p>
      </xdr:txBody>
    </xdr:sp>
    <xdr:clientData/>
  </xdr:twoCellAnchor>
  <xdr:twoCellAnchor>
    <xdr:from>
      <xdr:col>0</xdr:col>
      <xdr:colOff>95250</xdr:colOff>
      <xdr:row>8</xdr:row>
      <xdr:rowOff>129919</xdr:rowOff>
    </xdr:from>
    <xdr:to>
      <xdr:col>0</xdr:col>
      <xdr:colOff>1463250</xdr:colOff>
      <xdr:row>9</xdr:row>
      <xdr:rowOff>196103</xdr:rowOff>
    </xdr:to>
    <xdr:sp macro="[0]!Aba_Costs" textlink="">
      <xdr:nvSpPr>
        <xdr:cNvPr id="11" name="Retângulo: Cantos Arredondados 11">
          <a:hlinkClick xmlns:r="http://schemas.openxmlformats.org/officeDocument/2006/relationships" r:id="rId5"/>
          <a:extLst>
            <a:ext uri="{FF2B5EF4-FFF2-40B4-BE49-F238E27FC236}">
              <a16:creationId xmlns:a16="http://schemas.microsoft.com/office/drawing/2014/main" id="{F055B367-217F-4B4D-AF50-C11506C6CE43}"/>
            </a:ext>
          </a:extLst>
        </xdr:cNvPr>
        <xdr:cNvSpPr/>
      </xdr:nvSpPr>
      <xdr:spPr>
        <a:xfrm>
          <a:off x="95250" y="2044444"/>
          <a:ext cx="1368000" cy="304309"/>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pt-BR" sz="1100">
              <a:solidFill>
                <a:schemeClr val="lt1"/>
              </a:solidFill>
              <a:effectLst/>
              <a:latin typeface="+mn-lt"/>
              <a:ea typeface="+mn-ea"/>
              <a:cs typeface="+mn-cs"/>
            </a:rPr>
            <a:t>Costs</a:t>
          </a:r>
          <a:endParaRPr lang="pt-BR" sz="105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942975</xdr:colOff>
      <xdr:row>3</xdr:row>
      <xdr:rowOff>19050</xdr:rowOff>
    </xdr:from>
    <xdr:to>
      <xdr:col>6</xdr:col>
      <xdr:colOff>9525</xdr:colOff>
      <xdr:row>6</xdr:row>
      <xdr:rowOff>28575</xdr:rowOff>
    </xdr:to>
    <xdr:sp macro="[0]!DSA" textlink="">
      <xdr:nvSpPr>
        <xdr:cNvPr id="2" name="Retângulo: Cantos Arredondados 1">
          <a:extLst>
            <a:ext uri="{FF2B5EF4-FFF2-40B4-BE49-F238E27FC236}">
              <a16:creationId xmlns:a16="http://schemas.microsoft.com/office/drawing/2014/main" id="{531EED0D-45DB-4685-8128-B2AFD93DF441}"/>
            </a:ext>
          </a:extLst>
        </xdr:cNvPr>
        <xdr:cNvSpPr/>
      </xdr:nvSpPr>
      <xdr:spPr>
        <a:xfrm>
          <a:off x="6581775" y="600075"/>
          <a:ext cx="1219200" cy="581025"/>
        </a:xfrm>
        <a:prstGeom prst="roundRect">
          <a:avLst/>
        </a:prstGeom>
        <a:solidFill>
          <a:schemeClr val="accent1">
            <a:lumMod val="50000"/>
          </a:schemeClr>
        </a:solidFill>
        <a:ln>
          <a:noFill/>
        </a:ln>
      </xdr:spPr>
      <xdr:style>
        <a:lnRef idx="0">
          <a:scrgbClr r="0" g="0" b="0"/>
        </a:lnRef>
        <a:fillRef idx="0">
          <a:scrgbClr r="0" g="0" b="0"/>
        </a:fillRef>
        <a:effectRef idx="0">
          <a:scrgbClr r="0" g="0" b="0"/>
        </a:effectRef>
        <a:fontRef idx="minor">
          <a:schemeClr val="lt1"/>
        </a:fontRef>
      </xdr:style>
      <xdr:txBody>
        <a:bodyPr vertOverflow="clip" horzOverflow="clip" rtlCol="0" anchor="ctr"/>
        <a:lstStyle/>
        <a:p>
          <a:pPr algn="ctr"/>
          <a:r>
            <a:rPr lang="pt-BR" sz="1200" b="1">
              <a:solidFill>
                <a:schemeClr val="bg1"/>
              </a:solidFill>
            </a:rPr>
            <a:t>DSA</a:t>
          </a:r>
          <a:r>
            <a:rPr lang="pt-BR" sz="1200" b="1" baseline="0">
              <a:solidFill>
                <a:schemeClr val="bg1"/>
              </a:solidFill>
            </a:rPr>
            <a:t> Qaly </a:t>
          </a:r>
          <a:endParaRPr lang="pt-BR" sz="1200" b="1">
            <a:solidFill>
              <a:schemeClr val="bg1"/>
            </a:solidFill>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17</xdr:col>
      <xdr:colOff>95250</xdr:colOff>
      <xdr:row>1</xdr:row>
      <xdr:rowOff>123824</xdr:rowOff>
    </xdr:from>
    <xdr:to>
      <xdr:col>18</xdr:col>
      <xdr:colOff>504825</xdr:colOff>
      <xdr:row>4</xdr:row>
      <xdr:rowOff>95250</xdr:rowOff>
    </xdr:to>
    <xdr:sp macro="[0]!PSA_ACE" textlink="">
      <xdr:nvSpPr>
        <xdr:cNvPr id="2" name="Retângulo: Cantos Arredondados 1">
          <a:extLst>
            <a:ext uri="{FF2B5EF4-FFF2-40B4-BE49-F238E27FC236}">
              <a16:creationId xmlns:a16="http://schemas.microsoft.com/office/drawing/2014/main" id="{249F5022-DF89-4308-BB2A-C5B61318FBC4}"/>
            </a:ext>
          </a:extLst>
        </xdr:cNvPr>
        <xdr:cNvSpPr/>
      </xdr:nvSpPr>
      <xdr:spPr>
        <a:xfrm>
          <a:off x="15782925" y="361949"/>
          <a:ext cx="1266825" cy="714376"/>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50"/>
            <a:t>PSA</a:t>
          </a:r>
        </a:p>
      </xdr:txBody>
    </xdr:sp>
    <xdr:clientData/>
  </xdr:twoCellAnchor>
  <xdr:twoCellAnchor>
    <xdr:from>
      <xdr:col>17</xdr:col>
      <xdr:colOff>85725</xdr:colOff>
      <xdr:row>5</xdr:row>
      <xdr:rowOff>95249</xdr:rowOff>
    </xdr:from>
    <xdr:to>
      <xdr:col>18</xdr:col>
      <xdr:colOff>495300</xdr:colOff>
      <xdr:row>8</xdr:row>
      <xdr:rowOff>95250</xdr:rowOff>
    </xdr:to>
    <xdr:sp macro="[0]!CEAC" textlink="">
      <xdr:nvSpPr>
        <xdr:cNvPr id="3" name="Retângulo: Cantos Arredondados 2">
          <a:extLst>
            <a:ext uri="{FF2B5EF4-FFF2-40B4-BE49-F238E27FC236}">
              <a16:creationId xmlns:a16="http://schemas.microsoft.com/office/drawing/2014/main" id="{38C83BCE-8D12-45E3-94BF-3E4EBE59AE9D}"/>
            </a:ext>
          </a:extLst>
        </xdr:cNvPr>
        <xdr:cNvSpPr/>
      </xdr:nvSpPr>
      <xdr:spPr>
        <a:xfrm>
          <a:off x="15773400" y="1314449"/>
          <a:ext cx="1266825" cy="714376"/>
        </a:xfrm>
        <a:prstGeom prst="roundRect">
          <a:avLst/>
        </a:prstGeom>
        <a:solidFill>
          <a:schemeClr val="accent2"/>
        </a:soli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pt-BR" sz="1050"/>
            <a:t>CEAC</a:t>
          </a:r>
        </a:p>
      </xdr:txBody>
    </xdr:sp>
    <xdr:clientData/>
  </xdr:twoCellAnchor>
  <xdr:twoCellAnchor>
    <xdr:from>
      <xdr:col>19</xdr:col>
      <xdr:colOff>340181</xdr:colOff>
      <xdr:row>0</xdr:row>
      <xdr:rowOff>195942</xdr:rowOff>
    </xdr:from>
    <xdr:to>
      <xdr:col>29</xdr:col>
      <xdr:colOff>437030</xdr:colOff>
      <xdr:row>16</xdr:row>
      <xdr:rowOff>134471</xdr:rowOff>
    </xdr:to>
    <xdr:graphicFrame macro="">
      <xdr:nvGraphicFramePr>
        <xdr:cNvPr id="4" name="Gráfico 3">
          <a:extLst>
            <a:ext uri="{FF2B5EF4-FFF2-40B4-BE49-F238E27FC236}">
              <a16:creationId xmlns:a16="http://schemas.microsoft.com/office/drawing/2014/main" id="{FF6129B9-6D95-43E1-B7DF-5A04250E89C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19</xdr:col>
      <xdr:colOff>355226</xdr:colOff>
      <xdr:row>17</xdr:row>
      <xdr:rowOff>173131</xdr:rowOff>
    </xdr:from>
    <xdr:to>
      <xdr:col>29</xdr:col>
      <xdr:colOff>459442</xdr:colOff>
      <xdr:row>35</xdr:row>
      <xdr:rowOff>78442</xdr:rowOff>
    </xdr:to>
    <xdr:graphicFrame macro="">
      <xdr:nvGraphicFramePr>
        <xdr:cNvPr id="5" name="Chart 1">
          <a:extLst>
            <a:ext uri="{FF2B5EF4-FFF2-40B4-BE49-F238E27FC236}">
              <a16:creationId xmlns:a16="http://schemas.microsoft.com/office/drawing/2014/main" id="{24D16AA3-BB0E-4303-982A-0982FC98B55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9525</xdr:colOff>
      <xdr:row>15</xdr:row>
      <xdr:rowOff>94688</xdr:rowOff>
    </xdr:to>
    <xdr:pic>
      <xdr:nvPicPr>
        <xdr:cNvPr id="2" name="Imagem 1">
          <a:extLst>
            <a:ext uri="{FF2B5EF4-FFF2-40B4-BE49-F238E27FC236}">
              <a16:creationId xmlns:a16="http://schemas.microsoft.com/office/drawing/2014/main" id="{F57E5F82-1141-BEB7-5B86-ADC64259A202}"/>
            </a:ext>
          </a:extLst>
        </xdr:cNvPr>
        <xdr:cNvPicPr>
          <a:picLocks noChangeAspect="1"/>
        </xdr:cNvPicPr>
      </xdr:nvPicPr>
      <xdr:blipFill>
        <a:blip xmlns:r="http://schemas.openxmlformats.org/officeDocument/2006/relationships" r:embed="rId1"/>
        <a:stretch>
          <a:fillRect/>
        </a:stretch>
      </xdr:blipFill>
      <xdr:spPr>
        <a:xfrm>
          <a:off x="0" y="0"/>
          <a:ext cx="6410325" cy="2952188"/>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person displayName="Ludmila Peres Gargano" id="{832D0AAA-25F6-4A79-A92B-E9BC84394D88}" userId="1a2e4c9e274105a0"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C73" dT="2022-08-24T14:44:12.47" personId="{832D0AAA-25F6-4A79-A92B-E9BC84394D88}" id="{AC8E9FA8-E0ED-40E9-AFE3-2B189D572B5B}">
    <text>1 frasco-ampola a cada 3
semanas</text>
  </threadedComment>
  <threadedComment ref="C74" dT="2022-08-24T14:45:23.26" personId="{832D0AAA-25F6-4A79-A92B-E9BC84394D88}" id="{C3309E74-2EE0-44B0-AED7-74B0C502759A}">
    <text>2mg/kg por semana</text>
  </threadedComment>
  <threadedComment ref="C75" dT="2022-08-24T14:46:28.56" personId="{832D0AAA-25F6-4A79-A92B-E9BC84394D88}" id="{4AC7E394-BF52-49DC-9E4C-35BA3C14CEF3}">
    <text>75 mg/m2
a cada 3 semanas</text>
  </threadedComment>
  <threadedComment ref="C93" dT="2022-07-31T23:40:23.97" personId="{832D0AAA-25F6-4A79-A92B-E9BC84394D88}" id="{CD93ECFE-7FC1-42BC-96A2-D04983F7E0E5}">
    <text>TC: ciclofosfamida 600 mg/m2 IV associada a docetaxel 75 mg/m2 IV a cada 21 dias por 4 ciclos.</text>
  </threadedComment>
  <threadedComment ref="C108" dT="2022-08-24T14:44:12.47" personId="{832D0AAA-25F6-4A79-A92B-E9BC84394D88}" id="{245A0D28-EC5B-4F80-A624-615B50B168CB}">
    <text>1 frasco-ampola a cada 3
semanas</text>
  </threadedComment>
  <threadedComment ref="C109" dT="2022-08-24T14:45:23.26" personId="{832D0AAA-25F6-4A79-A92B-E9BC84394D88}" id="{36FDD373-A655-4ABB-8D93-34BCFF3B0821}">
    <text>2mg/kg por semana</text>
  </threadedComment>
  <threadedComment ref="C110" dT="2022-08-24T14:46:28.56" personId="{832D0AAA-25F6-4A79-A92B-E9BC84394D88}" id="{828D7BF6-605B-488B-9438-B012C469E8AB}">
    <text>75 mg/m2
a cada 3 semanas</text>
  </threadedComment>
  <threadedComment ref="C128" dT="2022-07-31T23:40:23.97" personId="{832D0AAA-25F6-4A79-A92B-E9BC84394D88}" id="{8D003007-BCE2-454C-969C-90B0042C2A1F}">
    <text>TC: ciclofosfamida 600 mg/m2 IV associada a docetaxel 75 mg/m2 IV a cada 21 dias por 4 ciclos.</text>
  </threadedComment>
  <threadedComment ref="C133" dT="2022-08-24T14:44:12.47" personId="{832D0AAA-25F6-4A79-A92B-E9BC84394D88}" id="{F0A3515F-EBD1-4DD6-9DCA-444DD2D8552D}">
    <text>1 frasco-ampola a cada 3
semanas</text>
  </threadedComment>
  <threadedComment ref="C134" dT="2022-08-24T14:45:23.26" personId="{832D0AAA-25F6-4A79-A92B-E9BC84394D88}" id="{2347ABAF-34B2-405E-8208-9576C8F33CB0}">
    <text>2mg/kg por semana</text>
  </threadedComment>
  <threadedComment ref="C135" dT="2022-08-24T14:46:28.56" personId="{832D0AAA-25F6-4A79-A92B-E9BC84394D88}" id="{76A110BC-C058-4A29-875C-DAAA3D5632FA}">
    <text>75 mg/m2
a cada 3 semanas</text>
  </threadedComment>
  <threadedComment ref="C149" dT="2022-07-31T23:40:23.97" personId="{832D0AAA-25F6-4A79-A92B-E9BC84394D88}" id="{A890EF70-5652-42B8-A418-57FB2FCB9C5D}">
    <text>TC: ciclofosfamida 600 mg/m2 IV associada a docetaxel 75 mg/m2 IV a cada 21 dias por 4 ciclos.</text>
  </threadedComment>
  <threadedComment ref="C158" dT="2022-08-24T14:44:12.47" personId="{832D0AAA-25F6-4A79-A92B-E9BC84394D88}" id="{DD0473B2-5568-4680-9663-9034D9E29625}">
    <text>1 frasco-ampola a cada 3
semanas</text>
  </threadedComment>
  <threadedComment ref="C159" dT="2022-08-24T14:45:23.26" personId="{832D0AAA-25F6-4A79-A92B-E9BC84394D88}" id="{F3ABECAC-7C65-4F18-B338-9C8E499A7E1A}">
    <text>2mg/kg por semana</text>
  </threadedComment>
  <threadedComment ref="C160" dT="2022-08-24T14:46:28.56" personId="{832D0AAA-25F6-4A79-A92B-E9BC84394D88}" id="{BD4BC16E-F46B-498F-AAB4-100D4F6F4D26}">
    <text>75 mg/m2
a cada 3 semanas</text>
  </threadedComment>
  <threadedComment ref="C173" dT="2022-07-31T23:40:23.97" personId="{832D0AAA-25F6-4A79-A92B-E9BC84394D88}" id="{3E473D78-8BD6-4F76-A4B9-5E089322F8E5}">
    <text>TC: ciclofosfamida 600 mg/m2 IV associada a docetaxel 75 mg/m2 IV a cada 21 dias por 4 ciclos.</text>
  </threadedComment>
  <threadedComment ref="C182" dT="2022-08-24T14:44:12.47" personId="{832D0AAA-25F6-4A79-A92B-E9BC84394D88}" id="{B26E0BC4-4D94-469B-90FC-EF34985F324C}">
    <text>1 frasco-ampola a cada 3
semanas</text>
  </threadedComment>
  <threadedComment ref="C183" dT="2022-08-24T14:45:23.26" personId="{832D0AAA-25F6-4A79-A92B-E9BC84394D88}" id="{94DD4E33-9393-46B0-9357-10592ABDE1C4}">
    <text>2mg/kg por semana</text>
  </threadedComment>
  <threadedComment ref="C184" dT="2022-08-24T14:46:28.56" personId="{832D0AAA-25F6-4A79-A92B-E9BC84394D88}" id="{E8AB4D88-D6FF-400D-B414-AA3F0F3987B6}">
    <text>75 mg/m2
a cada 3 semanas</text>
  </threadedComment>
  <threadedComment ref="C196" dT="2022-07-31T23:40:23.97" personId="{832D0AAA-25F6-4A79-A92B-E9BC84394D88}" id="{9D5B08D4-1972-43B1-AB7E-1272D0D61D5E}">
    <text>TC: ciclofosfamida 600 mg/m2 IV associada a docetaxel 75 mg/m2 IV a cada 21 dias por 4 ciclos.</text>
  </threadedComment>
  <threadedComment ref="C205" dT="2022-08-24T14:44:12.47" personId="{832D0AAA-25F6-4A79-A92B-E9BC84394D88}" id="{C18A25AB-725B-45D1-8EC4-30DE5C4CD6F5}">
    <text>1 frasco-ampola a cada 3
semanas</text>
  </threadedComment>
  <threadedComment ref="C206" dT="2022-08-24T14:45:23.26" personId="{832D0AAA-25F6-4A79-A92B-E9BC84394D88}" id="{7A1885E3-F7EA-4A8D-8321-670726830A06}">
    <text>2mg/kg por semana</text>
  </threadedComment>
  <threadedComment ref="C207" dT="2022-08-24T14:46:28.56" personId="{832D0AAA-25F6-4A79-A92B-E9BC84394D88}" id="{E89288DB-1C4A-4E68-AF67-838202C1B82A}">
    <text>75 mg/m2
a cada 3 semanas</text>
  </threadedComment>
  <threadedComment ref="C222" dT="2022-07-31T23:40:23.97" personId="{832D0AAA-25F6-4A79-A92B-E9BC84394D88}" id="{21C97EE0-54F4-4994-8612-DC7F8A5E3269}">
    <text>TC: ciclofosfamida 600 mg/m2 IV associada a docetaxel 75 mg/m2 IV a cada 21 dias por 4 ciclos.</text>
  </threadedComment>
  <threadedComment ref="C231" dT="2022-08-24T14:44:12.47" personId="{832D0AAA-25F6-4A79-A92B-E9BC84394D88}" id="{709BA34C-C935-4116-8D9B-538B2737572A}">
    <text>1 frasco-ampola a cada 3
semanas</text>
  </threadedComment>
  <threadedComment ref="C232" dT="2022-08-24T14:45:23.26" personId="{832D0AAA-25F6-4A79-A92B-E9BC84394D88}" id="{77E96DA7-E768-4F65-BDE3-BB1085BB54DD}">
    <text>2mg/kg por semana</text>
  </threadedComment>
  <threadedComment ref="C233" dT="2022-08-24T14:46:28.56" personId="{832D0AAA-25F6-4A79-A92B-E9BC84394D88}" id="{2AF9222E-50F9-4FD3-9FA2-40DDAC359F4F}">
    <text>75 mg/m2
a cada 3 semanas</text>
  </threadedComment>
  <threadedComment ref="C246" dT="2022-07-31T23:40:23.97" personId="{832D0AAA-25F6-4A79-A92B-E9BC84394D88}" id="{BD66C677-ED11-4420-B90B-AAD91BAE46CF}">
    <text>TC: ciclofosfamida 600 mg/m2 IV associada a docetaxel 75 mg/m2 IV a cada 21 dias por 4 ciclos.</text>
  </threadedComment>
  <threadedComment ref="C255" dT="2022-08-24T14:44:12.47" personId="{832D0AAA-25F6-4A79-A92B-E9BC84394D88}" id="{26844E89-B4C6-49DF-AA40-B7D39F69ACED}">
    <text>1 frasco-ampola a cada 3
semanas</text>
  </threadedComment>
  <threadedComment ref="C256" dT="2022-08-24T14:45:23.26" personId="{832D0AAA-25F6-4A79-A92B-E9BC84394D88}" id="{6CA32866-A20C-4067-8B1D-6AF1A3036199}">
    <text>2mg/kg por semana</text>
  </threadedComment>
  <threadedComment ref="C257" dT="2022-08-24T14:46:28.56" personId="{832D0AAA-25F6-4A79-A92B-E9BC84394D88}" id="{ECF80B7C-E3FA-4BBB-8B64-64E19B563466}">
    <text>75 mg/m2
a cada 3 semanas</text>
  </threadedComment>
  <threadedComment ref="C269" dT="2022-07-31T23:40:23.97" personId="{832D0AAA-25F6-4A79-A92B-E9BC84394D88}" id="{D329270A-D6E5-4EBC-BBFA-EF62C0F4BBE3}">
    <text>TC: ciclofosfamida 600 mg/m2 IV associada a docetaxel 75 mg/m2 IV a cada 21 dias por 4 ciclos.</text>
  </threadedComment>
  <threadedComment ref="C278" dT="2022-08-24T14:44:12.47" personId="{832D0AAA-25F6-4A79-A92B-E9BC84394D88}" id="{E856E30F-49EC-4872-9FD9-CDC187BDB7D1}">
    <text>1 frasco-ampola a cada 3
semanas</text>
  </threadedComment>
  <threadedComment ref="C279" dT="2022-08-24T14:45:23.26" personId="{832D0AAA-25F6-4A79-A92B-E9BC84394D88}" id="{F22A0ED2-6F7E-4B62-9028-942767980C90}">
    <text>2mg/kg por semana</text>
  </threadedComment>
  <threadedComment ref="C280" dT="2022-08-24T14:46:28.56" personId="{832D0AAA-25F6-4A79-A92B-E9BC84394D88}" id="{67ED8AFC-4D3D-404C-845B-C58AD02F3CC5}">
    <text>75 mg/m2
a cada 3 semanas</text>
  </threadedComment>
</ThreadedComments>
</file>

<file path=xl/threadedComments/threadedComment2.xml><?xml version="1.0" encoding="utf-8"?>
<ThreadedComments xmlns="http://schemas.microsoft.com/office/spreadsheetml/2018/threadedcomments" xmlns:x="http://schemas.openxmlformats.org/spreadsheetml/2006/main">
  <threadedComment ref="A1" dT="2022-07-31T23:40:42.18" personId="{832D0AAA-25F6-4A79-A92B-E9BC84394D88}" id="{2ED4ABF7-5447-49C0-97B2-4CB30B468371}">
    <text>AC-T semanal: doxorrubicina 60 mg/m2 IV associado a ciclofosfamida 600 mg/m2 IV a cada 21 dias por 4 ciclos, seguidos de paclitaxel 80 mg/m2 IV semanal por 12 semanas</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6.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7.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hyperlink" Target="https://www.ibge.gov.br/estatisticas/sociais/populacao/9126-tabuas-completas-de-mortalidade.html?=&amp;t=downloads" TargetMode="Externa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1">
    <tabColor theme="5"/>
  </sheetPr>
  <dimension ref="A1:Q125"/>
  <sheetViews>
    <sheetView showGridLines="0" topLeftCell="A26" zoomScaleNormal="100" workbookViewId="0">
      <selection activeCell="F35" sqref="F35"/>
    </sheetView>
  </sheetViews>
  <sheetFormatPr defaultColWidth="0" defaultRowHeight="14.4" zeroHeight="1" x14ac:dyDescent="0.3"/>
  <cols>
    <col min="1" max="1" width="24" style="2" customWidth="1"/>
    <col min="2" max="2" width="14" customWidth="1"/>
    <col min="3" max="3" width="27" customWidth="1"/>
    <col min="4" max="4" width="16.6640625" customWidth="1"/>
    <col min="5" max="9" width="19.6640625" customWidth="1"/>
    <col min="10" max="10" width="14" customWidth="1"/>
    <col min="11" max="11" width="14.44140625" customWidth="1"/>
    <col min="12" max="12" width="10.88671875" customWidth="1"/>
    <col min="13" max="13" width="9.109375" customWidth="1"/>
    <col min="14" max="17" width="0" hidden="1" customWidth="1"/>
    <col min="18" max="16384" width="9.109375" hidden="1"/>
  </cols>
  <sheetData>
    <row r="1" spans="1:17" ht="15.6" x14ac:dyDescent="0.3">
      <c r="A1" s="1"/>
      <c r="B1" s="1"/>
      <c r="C1" s="1"/>
      <c r="D1" s="1"/>
      <c r="E1" s="1"/>
      <c r="F1" s="1"/>
      <c r="G1" s="1"/>
      <c r="H1" s="1"/>
      <c r="I1" s="1"/>
      <c r="J1" s="1"/>
      <c r="K1" s="1"/>
      <c r="L1" s="1"/>
      <c r="M1" s="13"/>
      <c r="N1" s="1"/>
      <c r="O1" s="1"/>
      <c r="P1" s="1"/>
      <c r="Q1" s="1">
        <v>1</v>
      </c>
    </row>
    <row r="2" spans="1:17" ht="18.75" customHeight="1" x14ac:dyDescent="0.3">
      <c r="A2" s="1"/>
      <c r="C2" s="411" t="s">
        <v>170</v>
      </c>
      <c r="D2" s="411"/>
      <c r="E2" s="411"/>
      <c r="F2" s="411"/>
      <c r="G2" s="411"/>
      <c r="H2" s="411"/>
      <c r="I2" s="411"/>
      <c r="J2" s="411"/>
      <c r="K2" s="411"/>
      <c r="L2" s="411"/>
      <c r="M2" s="13"/>
    </row>
    <row r="3" spans="1:17" ht="18" x14ac:dyDescent="0.3">
      <c r="A3" s="1"/>
      <c r="B3" s="14"/>
      <c r="C3" s="411"/>
      <c r="D3" s="411"/>
      <c r="E3" s="411"/>
      <c r="F3" s="411"/>
      <c r="G3" s="411"/>
      <c r="H3" s="411"/>
      <c r="I3" s="411"/>
      <c r="J3" s="411"/>
      <c r="K3" s="411"/>
      <c r="L3" s="411"/>
      <c r="M3" s="13"/>
    </row>
    <row r="4" spans="1:17" ht="18" x14ac:dyDescent="0.3">
      <c r="A4" s="1"/>
      <c r="B4" s="14"/>
      <c r="C4" s="411"/>
      <c r="D4" s="411"/>
      <c r="E4" s="411"/>
      <c r="F4" s="411"/>
      <c r="G4" s="411"/>
      <c r="H4" s="411"/>
      <c r="I4" s="411"/>
      <c r="J4" s="411"/>
      <c r="K4" s="411"/>
      <c r="L4" s="411"/>
      <c r="M4" s="13"/>
    </row>
    <row r="5" spans="1:17" ht="18" x14ac:dyDescent="0.3">
      <c r="A5" s="1"/>
      <c r="B5" s="412" t="s">
        <v>189</v>
      </c>
      <c r="C5" s="412"/>
      <c r="D5" s="412"/>
      <c r="E5" s="412"/>
      <c r="F5" s="412"/>
      <c r="G5" s="412"/>
      <c r="H5" s="412"/>
      <c r="I5" s="412"/>
      <c r="J5" s="412"/>
      <c r="K5" s="412"/>
      <c r="L5" s="412"/>
      <c r="M5" s="13"/>
    </row>
    <row r="6" spans="1:17" ht="15.6" x14ac:dyDescent="0.3">
      <c r="A6" s="1"/>
      <c r="B6" s="15"/>
      <c r="C6" s="16"/>
      <c r="D6" s="16"/>
      <c r="E6" s="16"/>
      <c r="F6" s="16"/>
      <c r="G6" s="17"/>
      <c r="H6" s="17"/>
      <c r="I6" s="17"/>
      <c r="J6" s="17"/>
      <c r="K6" s="17"/>
      <c r="L6" s="16"/>
      <c r="M6" s="13"/>
    </row>
    <row r="7" spans="1:17" ht="15.6" x14ac:dyDescent="0.3">
      <c r="A7" s="1"/>
      <c r="B7" s="15"/>
      <c r="C7" s="16"/>
      <c r="D7" s="16"/>
      <c r="E7" s="16"/>
      <c r="F7" s="16"/>
      <c r="G7" s="17"/>
      <c r="H7" s="17"/>
      <c r="I7" s="17"/>
      <c r="J7" s="17"/>
      <c r="K7" s="17"/>
      <c r="L7" s="16"/>
      <c r="M7" s="13"/>
    </row>
    <row r="8" spans="1:17" ht="15.6" x14ac:dyDescent="0.3">
      <c r="A8" s="1"/>
      <c r="B8" s="15"/>
      <c r="C8" s="18" t="s">
        <v>171</v>
      </c>
      <c r="D8" s="19"/>
      <c r="E8" s="19" t="s">
        <v>531</v>
      </c>
      <c r="F8" s="19"/>
      <c r="G8" s="19"/>
      <c r="H8" s="17"/>
      <c r="I8" s="17"/>
      <c r="J8" s="17"/>
      <c r="K8" s="17"/>
      <c r="L8" s="16"/>
      <c r="M8" s="13"/>
    </row>
    <row r="9" spans="1:17" ht="15.6" x14ac:dyDescent="0.3">
      <c r="A9" s="3" t="s">
        <v>0</v>
      </c>
      <c r="B9" s="15"/>
      <c r="C9" s="20" t="s">
        <v>172</v>
      </c>
      <c r="D9" s="19"/>
      <c r="E9" s="205" t="s">
        <v>530</v>
      </c>
      <c r="H9" s="21"/>
      <c r="I9" s="21"/>
      <c r="J9" s="21"/>
      <c r="K9" s="21"/>
      <c r="L9" s="16"/>
      <c r="M9" s="13"/>
    </row>
    <row r="10" spans="1:17" ht="15.6" x14ac:dyDescent="0.3">
      <c r="A10" s="3"/>
      <c r="B10" s="15"/>
      <c r="C10" s="20" t="s">
        <v>534</v>
      </c>
      <c r="D10" s="19"/>
      <c r="E10" t="s">
        <v>1</v>
      </c>
      <c r="H10" s="21"/>
      <c r="I10" s="21"/>
      <c r="J10" s="21"/>
      <c r="K10" s="21"/>
      <c r="L10" s="16"/>
      <c r="M10" s="13"/>
    </row>
    <row r="11" spans="1:17" ht="15.6" x14ac:dyDescent="0.3">
      <c r="A11" s="1"/>
      <c r="B11" s="15"/>
      <c r="C11" s="19"/>
      <c r="D11" s="19"/>
      <c r="E11" t="s">
        <v>2</v>
      </c>
      <c r="H11" s="21"/>
      <c r="I11" s="21"/>
      <c r="J11" s="21"/>
      <c r="K11" s="21"/>
      <c r="L11" s="16"/>
      <c r="M11" s="13"/>
    </row>
    <row r="12" spans="1:17" ht="15.6" x14ac:dyDescent="0.3">
      <c r="A12" s="1"/>
      <c r="B12" s="15"/>
      <c r="C12" s="22" t="s">
        <v>173</v>
      </c>
      <c r="D12" s="19"/>
      <c r="E12" t="s">
        <v>181</v>
      </c>
      <c r="H12" s="21"/>
      <c r="I12" s="21"/>
      <c r="J12" s="21"/>
      <c r="K12" s="21"/>
      <c r="L12" s="16"/>
      <c r="M12" s="13"/>
    </row>
    <row r="13" spans="1:17" ht="15.6" x14ac:dyDescent="0.3">
      <c r="A13" s="1"/>
      <c r="B13" s="15"/>
      <c r="C13" s="22" t="s">
        <v>174</v>
      </c>
      <c r="D13" s="19"/>
      <c r="E13" t="s">
        <v>182</v>
      </c>
      <c r="H13" s="21"/>
      <c r="I13" s="21"/>
      <c r="J13" s="21"/>
      <c r="K13" s="21"/>
      <c r="L13" s="16"/>
      <c r="M13" s="13"/>
    </row>
    <row r="14" spans="1:17" ht="15.6" x14ac:dyDescent="0.3">
      <c r="A14" s="1"/>
      <c r="B14" s="15"/>
      <c r="C14" s="22" t="s">
        <v>175</v>
      </c>
      <c r="D14" s="19"/>
      <c r="E14" t="s">
        <v>183</v>
      </c>
      <c r="H14" s="21"/>
      <c r="I14" s="21"/>
      <c r="J14" s="21"/>
      <c r="K14" s="21"/>
      <c r="L14" s="16"/>
      <c r="M14" s="13"/>
    </row>
    <row r="15" spans="1:17" ht="15.6" x14ac:dyDescent="0.3">
      <c r="A15" s="1"/>
      <c r="B15" s="15"/>
      <c r="C15" s="22" t="s">
        <v>176</v>
      </c>
      <c r="D15" s="19"/>
      <c r="E15" t="s">
        <v>184</v>
      </c>
      <c r="H15" s="21"/>
      <c r="I15" s="21"/>
      <c r="J15" s="21"/>
      <c r="K15" s="21"/>
      <c r="L15" s="16"/>
      <c r="M15" s="13"/>
    </row>
    <row r="16" spans="1:17" ht="15.6" x14ac:dyDescent="0.3">
      <c r="A16" s="1"/>
      <c r="B16" s="15"/>
      <c r="C16" s="22" t="s">
        <v>177</v>
      </c>
      <c r="D16" s="19"/>
      <c r="E16" s="205" t="s">
        <v>185</v>
      </c>
      <c r="H16" s="21"/>
      <c r="I16" s="21"/>
      <c r="J16" s="21"/>
      <c r="K16" s="21"/>
      <c r="L16" s="16"/>
      <c r="M16" s="13"/>
    </row>
    <row r="17" spans="1:13" ht="15.6" x14ac:dyDescent="0.3">
      <c r="A17" s="1"/>
      <c r="B17" s="15"/>
      <c r="C17" s="22" t="s">
        <v>178</v>
      </c>
      <c r="D17" s="19"/>
      <c r="E17" t="s">
        <v>186</v>
      </c>
      <c r="H17" s="21"/>
      <c r="I17" s="21"/>
      <c r="J17" s="21"/>
      <c r="K17" s="21"/>
      <c r="L17" s="16"/>
      <c r="M17" s="13"/>
    </row>
    <row r="18" spans="1:13" ht="15.6" x14ac:dyDescent="0.3">
      <c r="A18" s="1"/>
      <c r="B18" s="15"/>
      <c r="C18" s="22" t="s">
        <v>179</v>
      </c>
      <c r="D18" s="19"/>
      <c r="E18" t="s">
        <v>187</v>
      </c>
      <c r="H18" s="21"/>
      <c r="I18" s="21"/>
      <c r="J18" s="21"/>
      <c r="K18" s="21"/>
      <c r="L18" s="16"/>
      <c r="M18" s="13"/>
    </row>
    <row r="19" spans="1:13" ht="15.6" x14ac:dyDescent="0.3">
      <c r="A19" s="1"/>
      <c r="B19" s="15"/>
      <c r="C19" s="22" t="s">
        <v>180</v>
      </c>
      <c r="D19" s="19"/>
      <c r="E19" t="s">
        <v>188</v>
      </c>
      <c r="H19" s="21"/>
      <c r="I19" s="21"/>
      <c r="J19" s="21"/>
      <c r="K19" s="21"/>
      <c r="L19" s="16"/>
      <c r="M19" s="13"/>
    </row>
    <row r="20" spans="1:13" ht="15.6" x14ac:dyDescent="0.3">
      <c r="A20" s="1"/>
      <c r="B20" s="15"/>
      <c r="C20" s="19"/>
      <c r="D20" s="19"/>
      <c r="H20" s="21"/>
      <c r="I20" s="21"/>
      <c r="J20" s="21"/>
      <c r="K20" s="21"/>
      <c r="L20" s="16"/>
      <c r="M20" s="13"/>
    </row>
    <row r="21" spans="1:13" ht="18" x14ac:dyDescent="0.3">
      <c r="A21" s="1"/>
      <c r="B21" s="412" t="s">
        <v>190</v>
      </c>
      <c r="C21" s="412"/>
      <c r="D21" s="412"/>
      <c r="E21" s="412"/>
      <c r="F21" s="412"/>
      <c r="G21" s="412"/>
      <c r="H21" s="412"/>
      <c r="I21" s="412"/>
      <c r="J21" s="412"/>
      <c r="K21" s="412"/>
      <c r="L21" s="412"/>
      <c r="M21" s="13"/>
    </row>
    <row r="22" spans="1:13" ht="15.6" x14ac:dyDescent="0.3">
      <c r="A22" s="1"/>
      <c r="B22" s="19" t="s">
        <v>191</v>
      </c>
      <c r="C22" s="19"/>
      <c r="D22" s="19"/>
      <c r="E22" s="19"/>
      <c r="F22" s="19"/>
      <c r="G22" s="19"/>
      <c r="H22" s="19"/>
      <c r="I22" s="19"/>
      <c r="J22" s="19"/>
      <c r="K22" s="19"/>
      <c r="L22" s="16"/>
      <c r="M22" s="13"/>
    </row>
    <row r="23" spans="1:13" ht="15.6" x14ac:dyDescent="0.3">
      <c r="A23" s="1"/>
      <c r="B23" s="15"/>
      <c r="C23" s="16"/>
      <c r="D23" s="16"/>
      <c r="E23" s="16"/>
      <c r="F23" s="16"/>
      <c r="G23" s="17"/>
      <c r="H23" s="17"/>
      <c r="I23" s="17"/>
      <c r="J23" s="17"/>
      <c r="K23" s="17"/>
      <c r="L23" s="16"/>
      <c r="M23" s="13"/>
    </row>
    <row r="24" spans="1:13" ht="15.6" x14ac:dyDescent="0.3">
      <c r="A24" s="1"/>
      <c r="B24" s="15"/>
      <c r="C24" s="23" t="s">
        <v>192</v>
      </c>
      <c r="D24" s="16"/>
      <c r="E24" s="16"/>
      <c r="F24" s="16"/>
      <c r="G24" s="17"/>
      <c r="H24" s="17"/>
      <c r="I24" s="17"/>
      <c r="J24" s="17"/>
      <c r="K24" s="17"/>
      <c r="L24" s="16"/>
      <c r="M24" s="13"/>
    </row>
    <row r="25" spans="1:13" ht="15.6" x14ac:dyDescent="0.3">
      <c r="A25" s="1"/>
      <c r="B25" s="24"/>
      <c r="C25" s="25" t="s">
        <v>193</v>
      </c>
      <c r="D25" s="25"/>
      <c r="E25" s="16"/>
      <c r="F25" s="16"/>
      <c r="G25" s="17"/>
      <c r="H25" s="17"/>
      <c r="I25" s="17"/>
      <c r="J25" s="17"/>
      <c r="K25" s="17"/>
      <c r="L25" s="16"/>
      <c r="M25" s="13"/>
    </row>
    <row r="26" spans="1:13" ht="15.6" x14ac:dyDescent="0.3">
      <c r="A26" s="1"/>
      <c r="B26" s="26"/>
      <c r="C26" s="19" t="s">
        <v>194</v>
      </c>
      <c r="D26" s="19"/>
      <c r="E26" s="16"/>
      <c r="F26" s="16"/>
      <c r="G26" s="17"/>
      <c r="H26" s="17"/>
      <c r="I26" s="17"/>
      <c r="J26" s="17"/>
      <c r="K26" s="17"/>
      <c r="L26" s="16"/>
      <c r="M26" s="13"/>
    </row>
    <row r="27" spans="1:13" ht="15.6" x14ac:dyDescent="0.3">
      <c r="A27" s="1"/>
      <c r="B27" s="15"/>
      <c r="C27" s="23" t="s">
        <v>195</v>
      </c>
      <c r="D27" s="16"/>
      <c r="E27" s="16"/>
      <c r="F27" s="16"/>
      <c r="G27" s="17"/>
      <c r="H27" s="17"/>
      <c r="I27" s="17"/>
      <c r="J27" s="17"/>
      <c r="K27" s="17"/>
      <c r="L27" s="16" t="s">
        <v>135</v>
      </c>
      <c r="M27" s="13"/>
    </row>
    <row r="28" spans="1:13" ht="15.6" x14ac:dyDescent="0.3">
      <c r="A28" s="1"/>
      <c r="B28" s="27"/>
      <c r="C28" s="19" t="s">
        <v>196</v>
      </c>
      <c r="D28" s="19"/>
      <c r="E28" s="16"/>
      <c r="F28" s="16"/>
      <c r="G28" s="17"/>
      <c r="H28" s="17"/>
      <c r="I28" s="17"/>
      <c r="J28" s="17"/>
      <c r="K28" s="17"/>
      <c r="L28" s="16"/>
      <c r="M28" s="13"/>
    </row>
    <row r="29" spans="1:13" ht="15.6" x14ac:dyDescent="0.3">
      <c r="A29" s="4"/>
      <c r="B29" s="28"/>
      <c r="C29" s="19" t="s">
        <v>197</v>
      </c>
      <c r="D29" s="19"/>
      <c r="E29" s="16"/>
      <c r="F29" s="16"/>
      <c r="G29" s="17"/>
      <c r="H29" s="17"/>
      <c r="I29" s="17"/>
      <c r="J29" s="17"/>
      <c r="K29" s="17"/>
      <c r="L29" s="16"/>
      <c r="M29" s="13"/>
    </row>
    <row r="30" spans="1:13" ht="15.6" x14ac:dyDescent="0.3">
      <c r="A30" s="4"/>
      <c r="B30" s="29"/>
      <c r="C30" s="19" t="s">
        <v>532</v>
      </c>
      <c r="D30" s="19"/>
      <c r="E30" s="16"/>
      <c r="F30" s="16"/>
      <c r="G30" s="17"/>
      <c r="H30" s="17"/>
      <c r="I30" s="17"/>
      <c r="J30" s="17"/>
      <c r="K30" s="17"/>
      <c r="L30" s="16"/>
      <c r="M30" s="13"/>
    </row>
    <row r="31" spans="1:13" ht="15.6" x14ac:dyDescent="0.3">
      <c r="A31" s="4"/>
      <c r="B31" s="15"/>
      <c r="C31" s="30"/>
      <c r="D31" s="30"/>
      <c r="E31" s="30"/>
      <c r="F31" s="30"/>
      <c r="G31" s="31"/>
      <c r="H31" s="31"/>
      <c r="I31" s="31"/>
      <c r="J31" s="31"/>
      <c r="K31" s="31"/>
      <c r="L31" s="32" t="s">
        <v>198</v>
      </c>
      <c r="M31" s="13"/>
    </row>
    <row r="32" spans="1:13" ht="18" x14ac:dyDescent="0.3">
      <c r="A32" s="4"/>
      <c r="B32" s="33"/>
      <c r="C32" s="401" t="s">
        <v>199</v>
      </c>
      <c r="D32" s="401"/>
      <c r="E32" s="401"/>
      <c r="F32" s="401"/>
      <c r="G32" s="401"/>
      <c r="H32" s="401"/>
      <c r="I32" s="401"/>
      <c r="J32" s="401"/>
      <c r="K32" s="401"/>
      <c r="L32" s="401"/>
      <c r="M32" s="13"/>
    </row>
    <row r="33" spans="1:13" ht="15.6" x14ac:dyDescent="0.3">
      <c r="A33" s="4"/>
      <c r="B33" s="100"/>
      <c r="C33" s="100"/>
      <c r="D33" s="100"/>
      <c r="E33" s="100"/>
      <c r="F33" s="100"/>
      <c r="G33" s="100"/>
      <c r="H33" s="101"/>
      <c r="I33" s="286"/>
      <c r="J33" s="101"/>
      <c r="K33" s="287"/>
      <c r="M33" s="13"/>
    </row>
    <row r="34" spans="1:13" ht="15.6" x14ac:dyDescent="0.3">
      <c r="A34" s="4"/>
      <c r="B34" s="37"/>
      <c r="C34" s="413" t="s">
        <v>200</v>
      </c>
      <c r="D34" s="414"/>
      <c r="E34" s="415"/>
      <c r="F34" s="416">
        <v>30</v>
      </c>
      <c r="G34" s="417"/>
      <c r="H34" s="417"/>
      <c r="I34" s="417"/>
      <c r="J34" s="418"/>
      <c r="K34" s="102"/>
      <c r="L34" s="19"/>
      <c r="M34" s="13"/>
    </row>
    <row r="35" spans="1:13" ht="15.6" x14ac:dyDescent="0.3">
      <c r="A35" s="4"/>
      <c r="B35" s="37"/>
      <c r="C35" s="302"/>
      <c r="D35" s="303"/>
      <c r="E35" s="166"/>
      <c r="F35" s="167" t="s">
        <v>211</v>
      </c>
      <c r="G35" s="168"/>
      <c r="H35" s="168"/>
      <c r="I35" s="168"/>
      <c r="J35" s="168"/>
      <c r="K35" s="102"/>
      <c r="L35" s="19"/>
      <c r="M35" s="13"/>
    </row>
    <row r="36" spans="1:13" ht="15.6" x14ac:dyDescent="0.3">
      <c r="A36" s="4"/>
      <c r="B36" s="284"/>
      <c r="C36" s="413" t="s">
        <v>201</v>
      </c>
      <c r="D36" s="414"/>
      <c r="E36" s="415"/>
      <c r="F36" s="419" t="s">
        <v>202</v>
      </c>
      <c r="G36" s="420"/>
      <c r="H36" s="420"/>
      <c r="I36" s="420"/>
      <c r="J36" s="421"/>
      <c r="K36" s="103"/>
      <c r="L36" s="19"/>
      <c r="M36" s="13"/>
    </row>
    <row r="37" spans="1:13" ht="15.6" x14ac:dyDescent="0.3">
      <c r="A37" s="4"/>
      <c r="B37" s="284"/>
      <c r="C37" s="169" t="s">
        <v>202</v>
      </c>
      <c r="D37" s="170" t="s">
        <v>203</v>
      </c>
      <c r="E37" s="170"/>
      <c r="F37" s="304"/>
      <c r="G37" s="304"/>
      <c r="H37" s="304"/>
      <c r="I37" s="168"/>
      <c r="J37" s="168"/>
      <c r="K37" s="103"/>
      <c r="L37" s="19"/>
      <c r="M37" s="13"/>
    </row>
    <row r="38" spans="1:13" ht="15.6" x14ac:dyDescent="0.3">
      <c r="A38" s="4"/>
      <c r="B38" s="284"/>
      <c r="C38" s="413" t="s">
        <v>204</v>
      </c>
      <c r="D38" s="414"/>
      <c r="E38" s="415"/>
      <c r="F38" s="419" t="s">
        <v>113</v>
      </c>
      <c r="G38" s="420"/>
      <c r="H38" s="420"/>
      <c r="I38" s="420"/>
      <c r="J38" s="421"/>
      <c r="K38" s="103"/>
      <c r="L38" s="19"/>
      <c r="M38" s="13"/>
    </row>
    <row r="39" spans="1:13" ht="15.6" x14ac:dyDescent="0.3">
      <c r="A39" s="4"/>
      <c r="B39" s="284"/>
      <c r="C39" s="169"/>
      <c r="D39" s="170"/>
      <c r="E39" s="166"/>
      <c r="F39" s="168"/>
      <c r="G39" s="168"/>
      <c r="H39" s="168"/>
      <c r="I39" s="168"/>
      <c r="J39" s="168"/>
      <c r="K39" s="103"/>
      <c r="L39" s="19"/>
      <c r="M39" s="13"/>
    </row>
    <row r="40" spans="1:13" ht="15.6" x14ac:dyDescent="0.3">
      <c r="A40" s="4"/>
      <c r="B40" s="100"/>
      <c r="C40" s="403" t="s">
        <v>205</v>
      </c>
      <c r="D40" s="404"/>
      <c r="E40" s="405"/>
      <c r="F40" s="408" t="s">
        <v>207</v>
      </c>
      <c r="G40" s="409"/>
      <c r="H40" s="82" t="str">
        <f>IF(F40=B41,"--------&gt; ","")</f>
        <v xml:space="preserve">--------&gt; </v>
      </c>
      <c r="I40" s="410">
        <v>40</v>
      </c>
      <c r="J40" s="410"/>
      <c r="K40" s="19"/>
      <c r="L40" s="19"/>
      <c r="M40" s="13"/>
    </row>
    <row r="41" spans="1:13" ht="15.6" x14ac:dyDescent="0.3">
      <c r="A41" s="4"/>
      <c r="B41" s="171" t="s">
        <v>207</v>
      </c>
      <c r="C41" s="35" t="s">
        <v>206</v>
      </c>
      <c r="D41" s="171" t="s">
        <v>207</v>
      </c>
      <c r="E41" s="35"/>
      <c r="F41" s="36"/>
      <c r="G41" s="36"/>
      <c r="H41" s="165"/>
      <c r="I41" s="172"/>
      <c r="J41" s="172"/>
      <c r="K41" s="102"/>
      <c r="L41" s="19"/>
      <c r="M41" s="13"/>
    </row>
    <row r="42" spans="1:13" ht="15.6" x14ac:dyDescent="0.3">
      <c r="A42" s="4"/>
      <c r="C42" s="403" t="s">
        <v>208</v>
      </c>
      <c r="D42" s="404"/>
      <c r="E42" s="405"/>
      <c r="F42" s="406" t="s">
        <v>521</v>
      </c>
      <c r="G42" s="407"/>
      <c r="H42" s="82" t="str">
        <f>IF(F42=E$43,"--------&gt; ","")</f>
        <v/>
      </c>
      <c r="I42" s="402"/>
      <c r="J42" s="402"/>
      <c r="K42" s="19"/>
      <c r="L42" s="19"/>
      <c r="M42" s="13"/>
    </row>
    <row r="43" spans="1:13" ht="15.6" x14ac:dyDescent="0.3">
      <c r="A43" s="4"/>
      <c r="B43" s="285" t="str">
        <f>_xlfn.CONCAT("€ ",Costs!O13," CBHPM")</f>
        <v>€ 334,857234885087 CBHPM</v>
      </c>
      <c r="C43" s="34" t="s">
        <v>523</v>
      </c>
      <c r="E43" s="35" t="s">
        <v>209</v>
      </c>
      <c r="F43" s="36"/>
      <c r="G43" s="36"/>
      <c r="M43" s="13"/>
    </row>
    <row r="44" spans="1:13" ht="15.6" x14ac:dyDescent="0.3">
      <c r="A44" s="4"/>
      <c r="C44" s="403" t="s">
        <v>210</v>
      </c>
      <c r="D44" s="404"/>
      <c r="E44" s="405"/>
      <c r="F44" s="406" t="s">
        <v>535</v>
      </c>
      <c r="G44" s="407"/>
      <c r="H44" s="82" t="str">
        <f>IF(F44=E$45,"--------&gt; ","")</f>
        <v/>
      </c>
      <c r="I44" s="402"/>
      <c r="J44" s="402"/>
      <c r="M44" s="13"/>
    </row>
    <row r="45" spans="1:13" ht="15.6" x14ac:dyDescent="0.3">
      <c r="A45" s="4"/>
      <c r="B45" s="285" t="str">
        <f>_xlfn.CONCAT("€ ",Costs!O15," CBHPM")</f>
        <v>€ 101,298470982777 CBHPM</v>
      </c>
      <c r="C45" s="35" t="s">
        <v>524</v>
      </c>
      <c r="D45" s="37" t="s">
        <v>522</v>
      </c>
      <c r="E45" s="34" t="s">
        <v>523</v>
      </c>
      <c r="M45" s="13"/>
    </row>
    <row r="46" spans="1:13" ht="15.6" x14ac:dyDescent="0.3">
      <c r="A46" s="4"/>
      <c r="M46" s="13"/>
    </row>
    <row r="47" spans="1:13" ht="18" x14ac:dyDescent="0.3">
      <c r="A47" s="4"/>
      <c r="B47" s="401" t="s">
        <v>212</v>
      </c>
      <c r="C47" s="401"/>
      <c r="D47" s="401"/>
      <c r="E47" s="401"/>
      <c r="F47" s="401"/>
      <c r="G47" s="401"/>
      <c r="H47" s="401"/>
      <c r="I47" s="401"/>
      <c r="J47" s="401"/>
      <c r="K47" s="401"/>
      <c r="L47" s="4"/>
      <c r="M47" s="4"/>
    </row>
    <row r="48" spans="1:13" x14ac:dyDescent="0.3">
      <c r="A48" s="4"/>
      <c r="M48" s="4"/>
    </row>
    <row r="49" spans="1:13" x14ac:dyDescent="0.3">
      <c r="A49" s="4"/>
      <c r="M49" s="4"/>
    </row>
    <row r="50" spans="1:13" x14ac:dyDescent="0.3">
      <c r="A50" s="4"/>
      <c r="C50" s="306" t="s">
        <v>215</v>
      </c>
      <c r="M50" s="4"/>
    </row>
    <row r="51" spans="1:13" x14ac:dyDescent="0.3">
      <c r="A51" s="4"/>
      <c r="C51" s="155" t="s">
        <v>213</v>
      </c>
      <c r="D51" s="155" t="s">
        <v>148</v>
      </c>
      <c r="E51" s="155" t="s">
        <v>149</v>
      </c>
      <c r="F51" s="155" t="s">
        <v>150</v>
      </c>
      <c r="G51" s="155" t="s">
        <v>151</v>
      </c>
      <c r="H51" s="155" t="s">
        <v>214</v>
      </c>
      <c r="M51" s="4"/>
    </row>
    <row r="52" spans="1:13" x14ac:dyDescent="0.3">
      <c r="A52" s="4"/>
      <c r="C52" s="155" t="s">
        <v>216</v>
      </c>
      <c r="D52" s="275">
        <v>1</v>
      </c>
      <c r="E52" s="275">
        <v>1</v>
      </c>
      <c r="F52" s="275">
        <v>1</v>
      </c>
      <c r="G52" s="275">
        <v>0.1</v>
      </c>
      <c r="H52" s="275">
        <v>0.5</v>
      </c>
      <c r="M52" s="4"/>
    </row>
    <row r="53" spans="1:13" x14ac:dyDescent="0.3">
      <c r="A53" s="4"/>
      <c r="C53" s="155" t="s">
        <v>217</v>
      </c>
      <c r="D53" s="275">
        <v>0.5</v>
      </c>
      <c r="E53" s="275">
        <v>0.7</v>
      </c>
      <c r="F53" s="275">
        <v>1</v>
      </c>
      <c r="G53" s="275">
        <v>0.1</v>
      </c>
      <c r="H53" s="275">
        <v>0.5</v>
      </c>
      <c r="M53" s="4"/>
    </row>
    <row r="54" spans="1:13" x14ac:dyDescent="0.3">
      <c r="A54" s="4"/>
      <c r="C54" s="155" t="s">
        <v>218</v>
      </c>
      <c r="D54" s="275">
        <v>0.6</v>
      </c>
      <c r="E54" s="275">
        <v>0.6</v>
      </c>
      <c r="F54" s="275">
        <v>0.6</v>
      </c>
      <c r="G54" s="275">
        <v>0.6</v>
      </c>
      <c r="H54" s="275">
        <v>0.6</v>
      </c>
      <c r="M54" s="4"/>
    </row>
    <row r="55" spans="1:13" x14ac:dyDescent="0.3">
      <c r="A55" s="4"/>
      <c r="C55" s="155" t="s">
        <v>219</v>
      </c>
      <c r="D55" s="275">
        <v>0.4</v>
      </c>
      <c r="E55" s="275">
        <v>0.7</v>
      </c>
      <c r="F55" s="275">
        <v>0.9</v>
      </c>
      <c r="G55" s="275">
        <v>0.9</v>
      </c>
      <c r="H55" s="275">
        <v>0.9</v>
      </c>
      <c r="M55" s="4"/>
    </row>
    <row r="56" spans="1:13" x14ac:dyDescent="0.3">
      <c r="A56" s="4"/>
      <c r="C56" s="155" t="s">
        <v>220</v>
      </c>
      <c r="D56" s="275">
        <v>0.05</v>
      </c>
      <c r="E56" s="275">
        <v>0.2</v>
      </c>
      <c r="F56" s="275">
        <v>0.2</v>
      </c>
      <c r="G56" s="275">
        <v>0.2</v>
      </c>
      <c r="H56" s="275">
        <v>0.2</v>
      </c>
      <c r="M56" s="4"/>
    </row>
    <row r="57" spans="1:13" x14ac:dyDescent="0.3">
      <c r="A57" s="4"/>
      <c r="C57" s="155" t="s">
        <v>221</v>
      </c>
      <c r="D57" s="275">
        <v>0</v>
      </c>
      <c r="E57" s="275">
        <v>0.1</v>
      </c>
      <c r="F57" s="275">
        <v>0.1</v>
      </c>
      <c r="G57" s="275">
        <v>0.1</v>
      </c>
      <c r="H57" s="275">
        <v>0.1</v>
      </c>
      <c r="M57" s="4"/>
    </row>
    <row r="58" spans="1:13" x14ac:dyDescent="0.3">
      <c r="A58" s="4"/>
      <c r="C58" s="245" t="s">
        <v>222</v>
      </c>
      <c r="M58" s="4"/>
    </row>
    <row r="59" spans="1:13" x14ac:dyDescent="0.3">
      <c r="A59" s="4"/>
      <c r="C59" s="245" t="s">
        <v>223</v>
      </c>
      <c r="M59" s="4"/>
    </row>
    <row r="60" spans="1:13" x14ac:dyDescent="0.3">
      <c r="A60" s="4"/>
      <c r="C60" s="245" t="s">
        <v>224</v>
      </c>
      <c r="M60" s="4"/>
    </row>
    <row r="61" spans="1:13" x14ac:dyDescent="0.3">
      <c r="A61" s="4"/>
      <c r="C61" s="245" t="s">
        <v>225</v>
      </c>
      <c r="M61" s="4"/>
    </row>
    <row r="62" spans="1:13" x14ac:dyDescent="0.3">
      <c r="A62" s="4"/>
      <c r="C62" s="245" t="s">
        <v>226</v>
      </c>
      <c r="I62" s="245"/>
      <c r="M62" s="4"/>
    </row>
    <row r="63" spans="1:13" x14ac:dyDescent="0.3">
      <c r="A63" s="4"/>
      <c r="C63" s="245" t="s">
        <v>227</v>
      </c>
      <c r="M63" s="4"/>
    </row>
    <row r="64" spans="1:13" x14ac:dyDescent="0.3">
      <c r="A64" s="4"/>
      <c r="C64" s="245"/>
      <c r="M64" s="4"/>
    </row>
    <row r="65" spans="1:13" x14ac:dyDescent="0.3">
      <c r="A65" s="4"/>
      <c r="C65" s="306" t="s">
        <v>228</v>
      </c>
      <c r="M65" s="4"/>
    </row>
    <row r="66" spans="1:13" x14ac:dyDescent="0.3">
      <c r="A66" s="4"/>
      <c r="C66" s="155" t="s">
        <v>213</v>
      </c>
      <c r="D66" s="155" t="s">
        <v>148</v>
      </c>
      <c r="E66" s="155" t="s">
        <v>149</v>
      </c>
      <c r="F66" s="155" t="s">
        <v>150</v>
      </c>
      <c r="G66" s="155" t="s">
        <v>152</v>
      </c>
      <c r="H66" s="155" t="s">
        <v>214</v>
      </c>
      <c r="M66" s="4"/>
    </row>
    <row r="67" spans="1:13" x14ac:dyDescent="0.3">
      <c r="A67" s="4"/>
      <c r="C67" s="155" t="s">
        <v>216</v>
      </c>
      <c r="D67" s="275">
        <v>0</v>
      </c>
      <c r="E67" s="275">
        <v>0</v>
      </c>
      <c r="F67" s="275">
        <v>0</v>
      </c>
      <c r="G67" s="246">
        <f>G52</f>
        <v>0.1</v>
      </c>
      <c r="H67" s="275">
        <v>0</v>
      </c>
      <c r="M67" s="4"/>
    </row>
    <row r="68" spans="1:13" x14ac:dyDescent="0.3">
      <c r="A68" s="4"/>
      <c r="C68" s="155" t="s">
        <v>217</v>
      </c>
      <c r="D68" s="275">
        <v>0</v>
      </c>
      <c r="E68" s="275">
        <v>0</v>
      </c>
      <c r="F68" s="275">
        <v>0</v>
      </c>
      <c r="G68" s="246">
        <f t="shared" ref="G68:G72" si="0">G53</f>
        <v>0.1</v>
      </c>
      <c r="H68" s="275">
        <v>0</v>
      </c>
      <c r="M68" s="4"/>
    </row>
    <row r="69" spans="1:13" x14ac:dyDescent="0.3">
      <c r="A69" s="4"/>
      <c r="C69" s="155" t="s">
        <v>218</v>
      </c>
      <c r="D69" s="275">
        <v>0.6</v>
      </c>
      <c r="E69" s="275">
        <v>0.6</v>
      </c>
      <c r="F69" s="275">
        <v>0.6</v>
      </c>
      <c r="G69" s="246">
        <f t="shared" si="0"/>
        <v>0.6</v>
      </c>
      <c r="H69" s="275">
        <v>0.6</v>
      </c>
      <c r="M69" s="4"/>
    </row>
    <row r="70" spans="1:13" x14ac:dyDescent="0.3">
      <c r="A70" s="4"/>
      <c r="C70" s="155" t="s">
        <v>229</v>
      </c>
      <c r="D70" s="275">
        <v>0</v>
      </c>
      <c r="E70" s="275">
        <v>0</v>
      </c>
      <c r="F70" s="275">
        <v>0</v>
      </c>
      <c r="G70" s="246">
        <f t="shared" si="0"/>
        <v>0.9</v>
      </c>
      <c r="H70" s="275">
        <v>0</v>
      </c>
      <c r="M70" s="4"/>
    </row>
    <row r="71" spans="1:13" x14ac:dyDescent="0.3">
      <c r="A71" s="4"/>
      <c r="C71" s="155" t="s">
        <v>220</v>
      </c>
      <c r="D71" s="275">
        <v>0</v>
      </c>
      <c r="E71" s="275">
        <v>0</v>
      </c>
      <c r="F71" s="275">
        <v>0</v>
      </c>
      <c r="G71" s="246">
        <f t="shared" si="0"/>
        <v>0.2</v>
      </c>
      <c r="H71" s="275">
        <v>0</v>
      </c>
      <c r="M71" s="4"/>
    </row>
    <row r="72" spans="1:13" x14ac:dyDescent="0.3">
      <c r="A72" s="4"/>
      <c r="C72" s="307" t="s">
        <v>221</v>
      </c>
      <c r="D72" s="275">
        <v>0</v>
      </c>
      <c r="E72" s="275">
        <v>0</v>
      </c>
      <c r="F72" s="275">
        <v>0</v>
      </c>
      <c r="G72" s="246">
        <f t="shared" si="0"/>
        <v>0.1</v>
      </c>
      <c r="H72" s="275">
        <v>0</v>
      </c>
      <c r="M72" s="4"/>
    </row>
    <row r="73" spans="1:13" x14ac:dyDescent="0.3">
      <c r="A73" s="4"/>
      <c r="C73" s="245" t="s">
        <v>230</v>
      </c>
      <c r="M73" s="4"/>
    </row>
    <row r="74" spans="1:13" x14ac:dyDescent="0.3">
      <c r="A74" s="4"/>
      <c r="B74" s="4"/>
      <c r="C74" s="4"/>
      <c r="D74" s="4"/>
      <c r="E74" s="4"/>
      <c r="F74" s="4"/>
      <c r="G74" s="4"/>
      <c r="H74" s="4"/>
      <c r="I74" s="4"/>
      <c r="J74" s="4"/>
      <c r="K74" s="4"/>
      <c r="L74" s="4"/>
      <c r="M74" s="4"/>
    </row>
    <row r="75" spans="1:13" hidden="1" x14ac:dyDescent="0.3">
      <c r="A75" s="4"/>
      <c r="M75" s="4"/>
    </row>
    <row r="76" spans="1:13" hidden="1" x14ac:dyDescent="0.3">
      <c r="A76" s="4"/>
      <c r="M76" s="4"/>
    </row>
    <row r="77" spans="1:13" hidden="1" x14ac:dyDescent="0.3">
      <c r="A77" s="4"/>
      <c r="M77" s="4"/>
    </row>
    <row r="78" spans="1:13" hidden="1" x14ac:dyDescent="0.3">
      <c r="A78" s="4"/>
      <c r="M78" s="4"/>
    </row>
    <row r="79" spans="1:13" hidden="1" x14ac:dyDescent="0.3">
      <c r="A79" s="4"/>
      <c r="M79" s="4"/>
    </row>
    <row r="80" spans="1:13" hidden="1" x14ac:dyDescent="0.3">
      <c r="A80" s="4"/>
      <c r="M80" s="4"/>
    </row>
    <row r="81" spans="1:13" hidden="1" x14ac:dyDescent="0.3">
      <c r="A81" s="4"/>
      <c r="M81" s="4"/>
    </row>
    <row r="82" spans="1:13" hidden="1" x14ac:dyDescent="0.3">
      <c r="A82" s="4"/>
      <c r="M82" s="4"/>
    </row>
    <row r="83" spans="1:13" hidden="1" x14ac:dyDescent="0.3">
      <c r="A83" s="4"/>
      <c r="M83" s="4"/>
    </row>
    <row r="84" spans="1:13" hidden="1" x14ac:dyDescent="0.3">
      <c r="A84" s="4"/>
      <c r="M84" s="4"/>
    </row>
    <row r="85" spans="1:13" hidden="1" x14ac:dyDescent="0.3">
      <c r="A85" s="4"/>
      <c r="M85" s="4"/>
    </row>
    <row r="86" spans="1:13" hidden="1" x14ac:dyDescent="0.3">
      <c r="A86" s="4"/>
      <c r="M86" s="4"/>
    </row>
    <row r="87" spans="1:13" hidden="1" x14ac:dyDescent="0.3">
      <c r="A87" s="4"/>
    </row>
    <row r="88" spans="1:13" hidden="1" x14ac:dyDescent="0.3">
      <c r="A88" s="4"/>
    </row>
    <row r="89" spans="1:13" hidden="1" x14ac:dyDescent="0.3">
      <c r="A89" s="4"/>
    </row>
    <row r="90" spans="1:13" hidden="1" x14ac:dyDescent="0.3">
      <c r="A90" s="4"/>
    </row>
    <row r="91" spans="1:13" hidden="1" x14ac:dyDescent="0.3">
      <c r="A91" s="4"/>
    </row>
    <row r="92" spans="1:13" hidden="1" x14ac:dyDescent="0.3">
      <c r="A92" s="4"/>
    </row>
    <row r="93" spans="1:13" hidden="1" x14ac:dyDescent="0.3">
      <c r="A93" s="4"/>
    </row>
    <row r="94" spans="1:13" hidden="1" x14ac:dyDescent="0.3">
      <c r="A94" s="4"/>
    </row>
    <row r="95" spans="1:13" hidden="1" x14ac:dyDescent="0.3">
      <c r="A95" s="4"/>
    </row>
    <row r="96" spans="1:13" hidden="1" x14ac:dyDescent="0.3">
      <c r="A96" s="4"/>
    </row>
    <row r="97" spans="1:1" hidden="1" x14ac:dyDescent="0.3">
      <c r="A97" s="4"/>
    </row>
    <row r="98" spans="1:1" hidden="1" x14ac:dyDescent="0.3">
      <c r="A98" s="4"/>
    </row>
    <row r="99" spans="1:1" hidden="1" x14ac:dyDescent="0.3">
      <c r="A99" s="4"/>
    </row>
    <row r="100" spans="1:1" hidden="1" x14ac:dyDescent="0.3">
      <c r="A100" s="4"/>
    </row>
    <row r="101" spans="1:1" hidden="1" x14ac:dyDescent="0.3">
      <c r="A101" s="4"/>
    </row>
    <row r="102" spans="1:1" hidden="1" x14ac:dyDescent="0.3">
      <c r="A102" s="4"/>
    </row>
    <row r="103" spans="1:1" hidden="1" x14ac:dyDescent="0.3">
      <c r="A103" s="4"/>
    </row>
    <row r="104" spans="1:1" hidden="1" x14ac:dyDescent="0.3">
      <c r="A104" s="4"/>
    </row>
    <row r="105" spans="1:1" hidden="1" x14ac:dyDescent="0.3">
      <c r="A105" s="4"/>
    </row>
    <row r="106" spans="1:1" hidden="1" x14ac:dyDescent="0.3">
      <c r="A106" s="4"/>
    </row>
    <row r="107" spans="1:1" hidden="1" x14ac:dyDescent="0.3">
      <c r="A107" s="4"/>
    </row>
    <row r="108" spans="1:1" hidden="1" x14ac:dyDescent="0.3">
      <c r="A108" s="4"/>
    </row>
    <row r="109" spans="1:1" hidden="1" x14ac:dyDescent="0.3">
      <c r="A109" s="4"/>
    </row>
    <row r="110" spans="1:1" hidden="1" x14ac:dyDescent="0.3">
      <c r="A110" s="4"/>
    </row>
    <row r="111" spans="1:1" hidden="1" x14ac:dyDescent="0.3">
      <c r="A111" s="4"/>
    </row>
    <row r="112" spans="1:1" hidden="1" x14ac:dyDescent="0.3">
      <c r="A112" s="4"/>
    </row>
    <row r="113" spans="1:1" hidden="1" x14ac:dyDescent="0.3">
      <c r="A113" s="4"/>
    </row>
    <row r="114" spans="1:1" hidden="1" x14ac:dyDescent="0.3">
      <c r="A114" s="4"/>
    </row>
    <row r="115" spans="1:1" hidden="1" x14ac:dyDescent="0.3">
      <c r="A115" s="4"/>
    </row>
    <row r="116" spans="1:1" hidden="1" x14ac:dyDescent="0.3">
      <c r="A116" s="4"/>
    </row>
    <row r="117" spans="1:1" hidden="1" x14ac:dyDescent="0.3">
      <c r="A117" s="4"/>
    </row>
    <row r="118" spans="1:1" hidden="1" x14ac:dyDescent="0.3">
      <c r="A118" s="4"/>
    </row>
    <row r="119" spans="1:1" hidden="1" x14ac:dyDescent="0.3">
      <c r="A119" s="4"/>
    </row>
    <row r="120" spans="1:1" hidden="1" x14ac:dyDescent="0.3">
      <c r="A120" s="4"/>
    </row>
    <row r="121" spans="1:1" hidden="1" x14ac:dyDescent="0.3">
      <c r="A121" s="4"/>
    </row>
    <row r="122" spans="1:1" hidden="1" x14ac:dyDescent="0.3">
      <c r="A122" s="4"/>
    </row>
    <row r="123" spans="1:1" hidden="1" x14ac:dyDescent="0.3">
      <c r="A123" s="4"/>
    </row>
    <row r="124" spans="1:1" hidden="1" x14ac:dyDescent="0.3">
      <c r="A124" s="4"/>
    </row>
    <row r="125" spans="1:1" hidden="1" x14ac:dyDescent="0.3">
      <c r="A125" s="4"/>
    </row>
  </sheetData>
  <protectedRanges>
    <protectedRange sqref="H67:H72" name="Intervalo7"/>
    <protectedRange sqref="D52:H57" name="Intervalo5"/>
    <protectedRange sqref="I40 F34 F36 F40 F38" name="Intervalo1_2"/>
    <protectedRange sqref="I42 I44" name="Intervalo2"/>
    <protectedRange sqref="I42 I44" name="Intervalo1_1"/>
    <protectedRange sqref="F42 F44" name="Intervalo1"/>
    <protectedRange sqref="D67:F72" name="Intervalo6"/>
  </protectedRanges>
  <mergeCells count="20">
    <mergeCell ref="C2:L4"/>
    <mergeCell ref="C42:E42"/>
    <mergeCell ref="F42:G42"/>
    <mergeCell ref="B5:L5"/>
    <mergeCell ref="C32:L32"/>
    <mergeCell ref="C34:E34"/>
    <mergeCell ref="F34:J34"/>
    <mergeCell ref="C36:E36"/>
    <mergeCell ref="F36:J36"/>
    <mergeCell ref="B21:L21"/>
    <mergeCell ref="I42:J42"/>
    <mergeCell ref="C38:E38"/>
    <mergeCell ref="F38:J38"/>
    <mergeCell ref="B47:K47"/>
    <mergeCell ref="I44:J44"/>
    <mergeCell ref="C44:E44"/>
    <mergeCell ref="F44:G44"/>
    <mergeCell ref="C40:E40"/>
    <mergeCell ref="F40:G40"/>
    <mergeCell ref="I40:J40"/>
  </mergeCells>
  <conditionalFormatting sqref="I44:J44">
    <cfRule type="expression" dxfId="4" priority="9">
      <formula>IF($F$44=$E$45,TRUE,FALSE)</formula>
    </cfRule>
  </conditionalFormatting>
  <conditionalFormatting sqref="I42:J42">
    <cfRule type="expression" dxfId="3" priority="10">
      <formula>IF($F$42=$E$43,TRUE,FALSE)</formula>
    </cfRule>
  </conditionalFormatting>
  <conditionalFormatting sqref="I36:J36">
    <cfRule type="expression" dxfId="2" priority="3">
      <formula>IF($F$29=$K$19,TRUE,FALSE)</formula>
    </cfRule>
  </conditionalFormatting>
  <conditionalFormatting sqref="I40:J40">
    <cfRule type="expression" dxfId="1" priority="2">
      <formula>IF($F$40=$B$41,TRUE,FALSE)</formula>
    </cfRule>
  </conditionalFormatting>
  <conditionalFormatting sqref="I38:J38">
    <cfRule type="expression" dxfId="0" priority="1">
      <formula>IF($F$29=$K$19,TRUE,FALSE)</formula>
    </cfRule>
  </conditionalFormatting>
  <dataValidations count="6">
    <dataValidation type="decimal" operator="greaterThan" allowBlank="1" showInputMessage="1" showErrorMessage="1" sqref="I42:J42 I44:J44" xr:uid="{00000000-0002-0000-0000-000000000000}">
      <formula1>0</formula1>
    </dataValidation>
    <dataValidation type="list" allowBlank="1" showInputMessage="1" showErrorMessage="1" sqref="F44:G44" xr:uid="{00000000-0002-0000-0000-000001000000}">
      <formula1>$B$45:$E$45</formula1>
    </dataValidation>
    <dataValidation type="list" allowBlank="1" showInputMessage="1" showErrorMessage="1" sqref="F42:G42" xr:uid="{00000000-0002-0000-0000-000002000000}">
      <formula1>$B$43:$E$43</formula1>
    </dataValidation>
    <dataValidation type="list" allowBlank="1" showInputMessage="1" showErrorMessage="1" sqref="F36:J36" xr:uid="{00000000-0002-0000-0000-000003000000}">
      <formula1>$C$37:$D$37</formula1>
    </dataValidation>
    <dataValidation type="decimal" allowBlank="1" showInputMessage="1" showErrorMessage="1" sqref="I40:J40" xr:uid="{00000000-0002-0000-0000-000004000000}">
      <formula1>I35</formula1>
      <formula2>J35</formula2>
    </dataValidation>
    <dataValidation type="list" allowBlank="1" showInputMessage="1" showErrorMessage="1" sqref="F40:G40" xr:uid="{00000000-0002-0000-0000-000005000000}">
      <formula1>$B$41:$C$41</formula1>
    </dataValidation>
  </dataValidations>
  <pageMargins left="0.511811024" right="0.511811024" top="0.78740157499999996" bottom="0.78740157499999996" header="0.31496062000000002" footer="0.31496062000000002"/>
  <pageSetup paperSize="9" orientation="portrait" horizontalDpi="0" verticalDpi="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6000000}">
          <x14:formula1>
            <xm:f>Parameters!$M$70:$S$70</xm:f>
          </x14:formula1>
          <xm:sqref>F38:J38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2">
    <tabColor theme="5"/>
  </sheetPr>
  <dimension ref="A1:V235"/>
  <sheetViews>
    <sheetView showGridLines="0" tabSelected="1" topLeftCell="A52" zoomScale="80" zoomScaleNormal="80" workbookViewId="0">
      <selection activeCell="D72" sqref="D72"/>
    </sheetView>
  </sheetViews>
  <sheetFormatPr defaultColWidth="0" defaultRowHeight="14.4" zeroHeight="1" x14ac:dyDescent="0.3"/>
  <cols>
    <col min="1" max="1" width="25.33203125" customWidth="1"/>
    <col min="2" max="2" width="7.33203125" customWidth="1"/>
    <col min="3" max="3" width="14.6640625" customWidth="1"/>
    <col min="4" max="4" width="19" customWidth="1"/>
    <col min="5" max="9" width="23.5546875" customWidth="1"/>
    <col min="10" max="10" width="10.88671875" customWidth="1"/>
    <col min="11" max="13" width="9.109375" customWidth="1"/>
    <col min="14" max="16384" width="9.109375" hidden="1"/>
  </cols>
  <sheetData>
    <row r="1" spans="1:22" x14ac:dyDescent="0.3">
      <c r="A1" s="1"/>
      <c r="B1" s="1"/>
      <c r="C1" s="1"/>
      <c r="D1" s="1"/>
      <c r="E1" s="1"/>
      <c r="F1" s="1"/>
      <c r="G1" s="1"/>
      <c r="H1" s="1"/>
      <c r="I1" s="1"/>
      <c r="J1" s="1"/>
      <c r="K1" s="1"/>
      <c r="L1" s="1"/>
      <c r="M1" s="1"/>
      <c r="N1" s="1"/>
      <c r="O1" s="1"/>
      <c r="P1" s="1"/>
      <c r="Q1" s="1">
        <v>1</v>
      </c>
      <c r="R1" s="1"/>
      <c r="S1" s="1"/>
      <c r="T1" s="1"/>
      <c r="U1" s="1"/>
      <c r="V1" s="1"/>
    </row>
    <row r="2" spans="1:22" ht="15" customHeight="1" x14ac:dyDescent="0.3">
      <c r="A2" s="1"/>
      <c r="D2" s="411" t="s">
        <v>170</v>
      </c>
      <c r="E2" s="411"/>
      <c r="F2" s="411"/>
      <c r="G2" s="411"/>
      <c r="H2" s="411"/>
      <c r="I2" s="411"/>
      <c r="J2" s="411"/>
      <c r="K2" s="411"/>
      <c r="L2" s="411"/>
      <c r="M2" s="1"/>
    </row>
    <row r="3" spans="1:22" ht="15" customHeight="1" x14ac:dyDescent="0.3">
      <c r="A3" s="1"/>
      <c r="D3" s="411"/>
      <c r="E3" s="411"/>
      <c r="F3" s="411"/>
      <c r="G3" s="411"/>
      <c r="H3" s="411"/>
      <c r="I3" s="411"/>
      <c r="J3" s="411"/>
      <c r="K3" s="411"/>
      <c r="L3" s="411"/>
      <c r="M3" s="1"/>
    </row>
    <row r="4" spans="1:22" ht="15" customHeight="1" x14ac:dyDescent="0.3">
      <c r="A4" s="1"/>
      <c r="D4" s="411"/>
      <c r="E4" s="411"/>
      <c r="F4" s="411"/>
      <c r="G4" s="411"/>
      <c r="H4" s="411"/>
      <c r="I4" s="411"/>
      <c r="J4" s="411"/>
      <c r="K4" s="411"/>
      <c r="L4" s="411"/>
      <c r="M4" s="1"/>
    </row>
    <row r="5" spans="1:22" x14ac:dyDescent="0.3">
      <c r="A5" s="1"/>
      <c r="M5" s="1"/>
    </row>
    <row r="6" spans="1:22" x14ac:dyDescent="0.3">
      <c r="A6" s="1"/>
      <c r="M6" s="1"/>
    </row>
    <row r="7" spans="1:22" ht="15" customHeight="1" x14ac:dyDescent="0.3">
      <c r="A7" s="1"/>
      <c r="C7" s="10"/>
      <c r="D7" s="10"/>
      <c r="E7" s="429" t="s">
        <v>234</v>
      </c>
      <c r="F7" s="429"/>
      <c r="G7" s="429" t="s">
        <v>233</v>
      </c>
      <c r="H7" s="429"/>
      <c r="I7" s="434" t="s">
        <v>235</v>
      </c>
      <c r="M7" s="1"/>
    </row>
    <row r="8" spans="1:22" x14ac:dyDescent="0.3">
      <c r="A8" s="1"/>
      <c r="C8" s="6"/>
      <c r="D8" s="6"/>
      <c r="E8" s="305" t="s">
        <v>38</v>
      </c>
      <c r="F8" s="305" t="s">
        <v>236</v>
      </c>
      <c r="G8" s="305" t="s">
        <v>38</v>
      </c>
      <c r="H8" s="305" t="s">
        <v>236</v>
      </c>
      <c r="I8" s="435"/>
      <c r="M8" s="1"/>
    </row>
    <row r="9" spans="1:22" x14ac:dyDescent="0.3">
      <c r="A9" s="1"/>
      <c r="C9" s="433" t="s">
        <v>237</v>
      </c>
      <c r="D9" s="433"/>
      <c r="E9" s="433"/>
      <c r="F9" s="433"/>
      <c r="G9" s="433"/>
      <c r="H9" s="433"/>
      <c r="I9" s="433"/>
      <c r="M9" s="1"/>
    </row>
    <row r="10" spans="1:22" x14ac:dyDescent="0.3">
      <c r="A10" s="1"/>
      <c r="C10" s="431" t="s">
        <v>238</v>
      </c>
      <c r="D10" s="431"/>
      <c r="E10" s="180">
        <f>Model!L63+Model!L80</f>
        <v>1.1684711117379197E-2</v>
      </c>
      <c r="F10" s="40">
        <f>E10*10000</f>
        <v>116.84711117379197</v>
      </c>
      <c r="G10" s="180">
        <f>Model!L20+Model!L37</f>
        <v>1.1274985600270172E-2</v>
      </c>
      <c r="H10" s="40">
        <f>G10*10000</f>
        <v>112.74985600270172</v>
      </c>
      <c r="I10" s="40">
        <f>F10-H10</f>
        <v>4.0972551710902536</v>
      </c>
      <c r="K10" s="241"/>
      <c r="M10" s="1"/>
    </row>
    <row r="11" spans="1:22" x14ac:dyDescent="0.3">
      <c r="A11" s="1"/>
      <c r="C11" s="431" t="s">
        <v>239</v>
      </c>
      <c r="D11" s="431"/>
      <c r="E11" s="180">
        <f>Model!N60+Model!N77</f>
        <v>9.6071967717450898E-3</v>
      </c>
      <c r="F11" s="40">
        <f t="shared" ref="F11:F15" si="0">E11*10000</f>
        <v>96.071967717450903</v>
      </c>
      <c r="G11" s="180">
        <f>Model!N17+Model!N34</f>
        <v>8.9756471478398027E-3</v>
      </c>
      <c r="H11" s="40">
        <f t="shared" ref="H11:H15" si="1">G11*10000</f>
        <v>89.756471478398026</v>
      </c>
      <c r="I11" s="40">
        <f t="shared" ref="I11:I18" si="2">F11-H11</f>
        <v>6.3154962390528766</v>
      </c>
      <c r="K11" s="241"/>
      <c r="M11" s="1"/>
    </row>
    <row r="12" spans="1:22" x14ac:dyDescent="0.3">
      <c r="A12" s="1"/>
      <c r="C12" s="431" t="s">
        <v>240</v>
      </c>
      <c r="D12" s="431"/>
      <c r="E12" s="180">
        <f>Model!N65+Model!N82</f>
        <v>2.0775143456341055E-3</v>
      </c>
      <c r="F12" s="40">
        <f t="shared" si="0"/>
        <v>20.775143456341056</v>
      </c>
      <c r="G12" s="180">
        <f>Model!N23+Model!N39</f>
        <v>2.2993384524303676E-3</v>
      </c>
      <c r="H12" s="40">
        <f t="shared" si="1"/>
        <v>22.993384524303675</v>
      </c>
      <c r="I12" s="40">
        <f t="shared" si="2"/>
        <v>-2.2182410679626194</v>
      </c>
      <c r="K12" s="241"/>
      <c r="M12" s="1"/>
    </row>
    <row r="13" spans="1:22" x14ac:dyDescent="0.3">
      <c r="A13" s="1"/>
      <c r="C13" s="431" t="s">
        <v>241</v>
      </c>
      <c r="D13" s="431"/>
      <c r="E13" s="180">
        <f>Model!J91</f>
        <v>1.3233921434671221E-3</v>
      </c>
      <c r="F13" s="40">
        <f t="shared" si="0"/>
        <v>13.233921434671222</v>
      </c>
      <c r="G13" s="180">
        <f>Model!J48</f>
        <v>1.8756789129340714E-3</v>
      </c>
      <c r="H13" s="40">
        <f t="shared" si="1"/>
        <v>18.756789129340714</v>
      </c>
      <c r="I13" s="40">
        <f t="shared" si="2"/>
        <v>-5.5228676946694915</v>
      </c>
      <c r="K13" s="241"/>
      <c r="M13" s="1"/>
    </row>
    <row r="14" spans="1:22" x14ac:dyDescent="0.3">
      <c r="A14" s="1"/>
      <c r="C14" s="431" t="s">
        <v>242</v>
      </c>
      <c r="D14" s="431"/>
      <c r="E14" s="180">
        <f>Model!N69+Model!N73+Model!N86</f>
        <v>4.3035186406105014E-2</v>
      </c>
      <c r="F14" s="40">
        <f t="shared" si="0"/>
        <v>430.35186406105015</v>
      </c>
      <c r="G14" s="180">
        <f>Model!N26+Model!N30+Model!N43</f>
        <v>5.08855579326941E-2</v>
      </c>
      <c r="H14" s="40">
        <f t="shared" si="1"/>
        <v>508.85557932694098</v>
      </c>
      <c r="I14" s="40">
        <f t="shared" si="2"/>
        <v>-78.503715265890833</v>
      </c>
      <c r="K14" s="241"/>
      <c r="M14" s="1"/>
    </row>
    <row r="15" spans="1:22" x14ac:dyDescent="0.3">
      <c r="A15" s="1"/>
      <c r="C15" s="431" t="s">
        <v>243</v>
      </c>
      <c r="D15" s="431"/>
      <c r="E15" s="180">
        <f>Model!N96</f>
        <v>0.94395671033304873</v>
      </c>
      <c r="F15" s="40">
        <f t="shared" si="0"/>
        <v>9439.567103330488</v>
      </c>
      <c r="G15" s="180">
        <f>Model!N53</f>
        <v>0.93596377755410165</v>
      </c>
      <c r="H15" s="40">
        <f t="shared" si="1"/>
        <v>9359.6377755410158</v>
      </c>
      <c r="I15" s="40">
        <f t="shared" si="2"/>
        <v>79.929327789472154</v>
      </c>
      <c r="K15" s="241"/>
      <c r="M15" s="1"/>
    </row>
    <row r="16" spans="1:22" x14ac:dyDescent="0.3">
      <c r="A16" s="1"/>
      <c r="C16" s="433" t="s">
        <v>244</v>
      </c>
      <c r="D16" s="433"/>
      <c r="E16" s="433"/>
      <c r="F16" s="433"/>
      <c r="G16" s="433"/>
      <c r="H16" s="433"/>
      <c r="I16" s="433"/>
      <c r="K16" s="241"/>
      <c r="M16" s="1"/>
    </row>
    <row r="17" spans="1:13" x14ac:dyDescent="0.3">
      <c r="A17" s="1"/>
      <c r="C17" s="431" t="s">
        <v>516</v>
      </c>
      <c r="D17" s="431"/>
      <c r="E17" s="180">
        <f>Model!J66+Model!J83</f>
        <v>4.1479245089666952E-2</v>
      </c>
      <c r="F17" s="40">
        <f>E17*10000</f>
        <v>414.79245089666955</v>
      </c>
      <c r="G17" s="180">
        <f>Model!J23+Model!J40</f>
        <v>4.6407524911927525E-2</v>
      </c>
      <c r="H17" s="40">
        <f>G17*10000</f>
        <v>464.07524911927527</v>
      </c>
      <c r="I17" s="40">
        <f t="shared" si="2"/>
        <v>-49.28279822260572</v>
      </c>
      <c r="K17" s="241"/>
      <c r="M17" s="1"/>
    </row>
    <row r="18" spans="1:13" x14ac:dyDescent="0.3">
      <c r="A18" s="1"/>
      <c r="C18" s="431" t="s">
        <v>517</v>
      </c>
      <c r="D18" s="431"/>
      <c r="E18" s="180">
        <f>Model!H77</f>
        <v>3.5028181041844575E-2</v>
      </c>
      <c r="F18" s="40">
        <f>E18*10000</f>
        <v>350.28181041844573</v>
      </c>
      <c r="G18" s="180">
        <f>Model!H34</f>
        <v>4.189632611977856E-2</v>
      </c>
      <c r="H18" s="40">
        <f>G18*10000</f>
        <v>418.96326119778558</v>
      </c>
      <c r="I18" s="40">
        <f t="shared" si="2"/>
        <v>-68.681450779339855</v>
      </c>
      <c r="K18" s="241"/>
      <c r="M18" s="1"/>
    </row>
    <row r="19" spans="1:13" x14ac:dyDescent="0.3">
      <c r="A19" s="1"/>
      <c r="C19" s="433" t="s">
        <v>245</v>
      </c>
      <c r="D19" s="433"/>
      <c r="E19" s="433"/>
      <c r="F19" s="433"/>
      <c r="G19" s="433"/>
      <c r="H19" s="433"/>
      <c r="I19" s="433"/>
      <c r="M19" s="1"/>
    </row>
    <row r="20" spans="1:13" x14ac:dyDescent="0.3">
      <c r="A20" s="1"/>
      <c r="C20" s="431" t="s">
        <v>246</v>
      </c>
      <c r="D20" s="431"/>
      <c r="E20" s="309">
        <f>Model!F79</f>
        <v>334.85723488508688</v>
      </c>
      <c r="F20" s="309"/>
      <c r="G20" s="309">
        <f>Model!F36</f>
        <v>101.29847098277725</v>
      </c>
      <c r="H20" s="309"/>
      <c r="I20" s="310">
        <f>E20*10000-G20*10000</f>
        <v>2335587.6390230963</v>
      </c>
      <c r="M20" s="1"/>
    </row>
    <row r="21" spans="1:13" x14ac:dyDescent="0.3">
      <c r="A21" s="1"/>
      <c r="C21" s="431" t="s">
        <v>247</v>
      </c>
      <c r="D21" s="431"/>
      <c r="E21" s="309">
        <f>Model!H69+Model!J86</f>
        <v>13.693993292443629</v>
      </c>
      <c r="F21" s="309"/>
      <c r="G21" s="309">
        <f>Model!H26+Model!J43</f>
        <v>15.321019789271887</v>
      </c>
      <c r="H21" s="309"/>
      <c r="I21" s="310">
        <f t="shared" ref="I21:I23" si="3">E21*10000-G21*10000</f>
        <v>-16270.264968282572</v>
      </c>
      <c r="M21" s="1"/>
    </row>
    <row r="22" spans="1:13" x14ac:dyDescent="0.3">
      <c r="A22" s="1"/>
      <c r="C22" s="431" t="s">
        <v>248</v>
      </c>
      <c r="D22" s="431"/>
      <c r="E22" s="309">
        <f>Model!H80</f>
        <v>2.2749595363642627</v>
      </c>
      <c r="F22" s="309"/>
      <c r="G22" s="309">
        <f>Model!H37</f>
        <v>2.7210218689619472</v>
      </c>
      <c r="H22" s="309"/>
      <c r="I22" s="310">
        <f t="shared" si="3"/>
        <v>-4460.6233259768451</v>
      </c>
      <c r="M22" s="1"/>
    </row>
    <row r="23" spans="1:13" x14ac:dyDescent="0.3">
      <c r="A23" s="1"/>
      <c r="C23" s="432" t="s">
        <v>249</v>
      </c>
      <c r="D23" s="432"/>
      <c r="E23" s="311">
        <f>SUM(E20:E22)</f>
        <v>350.82618771389474</v>
      </c>
      <c r="F23" s="311"/>
      <c r="G23" s="311">
        <f>SUM(G20:G22)</f>
        <v>119.34051264101107</v>
      </c>
      <c r="H23" s="311"/>
      <c r="I23" s="310">
        <f t="shared" si="3"/>
        <v>2314856.7507288367</v>
      </c>
      <c r="M23" s="1"/>
    </row>
    <row r="24" spans="1:13" x14ac:dyDescent="0.3">
      <c r="A24" s="1"/>
      <c r="M24" s="1"/>
    </row>
    <row r="25" spans="1:13" x14ac:dyDescent="0.3">
      <c r="A25" s="1"/>
      <c r="M25" s="1"/>
    </row>
    <row r="26" spans="1:13" x14ac:dyDescent="0.3">
      <c r="A26" s="1"/>
      <c r="M26" s="1"/>
    </row>
    <row r="27" spans="1:13" x14ac:dyDescent="0.3">
      <c r="A27" s="1"/>
      <c r="M27" s="1"/>
    </row>
    <row r="28" spans="1:13" x14ac:dyDescent="0.3">
      <c r="A28" s="1"/>
      <c r="C28" s="306" t="s">
        <v>250</v>
      </c>
      <c r="M28" s="1"/>
    </row>
    <row r="29" spans="1:13" x14ac:dyDescent="0.3">
      <c r="A29" s="1"/>
      <c r="M29" s="1"/>
    </row>
    <row r="30" spans="1:13" ht="25.5" customHeight="1" thickBot="1" x14ac:dyDescent="0.35">
      <c r="A30" s="1"/>
      <c r="C30" s="422" t="s">
        <v>251</v>
      </c>
      <c r="D30" s="422"/>
      <c r="E30" s="184" t="s">
        <v>231</v>
      </c>
      <c r="F30" s="185" t="s">
        <v>526</v>
      </c>
      <c r="G30" s="182" t="s">
        <v>527</v>
      </c>
      <c r="H30" s="184" t="s">
        <v>165</v>
      </c>
      <c r="I30" s="182" t="s">
        <v>528</v>
      </c>
      <c r="M30" s="1"/>
    </row>
    <row r="31" spans="1:13" ht="15" thickBot="1" x14ac:dyDescent="0.35">
      <c r="A31" s="1"/>
      <c r="C31" s="423" t="str">
        <f>G7</f>
        <v xml:space="preserve">Digital mammography </v>
      </c>
      <c r="D31" s="423"/>
      <c r="E31" s="186">
        <f>Markov!H127+Markov!W127+Markov!AG127+Markov!AQ127+Markov!BA127+Markov!BK127+Markov!BU127</f>
        <v>16.469471247080786</v>
      </c>
      <c r="F31" s="338">
        <f>G23+Markov!W162+Markov!AG162+Markov!AQ162+Markov!BA162+Markov!BK162+Markov!BU162</f>
        <v>3048.5680703203725</v>
      </c>
      <c r="G31" s="424" t="str">
        <f>IF(F33/E33&lt;0,"Dominante",F33/E33)</f>
        <v>Dominante</v>
      </c>
      <c r="H31" s="186">
        <f>Markov!I127+Markov!X127+Markov!AH127+Markov!AR127+Markov!BB127+Markov!BL127+Markov!BV127</f>
        <v>13.719572373826354</v>
      </c>
      <c r="I31" s="424" t="str">
        <f>IF(F33/H33&lt;0,"Dominante",F33/H33)</f>
        <v>Dominante</v>
      </c>
      <c r="J31" s="93">
        <f>F33/H33</f>
        <v>-183.50495728235745</v>
      </c>
      <c r="M31" s="1"/>
    </row>
    <row r="32" spans="1:13" x14ac:dyDescent="0.3">
      <c r="A32" s="1"/>
      <c r="C32" s="427" t="str">
        <f>E7</f>
        <v>Tomosynthesis</v>
      </c>
      <c r="D32" s="427"/>
      <c r="E32" s="187">
        <f>Markov!H45+Markov!W45+Markov!AG45+Markov!AQ45+Markov!BA45+Markov!BK45+Markov!BU45</f>
        <v>16.485514702847912</v>
      </c>
      <c r="F32" s="339">
        <f>E23+Markov!H80+Markov!W80+Markov!AG80+Markov!AQ80+Markov!BA80+Markov!BK80+Markov!BU80</f>
        <v>2094.5431412700773</v>
      </c>
      <c r="G32" s="425"/>
      <c r="H32" s="187">
        <f>Markov!I45+Markov!X45+Markov!AH45+Markov!AR45+Markov!BB45+Markov!BL45+Markov!BV44</f>
        <v>18.918477859427735</v>
      </c>
      <c r="I32" s="425"/>
      <c r="M32" s="1"/>
    </row>
    <row r="33" spans="1:13" x14ac:dyDescent="0.3">
      <c r="A33" s="1"/>
      <c r="C33" s="430" t="s">
        <v>52</v>
      </c>
      <c r="D33" s="430"/>
      <c r="E33" s="188">
        <f>E32-E31</f>
        <v>1.6043455767125181E-2</v>
      </c>
      <c r="F33" s="340">
        <f>F32-F31</f>
        <v>-954.02492905029521</v>
      </c>
      <c r="G33" s="426"/>
      <c r="H33" s="188">
        <f>H32-H31</f>
        <v>5.1989054856013812</v>
      </c>
      <c r="I33" s="426"/>
      <c r="M33" s="1"/>
    </row>
    <row r="34" spans="1:13" ht="15.6" x14ac:dyDescent="0.3">
      <c r="A34" s="1"/>
      <c r="D34" s="183"/>
      <c r="E34" s="183"/>
      <c r="F34" s="183"/>
      <c r="G34" s="183"/>
      <c r="H34" s="183"/>
      <c r="M34" s="1"/>
    </row>
    <row r="35" spans="1:13" x14ac:dyDescent="0.3">
      <c r="A35" s="1"/>
      <c r="M35" s="1"/>
    </row>
    <row r="36" spans="1:13" x14ac:dyDescent="0.3">
      <c r="A36" s="1"/>
      <c r="C36" s="422" t="s">
        <v>518</v>
      </c>
      <c r="D36" s="422"/>
      <c r="E36" s="184" t="str">
        <f>H30</f>
        <v>QALY</v>
      </c>
      <c r="F36" s="185" t="s">
        <v>232</v>
      </c>
      <c r="G36" s="182" t="str">
        <f>I30</f>
        <v>ICER (EUR per QALY)</v>
      </c>
      <c r="M36" s="1"/>
    </row>
    <row r="37" spans="1:13" x14ac:dyDescent="0.3">
      <c r="A37" s="1"/>
      <c r="C37" s="423" t="str">
        <f>C31</f>
        <v xml:space="preserve">Digital mammography </v>
      </c>
      <c r="D37" s="423"/>
      <c r="E37" s="186">
        <f>CEASimulation!$F$7</f>
        <v>13.807997870690569</v>
      </c>
      <c r="F37" s="338">
        <f>CEASimulation!$D$7</f>
        <v>3045.7629501415049</v>
      </c>
      <c r="G37" s="424" t="str">
        <f>IF(F39/E39&lt;0,"Dominante",F39/E39)</f>
        <v>Dominante</v>
      </c>
      <c r="M37" s="1"/>
    </row>
    <row r="38" spans="1:13" x14ac:dyDescent="0.3">
      <c r="A38" s="1"/>
      <c r="C38" s="427" t="str">
        <f>C32</f>
        <v>Tomosynthesis</v>
      </c>
      <c r="D38" s="427"/>
      <c r="E38" s="187">
        <f>CEASimulation!$E$7</f>
        <v>18.971866439912279</v>
      </c>
      <c r="F38" s="339">
        <f>CEASimulation!$C$7</f>
        <v>2088.8986722119012</v>
      </c>
      <c r="G38" s="425"/>
      <c r="M38" s="1"/>
    </row>
    <row r="39" spans="1:13" x14ac:dyDescent="0.3">
      <c r="A39" s="1"/>
      <c r="C39" s="428" t="s">
        <v>52</v>
      </c>
      <c r="D39" s="428"/>
      <c r="E39" s="188">
        <f>E38-E37</f>
        <v>5.1638685692217106</v>
      </c>
      <c r="F39" s="340">
        <f>F38-F37</f>
        <v>-956.86427792960376</v>
      </c>
      <c r="G39" s="426"/>
      <c r="M39" s="1"/>
    </row>
    <row r="40" spans="1:13" x14ac:dyDescent="0.3">
      <c r="A40" s="1"/>
      <c r="M40" s="1"/>
    </row>
    <row r="41" spans="1:13" x14ac:dyDescent="0.3">
      <c r="A41" s="1"/>
      <c r="M41" s="1"/>
    </row>
    <row r="42" spans="1:13" x14ac:dyDescent="0.3">
      <c r="A42" s="1"/>
      <c r="M42" s="1"/>
    </row>
    <row r="43" spans="1:13" x14ac:dyDescent="0.3">
      <c r="A43" s="1"/>
      <c r="M43" s="1"/>
    </row>
    <row r="44" spans="1:13" x14ac:dyDescent="0.3">
      <c r="A44" s="1"/>
      <c r="M44" s="1"/>
    </row>
    <row r="45" spans="1:13" x14ac:dyDescent="0.3">
      <c r="A45" s="1"/>
      <c r="M45" s="1"/>
    </row>
    <row r="46" spans="1:13" x14ac:dyDescent="0.3">
      <c r="A46" s="1"/>
      <c r="M46" s="1"/>
    </row>
    <row r="47" spans="1:13" x14ac:dyDescent="0.3">
      <c r="A47" s="1"/>
      <c r="M47" s="1"/>
    </row>
    <row r="48" spans="1:13" x14ac:dyDescent="0.3">
      <c r="A48" s="1"/>
      <c r="M48" s="1"/>
    </row>
    <row r="49" spans="1:13" x14ac:dyDescent="0.3">
      <c r="A49" s="1"/>
      <c r="M49" s="1"/>
    </row>
    <row r="50" spans="1:13" x14ac:dyDescent="0.3">
      <c r="A50" s="1"/>
      <c r="M50" s="1"/>
    </row>
    <row r="51" spans="1:13" x14ac:dyDescent="0.3">
      <c r="A51" s="1"/>
      <c r="M51" s="1"/>
    </row>
    <row r="52" spans="1:13" x14ac:dyDescent="0.3">
      <c r="A52" s="1"/>
      <c r="M52" s="1"/>
    </row>
    <row r="53" spans="1:13" x14ac:dyDescent="0.3">
      <c r="A53" s="1"/>
      <c r="M53" s="1"/>
    </row>
    <row r="54" spans="1:13" x14ac:dyDescent="0.3">
      <c r="A54" s="1"/>
      <c r="M54" s="1"/>
    </row>
    <row r="55" spans="1:13" x14ac:dyDescent="0.3">
      <c r="A55" s="1"/>
      <c r="M55" s="1"/>
    </row>
    <row r="56" spans="1:13" x14ac:dyDescent="0.3">
      <c r="A56" s="1"/>
      <c r="M56" s="1"/>
    </row>
    <row r="57" spans="1:13" x14ac:dyDescent="0.3">
      <c r="A57" s="1"/>
      <c r="M57" s="1"/>
    </row>
    <row r="58" spans="1:13" x14ac:dyDescent="0.3">
      <c r="A58" s="1"/>
      <c r="M58" s="1"/>
    </row>
    <row r="59" spans="1:13" x14ac:dyDescent="0.3">
      <c r="A59" s="1"/>
      <c r="M59" s="1"/>
    </row>
    <row r="60" spans="1:13" x14ac:dyDescent="0.3">
      <c r="A60" s="1"/>
      <c r="M60" s="1"/>
    </row>
    <row r="61" spans="1:13" x14ac:dyDescent="0.3">
      <c r="A61" s="1"/>
      <c r="M61" s="1"/>
    </row>
    <row r="62" spans="1:13" x14ac:dyDescent="0.3">
      <c r="A62" s="1"/>
      <c r="M62" s="1"/>
    </row>
    <row r="63" spans="1:13" x14ac:dyDescent="0.3">
      <c r="A63" s="1"/>
      <c r="M63" s="1"/>
    </row>
    <row r="64" spans="1:13" x14ac:dyDescent="0.3">
      <c r="A64" s="1"/>
      <c r="M64" s="1"/>
    </row>
    <row r="65" spans="1:13" x14ac:dyDescent="0.3">
      <c r="A65" s="1"/>
      <c r="M65" s="1"/>
    </row>
    <row r="66" spans="1:13" x14ac:dyDescent="0.3">
      <c r="A66" s="1"/>
      <c r="M66" s="1"/>
    </row>
    <row r="67" spans="1:13" x14ac:dyDescent="0.3">
      <c r="A67" s="1"/>
      <c r="M67" s="1"/>
    </row>
    <row r="68" spans="1:13" x14ac:dyDescent="0.3">
      <c r="A68" s="1"/>
      <c r="M68" s="1"/>
    </row>
    <row r="69" spans="1:13" x14ac:dyDescent="0.3">
      <c r="A69" s="1"/>
      <c r="M69" s="1"/>
    </row>
    <row r="70" spans="1:13" x14ac:dyDescent="0.3">
      <c r="A70" s="1"/>
      <c r="M70" s="1"/>
    </row>
    <row r="71" spans="1:13" x14ac:dyDescent="0.3">
      <c r="A71" s="1"/>
      <c r="M71" s="1"/>
    </row>
    <row r="72" spans="1:13" x14ac:dyDescent="0.3">
      <c r="A72" s="1"/>
      <c r="M72" s="1"/>
    </row>
    <row r="73" spans="1:13" x14ac:dyDescent="0.3">
      <c r="A73" s="1"/>
      <c r="M73" s="1"/>
    </row>
    <row r="74" spans="1:13" x14ac:dyDescent="0.3">
      <c r="A74" s="1"/>
      <c r="M74" s="1"/>
    </row>
    <row r="75" spans="1:13" x14ac:dyDescent="0.3">
      <c r="A75" s="1"/>
      <c r="M75" s="1"/>
    </row>
    <row r="76" spans="1:13" x14ac:dyDescent="0.3">
      <c r="A76" s="1"/>
      <c r="M76" s="1"/>
    </row>
    <row r="77" spans="1:13" x14ac:dyDescent="0.3">
      <c r="A77" s="1"/>
      <c r="M77" s="1"/>
    </row>
    <row r="78" spans="1:13" x14ac:dyDescent="0.3">
      <c r="A78" s="1"/>
      <c r="M78" s="1"/>
    </row>
    <row r="79" spans="1:13" x14ac:dyDescent="0.3">
      <c r="A79" s="1"/>
      <c r="M79" s="1"/>
    </row>
    <row r="80" spans="1:13" x14ac:dyDescent="0.3">
      <c r="A80" s="1"/>
      <c r="M80" s="1"/>
    </row>
    <row r="81" spans="1:13" x14ac:dyDescent="0.3">
      <c r="A81" s="1"/>
      <c r="M81" s="1"/>
    </row>
    <row r="82" spans="1:13" x14ac:dyDescent="0.3">
      <c r="A82" s="1"/>
      <c r="M82" s="1"/>
    </row>
    <row r="83" spans="1:13" x14ac:dyDescent="0.3">
      <c r="A83" s="1"/>
      <c r="M83" s="1"/>
    </row>
    <row r="84" spans="1:13" x14ac:dyDescent="0.3">
      <c r="A84" s="1"/>
      <c r="M84" s="1"/>
    </row>
    <row r="85" spans="1:13" x14ac:dyDescent="0.3">
      <c r="A85" s="1"/>
      <c r="M85" s="1"/>
    </row>
    <row r="86" spans="1:13" x14ac:dyDescent="0.3">
      <c r="A86" s="1"/>
      <c r="M86" s="1"/>
    </row>
    <row r="87" spans="1:13" x14ac:dyDescent="0.3">
      <c r="A87" s="1"/>
      <c r="M87" s="1"/>
    </row>
    <row r="88" spans="1:13" x14ac:dyDescent="0.3">
      <c r="A88" s="1"/>
      <c r="M88" s="1"/>
    </row>
    <row r="89" spans="1:13" x14ac:dyDescent="0.3">
      <c r="A89" s="1"/>
      <c r="M89" s="1"/>
    </row>
    <row r="90" spans="1:13" x14ac:dyDescent="0.3">
      <c r="A90" s="1"/>
      <c r="M90" s="1"/>
    </row>
    <row r="91" spans="1:13" x14ac:dyDescent="0.3">
      <c r="A91" s="1"/>
      <c r="M91" s="1"/>
    </row>
    <row r="92" spans="1:13" x14ac:dyDescent="0.3">
      <c r="A92" s="1"/>
      <c r="M92" s="1"/>
    </row>
    <row r="93" spans="1:13" x14ac:dyDescent="0.3">
      <c r="A93" s="1"/>
      <c r="M93" s="1"/>
    </row>
    <row r="94" spans="1:13" x14ac:dyDescent="0.3">
      <c r="A94" s="1"/>
      <c r="M94" s="1"/>
    </row>
    <row r="95" spans="1:13" x14ac:dyDescent="0.3">
      <c r="A95" s="1"/>
      <c r="M95" s="1"/>
    </row>
    <row r="96" spans="1:13" x14ac:dyDescent="0.3">
      <c r="A96" s="1"/>
      <c r="M96" s="1"/>
    </row>
    <row r="97" spans="1:13" x14ac:dyDescent="0.3">
      <c r="A97" s="1"/>
      <c r="M97" s="1"/>
    </row>
    <row r="98" spans="1:13" x14ac:dyDescent="0.3">
      <c r="A98" s="1"/>
      <c r="M98" s="1"/>
    </row>
    <row r="99" spans="1:13" x14ac:dyDescent="0.3">
      <c r="A99" s="1"/>
      <c r="M99" s="1"/>
    </row>
    <row r="100" spans="1:13" x14ac:dyDescent="0.3">
      <c r="A100" s="1"/>
      <c r="M100" s="1"/>
    </row>
    <row r="101" spans="1:13" x14ac:dyDescent="0.3">
      <c r="A101" s="1"/>
      <c r="M101" s="1"/>
    </row>
    <row r="102" spans="1:13" x14ac:dyDescent="0.3">
      <c r="A102" s="1"/>
      <c r="M102" s="1"/>
    </row>
    <row r="103" spans="1:13" x14ac:dyDescent="0.3">
      <c r="A103" s="1"/>
      <c r="M103" s="1"/>
    </row>
    <row r="104" spans="1:13" x14ac:dyDescent="0.3">
      <c r="A104" s="1"/>
      <c r="M104" s="1"/>
    </row>
    <row r="105" spans="1:13" x14ac:dyDescent="0.3">
      <c r="A105" s="1"/>
      <c r="M105" s="1"/>
    </row>
    <row r="106" spans="1:13" x14ac:dyDescent="0.3">
      <c r="A106" s="1"/>
      <c r="M106" s="1"/>
    </row>
    <row r="107" spans="1:13" x14ac:dyDescent="0.3">
      <c r="A107" s="1"/>
      <c r="M107" s="1"/>
    </row>
    <row r="108" spans="1:13" x14ac:dyDescent="0.3">
      <c r="A108" s="1"/>
      <c r="M108" s="1"/>
    </row>
    <row r="109" spans="1:13" x14ac:dyDescent="0.3">
      <c r="A109" s="1"/>
      <c r="M109" s="1"/>
    </row>
    <row r="110" spans="1:13" x14ac:dyDescent="0.3">
      <c r="A110" s="1"/>
      <c r="M110" s="1"/>
    </row>
    <row r="111" spans="1:13" x14ac:dyDescent="0.3">
      <c r="A111" s="1"/>
      <c r="M111" s="1"/>
    </row>
    <row r="112" spans="1:13" x14ac:dyDescent="0.3">
      <c r="A112" s="1"/>
      <c r="M112" s="1"/>
    </row>
    <row r="113" spans="1:13" x14ac:dyDescent="0.3">
      <c r="A113" s="1"/>
      <c r="M113" s="1"/>
    </row>
    <row r="114" spans="1:13" x14ac:dyDescent="0.3">
      <c r="A114" s="1"/>
      <c r="M114" s="1"/>
    </row>
    <row r="115" spans="1:13" x14ac:dyDescent="0.3">
      <c r="A115" s="1"/>
      <c r="M115" s="1"/>
    </row>
    <row r="116" spans="1:13" x14ac:dyDescent="0.3">
      <c r="A116" s="1"/>
      <c r="M116" s="1"/>
    </row>
    <row r="117" spans="1:13" x14ac:dyDescent="0.3">
      <c r="A117" s="1"/>
      <c r="M117" s="1"/>
    </row>
    <row r="118" spans="1:13" x14ac:dyDescent="0.3">
      <c r="A118" s="1"/>
      <c r="M118" s="1"/>
    </row>
    <row r="119" spans="1:13" x14ac:dyDescent="0.3">
      <c r="A119" s="1"/>
      <c r="M119" s="1"/>
    </row>
    <row r="120" spans="1:13" x14ac:dyDescent="0.3">
      <c r="A120" s="1"/>
      <c r="M120" s="1"/>
    </row>
    <row r="121" spans="1:13" x14ac:dyDescent="0.3">
      <c r="A121" s="1"/>
      <c r="M121" s="1"/>
    </row>
    <row r="122" spans="1:13" x14ac:dyDescent="0.3">
      <c r="A122" s="1"/>
      <c r="B122" s="1"/>
      <c r="C122" s="1"/>
      <c r="D122" s="1"/>
      <c r="E122" s="1"/>
      <c r="F122" s="1"/>
      <c r="G122" s="1"/>
      <c r="H122" s="1"/>
      <c r="I122" s="1"/>
      <c r="J122" s="1"/>
      <c r="K122" s="1"/>
      <c r="L122" s="1"/>
      <c r="M122" s="1"/>
    </row>
    <row r="123" spans="1:13" hidden="1" x14ac:dyDescent="0.3">
      <c r="A123" s="1"/>
      <c r="M123" s="1"/>
    </row>
    <row r="124" spans="1:13" hidden="1" x14ac:dyDescent="0.3">
      <c r="A124" s="1"/>
      <c r="M124" s="1"/>
    </row>
    <row r="125" spans="1:13" hidden="1" x14ac:dyDescent="0.3">
      <c r="A125" s="1"/>
      <c r="M125" s="1"/>
    </row>
    <row r="126" spans="1:13" hidden="1" x14ac:dyDescent="0.3">
      <c r="A126" s="1"/>
      <c r="M126" s="1"/>
    </row>
    <row r="127" spans="1:13" hidden="1" x14ac:dyDescent="0.3">
      <c r="A127" s="1"/>
      <c r="M127" s="1"/>
    </row>
    <row r="128" spans="1:13" hidden="1" x14ac:dyDescent="0.3">
      <c r="A128" s="1"/>
      <c r="M128" s="1"/>
    </row>
    <row r="129" spans="1:13" hidden="1" x14ac:dyDescent="0.3">
      <c r="A129" s="1"/>
      <c r="M129" s="1"/>
    </row>
    <row r="130" spans="1:13" hidden="1" x14ac:dyDescent="0.3">
      <c r="A130" s="1"/>
      <c r="M130" s="1"/>
    </row>
    <row r="131" spans="1:13" hidden="1" x14ac:dyDescent="0.3">
      <c r="A131" s="1"/>
      <c r="M131" s="1"/>
    </row>
    <row r="132" spans="1:13" hidden="1" x14ac:dyDescent="0.3">
      <c r="A132" s="1"/>
      <c r="M132" s="1"/>
    </row>
    <row r="133" spans="1:13" hidden="1" x14ac:dyDescent="0.3">
      <c r="A133" s="1"/>
      <c r="M133" s="1"/>
    </row>
    <row r="134" spans="1:13" hidden="1" x14ac:dyDescent="0.3">
      <c r="A134" s="1"/>
      <c r="M134" s="1"/>
    </row>
    <row r="135" spans="1:13" hidden="1" x14ac:dyDescent="0.3">
      <c r="M135" s="1"/>
    </row>
    <row r="136" spans="1:13" hidden="1" x14ac:dyDescent="0.3">
      <c r="M136" s="1"/>
    </row>
    <row r="137" spans="1:13" hidden="1" x14ac:dyDescent="0.3">
      <c r="M137" s="1"/>
    </row>
    <row r="138" spans="1:13" hidden="1" x14ac:dyDescent="0.3">
      <c r="M138" s="1"/>
    </row>
    <row r="139" spans="1:13" hidden="1" x14ac:dyDescent="0.3">
      <c r="M139" s="1"/>
    </row>
    <row r="140" spans="1:13" hidden="1" x14ac:dyDescent="0.3">
      <c r="M140" s="1"/>
    </row>
    <row r="141" spans="1:13" hidden="1" x14ac:dyDescent="0.3">
      <c r="M141" s="1"/>
    </row>
    <row r="142" spans="1:13" hidden="1" x14ac:dyDescent="0.3">
      <c r="M142" s="1"/>
    </row>
    <row r="143" spans="1:13" hidden="1" x14ac:dyDescent="0.3">
      <c r="M143" s="1"/>
    </row>
    <row r="144" spans="1:13" hidden="1" x14ac:dyDescent="0.3">
      <c r="M144" s="1"/>
    </row>
    <row r="145" spans="13:13" hidden="1" x14ac:dyDescent="0.3">
      <c r="M145" s="1"/>
    </row>
    <row r="146" spans="13:13" hidden="1" x14ac:dyDescent="0.3">
      <c r="M146" s="1"/>
    </row>
    <row r="147" spans="13:13" hidden="1" x14ac:dyDescent="0.3">
      <c r="M147" s="1"/>
    </row>
    <row r="148" spans="13:13" hidden="1" x14ac:dyDescent="0.3">
      <c r="M148" s="1"/>
    </row>
    <row r="149" spans="13:13" hidden="1" x14ac:dyDescent="0.3">
      <c r="M149" s="1"/>
    </row>
    <row r="150" spans="13:13" hidden="1" x14ac:dyDescent="0.3">
      <c r="M150" s="1"/>
    </row>
    <row r="151" spans="13:13" hidden="1" x14ac:dyDescent="0.3">
      <c r="M151" s="1"/>
    </row>
    <row r="152" spans="13:13" hidden="1" x14ac:dyDescent="0.3">
      <c r="M152" s="1"/>
    </row>
    <row r="153" spans="13:13" hidden="1" x14ac:dyDescent="0.3">
      <c r="M153" s="1"/>
    </row>
    <row r="154" spans="13:13" hidden="1" x14ac:dyDescent="0.3">
      <c r="M154" s="1"/>
    </row>
    <row r="155" spans="13:13" hidden="1" x14ac:dyDescent="0.3">
      <c r="M155" s="1"/>
    </row>
    <row r="156" spans="13:13" hidden="1" x14ac:dyDescent="0.3">
      <c r="M156" s="1"/>
    </row>
    <row r="157" spans="13:13" hidden="1" x14ac:dyDescent="0.3">
      <c r="M157" s="1"/>
    </row>
    <row r="158" spans="13:13" hidden="1" x14ac:dyDescent="0.3">
      <c r="M158" s="1"/>
    </row>
    <row r="159" spans="13:13" hidden="1" x14ac:dyDescent="0.3">
      <c r="M159" s="1"/>
    </row>
    <row r="160" spans="13:13" hidden="1" x14ac:dyDescent="0.3">
      <c r="M160" s="1"/>
    </row>
    <row r="161" spans="13:13" hidden="1" x14ac:dyDescent="0.3">
      <c r="M161" s="1"/>
    </row>
    <row r="162" spans="13:13" hidden="1" x14ac:dyDescent="0.3">
      <c r="M162" s="1"/>
    </row>
    <row r="163" spans="13:13" hidden="1" x14ac:dyDescent="0.3">
      <c r="M163" s="1"/>
    </row>
    <row r="164" spans="13:13" hidden="1" x14ac:dyDescent="0.3">
      <c r="M164" s="1"/>
    </row>
    <row r="165" spans="13:13" hidden="1" x14ac:dyDescent="0.3">
      <c r="M165" s="1"/>
    </row>
    <row r="166" spans="13:13" hidden="1" x14ac:dyDescent="0.3">
      <c r="M166" s="1"/>
    </row>
    <row r="167" spans="13:13" hidden="1" x14ac:dyDescent="0.3">
      <c r="M167" s="1"/>
    </row>
    <row r="168" spans="13:13" hidden="1" x14ac:dyDescent="0.3">
      <c r="M168" s="1"/>
    </row>
    <row r="169" spans="13:13" hidden="1" x14ac:dyDescent="0.3">
      <c r="M169" s="1"/>
    </row>
    <row r="170" spans="13:13" hidden="1" x14ac:dyDescent="0.3">
      <c r="M170" s="1"/>
    </row>
    <row r="171" spans="13:13" hidden="1" x14ac:dyDescent="0.3">
      <c r="M171" s="1"/>
    </row>
    <row r="172" spans="13:13" hidden="1" x14ac:dyDescent="0.3">
      <c r="M172" s="1"/>
    </row>
    <row r="173" spans="13:13" hidden="1" x14ac:dyDescent="0.3">
      <c r="M173" s="1"/>
    </row>
    <row r="174" spans="13:13" hidden="1" x14ac:dyDescent="0.3">
      <c r="M174" s="1"/>
    </row>
    <row r="175" spans="13:13" hidden="1" x14ac:dyDescent="0.3">
      <c r="M175" s="1"/>
    </row>
    <row r="176" spans="13:13" hidden="1" x14ac:dyDescent="0.3">
      <c r="M176" s="1"/>
    </row>
    <row r="177" spans="13:13" hidden="1" x14ac:dyDescent="0.3">
      <c r="M177" s="1"/>
    </row>
    <row r="178" spans="13:13" hidden="1" x14ac:dyDescent="0.3">
      <c r="M178" s="1"/>
    </row>
    <row r="179" spans="13:13" hidden="1" x14ac:dyDescent="0.3">
      <c r="M179" s="1"/>
    </row>
    <row r="180" spans="13:13" hidden="1" x14ac:dyDescent="0.3">
      <c r="M180" s="1"/>
    </row>
    <row r="181" spans="13:13" hidden="1" x14ac:dyDescent="0.3">
      <c r="M181" s="1"/>
    </row>
    <row r="182" spans="13:13" hidden="1" x14ac:dyDescent="0.3">
      <c r="M182" s="1"/>
    </row>
    <row r="183" spans="13:13" hidden="1" x14ac:dyDescent="0.3">
      <c r="M183" s="1"/>
    </row>
    <row r="184" spans="13:13" hidden="1" x14ac:dyDescent="0.3">
      <c r="M184" s="1"/>
    </row>
    <row r="185" spans="13:13" hidden="1" x14ac:dyDescent="0.3">
      <c r="M185" s="1"/>
    </row>
    <row r="186" spans="13:13" hidden="1" x14ac:dyDescent="0.3">
      <c r="M186" s="1"/>
    </row>
    <row r="187" spans="13:13" hidden="1" x14ac:dyDescent="0.3">
      <c r="M187" s="1"/>
    </row>
    <row r="188" spans="13:13" hidden="1" x14ac:dyDescent="0.3">
      <c r="M188" s="1"/>
    </row>
    <row r="189" spans="13:13" hidden="1" x14ac:dyDescent="0.3">
      <c r="M189" s="1"/>
    </row>
    <row r="190" spans="13:13" hidden="1" x14ac:dyDescent="0.3">
      <c r="M190" s="1"/>
    </row>
    <row r="191" spans="13:13" hidden="1" x14ac:dyDescent="0.3">
      <c r="M191" s="1"/>
    </row>
    <row r="192" spans="13:13" hidden="1" x14ac:dyDescent="0.3">
      <c r="M192" s="1"/>
    </row>
    <row r="193" spans="13:13" hidden="1" x14ac:dyDescent="0.3">
      <c r="M193" s="1"/>
    </row>
    <row r="194" spans="13:13" hidden="1" x14ac:dyDescent="0.3">
      <c r="M194" s="1"/>
    </row>
    <row r="195" spans="13:13" hidden="1" x14ac:dyDescent="0.3">
      <c r="M195" s="1"/>
    </row>
    <row r="196" spans="13:13" hidden="1" x14ac:dyDescent="0.3">
      <c r="M196" s="1"/>
    </row>
    <row r="197" spans="13:13" hidden="1" x14ac:dyDescent="0.3">
      <c r="M197" s="1"/>
    </row>
    <row r="198" spans="13:13" hidden="1" x14ac:dyDescent="0.3">
      <c r="M198" s="1"/>
    </row>
    <row r="199" spans="13:13" hidden="1" x14ac:dyDescent="0.3">
      <c r="M199" s="1"/>
    </row>
    <row r="200" spans="13:13" hidden="1" x14ac:dyDescent="0.3">
      <c r="M200" s="1"/>
    </row>
    <row r="201" spans="13:13" hidden="1" x14ac:dyDescent="0.3">
      <c r="M201" s="1"/>
    </row>
    <row r="202" spans="13:13" hidden="1" x14ac:dyDescent="0.3">
      <c r="M202" s="1"/>
    </row>
    <row r="203" spans="13:13" hidden="1" x14ac:dyDescent="0.3">
      <c r="M203" s="1"/>
    </row>
    <row r="204" spans="13:13" hidden="1" x14ac:dyDescent="0.3">
      <c r="M204" s="1"/>
    </row>
    <row r="205" spans="13:13" hidden="1" x14ac:dyDescent="0.3">
      <c r="M205" s="1"/>
    </row>
    <row r="206" spans="13:13" hidden="1" x14ac:dyDescent="0.3">
      <c r="M206" s="1"/>
    </row>
    <row r="207" spans="13:13" hidden="1" x14ac:dyDescent="0.3">
      <c r="M207" s="1"/>
    </row>
    <row r="208" spans="13:13" hidden="1" x14ac:dyDescent="0.3">
      <c r="M208" s="1"/>
    </row>
    <row r="209" spans="13:13" hidden="1" x14ac:dyDescent="0.3">
      <c r="M209" s="1"/>
    </row>
    <row r="210" spans="13:13" hidden="1" x14ac:dyDescent="0.3">
      <c r="M210" s="1"/>
    </row>
    <row r="211" spans="13:13" hidden="1" x14ac:dyDescent="0.3">
      <c r="M211" s="1"/>
    </row>
    <row r="212" spans="13:13" hidden="1" x14ac:dyDescent="0.3">
      <c r="M212" s="1"/>
    </row>
    <row r="213" spans="13:13" hidden="1" x14ac:dyDescent="0.3">
      <c r="M213" s="1"/>
    </row>
    <row r="214" spans="13:13" hidden="1" x14ac:dyDescent="0.3">
      <c r="M214" s="1"/>
    </row>
    <row r="215" spans="13:13" hidden="1" x14ac:dyDescent="0.3">
      <c r="M215" s="1"/>
    </row>
    <row r="216" spans="13:13" hidden="1" x14ac:dyDescent="0.3">
      <c r="M216" s="1"/>
    </row>
    <row r="217" spans="13:13" hidden="1" x14ac:dyDescent="0.3">
      <c r="M217" s="1"/>
    </row>
    <row r="218" spans="13:13" hidden="1" x14ac:dyDescent="0.3">
      <c r="M218" s="1"/>
    </row>
    <row r="219" spans="13:13" hidden="1" x14ac:dyDescent="0.3">
      <c r="M219" s="1"/>
    </row>
    <row r="220" spans="13:13" hidden="1" x14ac:dyDescent="0.3">
      <c r="M220" s="1"/>
    </row>
    <row r="221" spans="13:13" hidden="1" x14ac:dyDescent="0.3">
      <c r="M221" s="1"/>
    </row>
    <row r="222" spans="13:13" hidden="1" x14ac:dyDescent="0.3">
      <c r="M222" s="1"/>
    </row>
    <row r="223" spans="13:13" hidden="1" x14ac:dyDescent="0.3">
      <c r="M223" s="1"/>
    </row>
    <row r="224" spans="13:13" hidden="1" x14ac:dyDescent="0.3">
      <c r="M224" s="1"/>
    </row>
    <row r="225" spans="13:13" hidden="1" x14ac:dyDescent="0.3">
      <c r="M225" s="1"/>
    </row>
    <row r="226" spans="13:13" hidden="1" x14ac:dyDescent="0.3">
      <c r="M226" s="1"/>
    </row>
    <row r="227" spans="13:13" hidden="1" x14ac:dyDescent="0.3">
      <c r="M227" s="1"/>
    </row>
    <row r="228" spans="13:13" hidden="1" x14ac:dyDescent="0.3">
      <c r="M228" s="1"/>
    </row>
    <row r="229" spans="13:13" hidden="1" x14ac:dyDescent="0.3">
      <c r="M229" s="1"/>
    </row>
    <row r="230" spans="13:13" hidden="1" x14ac:dyDescent="0.3">
      <c r="M230" s="1"/>
    </row>
    <row r="231" spans="13:13" hidden="1" x14ac:dyDescent="0.3">
      <c r="M231" s="1"/>
    </row>
    <row r="232" spans="13:13" hidden="1" x14ac:dyDescent="0.3">
      <c r="M232" s="1"/>
    </row>
    <row r="233" spans="13:13" hidden="1" x14ac:dyDescent="0.3">
      <c r="M233" s="1"/>
    </row>
    <row r="234" spans="13:13" hidden="1" x14ac:dyDescent="0.3">
      <c r="M234" s="1"/>
    </row>
    <row r="235" spans="13:13" hidden="1" x14ac:dyDescent="0.3">
      <c r="M235" s="1"/>
    </row>
  </sheetData>
  <mergeCells count="30">
    <mergeCell ref="I31:I33"/>
    <mergeCell ref="D2:L4"/>
    <mergeCell ref="C19:I19"/>
    <mergeCell ref="C20:D20"/>
    <mergeCell ref="C21:D21"/>
    <mergeCell ref="C18:D18"/>
    <mergeCell ref="I7:I8"/>
    <mergeCell ref="C15:D15"/>
    <mergeCell ref="C9:I9"/>
    <mergeCell ref="C16:I16"/>
    <mergeCell ref="C13:D13"/>
    <mergeCell ref="C14:D14"/>
    <mergeCell ref="C17:D17"/>
    <mergeCell ref="C10:D10"/>
    <mergeCell ref="C11:D11"/>
    <mergeCell ref="C12:D12"/>
    <mergeCell ref="E7:F7"/>
    <mergeCell ref="G7:H7"/>
    <mergeCell ref="G31:G33"/>
    <mergeCell ref="C31:D31"/>
    <mergeCell ref="C32:D32"/>
    <mergeCell ref="C33:D33"/>
    <mergeCell ref="C22:D22"/>
    <mergeCell ref="C23:D23"/>
    <mergeCell ref="C30:D30"/>
    <mergeCell ref="C36:D36"/>
    <mergeCell ref="C37:D37"/>
    <mergeCell ref="G37:G39"/>
    <mergeCell ref="C38:D38"/>
    <mergeCell ref="C39:D39"/>
  </mergeCells>
  <pageMargins left="0.511811024" right="0.511811024" top="0.78740157499999996" bottom="0.78740157499999996" header="0.31496062000000002" footer="0.31496062000000002"/>
  <pageSetup paperSize="9" orientation="portrait" horizontalDpi="4294967295" verticalDpi="4294967295" r:id="rId1"/>
  <ignoredErrors>
    <ignoredError sqref="G10 G11:G15 G17:G18"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5">
    <tabColor theme="8"/>
  </sheetPr>
  <dimension ref="A1:R101"/>
  <sheetViews>
    <sheetView showGridLines="0" zoomScaleNormal="100" workbookViewId="0">
      <selection activeCell="A2" sqref="A2"/>
    </sheetView>
  </sheetViews>
  <sheetFormatPr defaultColWidth="0" defaultRowHeight="14.4" zeroHeight="1" x14ac:dyDescent="0.3"/>
  <cols>
    <col min="1" max="1" width="24.109375" customWidth="1"/>
    <col min="2" max="2" width="26.33203125" bestFit="1" customWidth="1"/>
    <col min="3" max="3" width="29.6640625" bestFit="1" customWidth="1"/>
    <col min="4" max="4" width="14.5546875" bestFit="1" customWidth="1"/>
    <col min="5" max="5" width="19.5546875" bestFit="1" customWidth="1"/>
    <col min="6" max="6" width="9" bestFit="1" customWidth="1"/>
    <col min="7" max="7" width="36.88671875" bestFit="1" customWidth="1"/>
    <col min="8" max="8" width="11" bestFit="1" customWidth="1"/>
    <col min="9" max="9" width="32.33203125" bestFit="1" customWidth="1"/>
    <col min="10" max="10" width="12" bestFit="1" customWidth="1"/>
    <col min="11" max="11" width="32.33203125" bestFit="1" customWidth="1"/>
    <col min="12" max="12" width="8.5546875" bestFit="1" customWidth="1"/>
    <col min="13" max="13" width="24.33203125" bestFit="1" customWidth="1"/>
    <col min="14" max="14" width="8.5546875" bestFit="1" customWidth="1"/>
    <col min="15" max="18" width="9.109375" customWidth="1"/>
    <col min="19" max="16384" width="9.109375" hidden="1"/>
  </cols>
  <sheetData>
    <row r="1" spans="1:18" x14ac:dyDescent="0.3">
      <c r="A1" s="1"/>
      <c r="B1" s="1"/>
      <c r="C1" s="1"/>
      <c r="D1" s="1"/>
      <c r="E1" s="1"/>
      <c r="F1" s="1"/>
      <c r="G1" s="1"/>
      <c r="H1" s="1"/>
      <c r="I1" s="1"/>
      <c r="J1" s="1"/>
      <c r="K1" s="1"/>
      <c r="L1" s="1"/>
      <c r="M1" s="1"/>
      <c r="N1" s="1"/>
      <c r="O1" s="1"/>
      <c r="P1" s="1"/>
      <c r="Q1" s="1"/>
      <c r="R1" s="1"/>
    </row>
    <row r="2" spans="1:18" x14ac:dyDescent="0.3">
      <c r="A2" s="1"/>
      <c r="R2" s="1"/>
    </row>
    <row r="3" spans="1:18" x14ac:dyDescent="0.3">
      <c r="A3" s="1"/>
      <c r="R3" s="1"/>
    </row>
    <row r="4" spans="1:18" x14ac:dyDescent="0.3">
      <c r="A4" s="1"/>
      <c r="R4" s="1"/>
    </row>
    <row r="5" spans="1:18" x14ac:dyDescent="0.3">
      <c r="A5" s="1"/>
      <c r="R5" s="1"/>
    </row>
    <row r="6" spans="1:18" x14ac:dyDescent="0.3">
      <c r="A6" s="1"/>
      <c r="R6" s="1"/>
    </row>
    <row r="7" spans="1:18" ht="18.600000000000001" thickBot="1" x14ac:dyDescent="0.4">
      <c r="A7" s="1"/>
      <c r="B7" s="64" t="s">
        <v>317</v>
      </c>
      <c r="R7" s="1"/>
    </row>
    <row r="8" spans="1:18" ht="16.2" thickBot="1" x14ac:dyDescent="0.35">
      <c r="A8" s="1"/>
      <c r="C8" s="104" t="s">
        <v>318</v>
      </c>
      <c r="D8" s="131">
        <v>1</v>
      </c>
      <c r="R8" s="1"/>
    </row>
    <row r="9" spans="1:18" x14ac:dyDescent="0.3">
      <c r="A9" s="1"/>
      <c r="R9" s="1"/>
    </row>
    <row r="10" spans="1:18" x14ac:dyDescent="0.3">
      <c r="A10" s="1"/>
      <c r="C10" s="65" t="s">
        <v>234</v>
      </c>
      <c r="D10" s="65" t="s">
        <v>319</v>
      </c>
      <c r="R10" s="1"/>
    </row>
    <row r="11" spans="1:18" x14ac:dyDescent="0.3">
      <c r="A11" s="1"/>
      <c r="B11" t="s">
        <v>320</v>
      </c>
      <c r="C11" s="133">
        <f>H77</f>
        <v>3.5028181041844575E-2</v>
      </c>
      <c r="D11" s="133">
        <f>H34</f>
        <v>4.189632611977856E-2</v>
      </c>
      <c r="R11" s="1"/>
    </row>
    <row r="12" spans="1:18" x14ac:dyDescent="0.3">
      <c r="A12" s="1"/>
      <c r="B12" t="s">
        <v>321</v>
      </c>
      <c r="C12" s="133">
        <f>J66+J83</f>
        <v>4.1479245089666952E-2</v>
      </c>
      <c r="D12" s="133">
        <f>J23+J40</f>
        <v>4.6407524911927525E-2</v>
      </c>
      <c r="R12" s="1"/>
    </row>
    <row r="13" spans="1:18" x14ac:dyDescent="0.3">
      <c r="A13" s="1"/>
      <c r="R13" s="1"/>
    </row>
    <row r="14" spans="1:18" x14ac:dyDescent="0.3">
      <c r="A14" s="1"/>
      <c r="B14" t="s">
        <v>322</v>
      </c>
      <c r="C14" s="133">
        <f>N60+N77</f>
        <v>9.6071967717450898E-3</v>
      </c>
      <c r="D14" s="133">
        <f>N17+N34</f>
        <v>8.9756471478398027E-3</v>
      </c>
      <c r="R14" s="1"/>
    </row>
    <row r="15" spans="1:18" x14ac:dyDescent="0.3">
      <c r="A15" s="1"/>
      <c r="B15" t="s">
        <v>323</v>
      </c>
      <c r="C15" s="133">
        <f>N65+N82</f>
        <v>2.0775143456341055E-3</v>
      </c>
      <c r="D15" s="133">
        <f>N23+N39</f>
        <v>2.2993384524303676E-3</v>
      </c>
      <c r="R15" s="1"/>
    </row>
    <row r="16" spans="1:18" ht="15" thickBot="1" x14ac:dyDescent="0.35">
      <c r="A16" s="1"/>
      <c r="C16" s="132"/>
      <c r="D16" s="132"/>
      <c r="R16" s="1"/>
    </row>
    <row r="17" spans="1:18" ht="15" thickBot="1" x14ac:dyDescent="0.35">
      <c r="A17" s="1"/>
      <c r="C17" s="101"/>
      <c r="D17" s="101"/>
      <c r="M17" t="s">
        <v>330</v>
      </c>
      <c r="N17" s="96">
        <f>L20*N18</f>
        <v>5.1959039677330959E-3</v>
      </c>
      <c r="R17" s="1"/>
    </row>
    <row r="18" spans="1:18" x14ac:dyDescent="0.3">
      <c r="A18" s="1"/>
      <c r="B18" t="s">
        <v>324</v>
      </c>
      <c r="C18" s="310">
        <f>F79</f>
        <v>334.85723488508688</v>
      </c>
      <c r="D18" s="310">
        <f>F36</f>
        <v>101.29847098277725</v>
      </c>
      <c r="M18" s="58" t="s">
        <v>329</v>
      </c>
      <c r="N18" s="59">
        <f>p_cancerInv_M</f>
        <v>0.79457917259999999</v>
      </c>
      <c r="R18" s="1"/>
    </row>
    <row r="19" spans="1:18" ht="15" thickBot="1" x14ac:dyDescent="0.35">
      <c r="A19" s="1"/>
      <c r="B19" s="10" t="s">
        <v>325</v>
      </c>
      <c r="C19" s="323">
        <f>SUM(C18:C18)</f>
        <v>334.85723488508688</v>
      </c>
      <c r="D19" s="323">
        <f>SUM(D18:D18)</f>
        <v>101.29847098277725</v>
      </c>
      <c r="M19" s="7"/>
      <c r="R19" s="1"/>
    </row>
    <row r="20" spans="1:18" ht="15" thickBot="1" x14ac:dyDescent="0.35">
      <c r="A20" s="1"/>
      <c r="K20" t="s">
        <v>328</v>
      </c>
      <c r="L20" s="96">
        <f>J23*L21</f>
        <v>6.5391897332662298E-3</v>
      </c>
      <c r="R20" s="1"/>
    </row>
    <row r="21" spans="1:18" x14ac:dyDescent="0.3">
      <c r="A21" s="1"/>
      <c r="K21" s="58" t="s">
        <v>329</v>
      </c>
      <c r="L21" s="94">
        <f>p_cancer_M</f>
        <v>0.32269638643983606</v>
      </c>
      <c r="M21" s="7"/>
      <c r="R21" s="1"/>
    </row>
    <row r="22" spans="1:18" ht="15" thickBot="1" x14ac:dyDescent="0.35">
      <c r="A22" s="1"/>
      <c r="K22" s="7"/>
      <c r="M22" s="7"/>
      <c r="R22" s="1"/>
    </row>
    <row r="23" spans="1:18" ht="15" thickBot="1" x14ac:dyDescent="0.35">
      <c r="A23" s="1"/>
      <c r="G23" t="s">
        <v>327</v>
      </c>
      <c r="J23" s="96">
        <f>F35*H25</f>
        <v>2.0264217413185705E-2</v>
      </c>
      <c r="M23" s="8" t="s">
        <v>331</v>
      </c>
      <c r="N23" s="96">
        <f>L20*N24</f>
        <v>1.3432857655331343E-3</v>
      </c>
      <c r="R23" s="1"/>
    </row>
    <row r="24" spans="1:18" x14ac:dyDescent="0.3">
      <c r="A24" s="1"/>
      <c r="C24" s="128"/>
      <c r="D24" s="128"/>
      <c r="G24" s="66" t="s">
        <v>338</v>
      </c>
      <c r="H24" s="10"/>
      <c r="I24" s="10"/>
      <c r="J24" s="11"/>
      <c r="K24" s="7"/>
      <c r="M24" s="55" t="s">
        <v>329</v>
      </c>
      <c r="N24" s="61">
        <f>1-p_cancerInv_M</f>
        <v>0.20542082740000001</v>
      </c>
      <c r="R24" s="1"/>
    </row>
    <row r="25" spans="1:18" ht="15" thickBot="1" x14ac:dyDescent="0.35">
      <c r="A25" s="1"/>
      <c r="C25" s="117"/>
      <c r="D25" s="117"/>
      <c r="G25" s="54" t="s">
        <v>329</v>
      </c>
      <c r="H25" s="59">
        <f>p_biopsia_M</f>
        <v>2.0264217413185705E-2</v>
      </c>
      <c r="K25" s="7"/>
      <c r="M25" s="55"/>
      <c r="N25" s="59"/>
      <c r="R25" s="1"/>
    </row>
    <row r="26" spans="1:18" ht="15" thickBot="1" x14ac:dyDescent="0.35">
      <c r="A26" s="1"/>
      <c r="G26" s="86" t="s">
        <v>336</v>
      </c>
      <c r="H26" s="324">
        <f>c_biopsia*J23</f>
        <v>6.690045991264026</v>
      </c>
      <c r="K26" s="8" t="s">
        <v>332</v>
      </c>
      <c r="N26" s="96">
        <f>J23*L28</f>
        <v>1.3725027679919477E-2</v>
      </c>
      <c r="R26" s="1"/>
    </row>
    <row r="27" spans="1:18" x14ac:dyDescent="0.3">
      <c r="A27" s="1"/>
      <c r="G27" s="7"/>
      <c r="K27" s="88" t="s">
        <v>333</v>
      </c>
      <c r="L27" s="10"/>
      <c r="M27" s="10"/>
      <c r="N27" s="10"/>
      <c r="R27" s="1"/>
    </row>
    <row r="28" spans="1:18" x14ac:dyDescent="0.3">
      <c r="A28" s="1"/>
      <c r="G28" s="7"/>
      <c r="K28" s="55" t="s">
        <v>329</v>
      </c>
      <c r="L28" s="59">
        <f>1-L21</f>
        <v>0.677303613560164</v>
      </c>
      <c r="R28" s="1"/>
    </row>
    <row r="29" spans="1:18" ht="15" thickBot="1" x14ac:dyDescent="0.35">
      <c r="A29" s="1"/>
      <c r="G29" s="7"/>
      <c r="R29" s="1"/>
    </row>
    <row r="30" spans="1:18" ht="15" thickBot="1" x14ac:dyDescent="0.35">
      <c r="A30" s="1"/>
      <c r="G30" s="7"/>
      <c r="I30" t="s">
        <v>332</v>
      </c>
      <c r="N30" s="96">
        <f>H34*J32</f>
        <v>1.575301862103674E-2</v>
      </c>
      <c r="R30" s="1"/>
    </row>
    <row r="31" spans="1:18" x14ac:dyDescent="0.3">
      <c r="A31" s="1"/>
      <c r="G31" s="7"/>
      <c r="I31" s="87" t="s">
        <v>333</v>
      </c>
      <c r="J31" s="10"/>
      <c r="K31" s="10"/>
      <c r="L31" s="10"/>
      <c r="M31" s="10"/>
      <c r="N31" s="10"/>
      <c r="R31" s="1"/>
    </row>
    <row r="32" spans="1:18" x14ac:dyDescent="0.3">
      <c r="A32" s="1"/>
      <c r="G32" s="7"/>
      <c r="I32" s="54" t="s">
        <v>329</v>
      </c>
      <c r="J32" s="59">
        <f>1-J42</f>
        <v>0.376</v>
      </c>
      <c r="R32" s="1"/>
    </row>
    <row r="33" spans="1:18" ht="15" thickBot="1" x14ac:dyDescent="0.35">
      <c r="A33" s="1"/>
      <c r="G33" s="7"/>
      <c r="I33" s="92"/>
      <c r="R33" s="1"/>
    </row>
    <row r="34" spans="1:18" ht="15" thickBot="1" x14ac:dyDescent="0.35">
      <c r="A34" s="1"/>
      <c r="E34" s="6" t="s">
        <v>319</v>
      </c>
      <c r="F34" s="6"/>
      <c r="G34" s="8" t="s">
        <v>334</v>
      </c>
      <c r="H34" s="96">
        <f>F35*H36</f>
        <v>4.189632611977856E-2</v>
      </c>
      <c r="I34" s="7"/>
      <c r="M34" t="s">
        <v>330</v>
      </c>
      <c r="N34" s="96">
        <f>L37*N35</f>
        <v>3.7797431801067077E-3</v>
      </c>
      <c r="R34" s="1"/>
    </row>
    <row r="35" spans="1:18" x14ac:dyDescent="0.3">
      <c r="A35" s="1"/>
      <c r="E35" s="54" t="s">
        <v>329</v>
      </c>
      <c r="F35" s="57">
        <f>D58</f>
        <v>1</v>
      </c>
      <c r="G35" s="89" t="s">
        <v>335</v>
      </c>
      <c r="H35" s="9"/>
      <c r="I35" s="7"/>
      <c r="M35" s="58" t="s">
        <v>329</v>
      </c>
      <c r="N35" s="59">
        <f>p_cancerInv_US</f>
        <v>0.79812206569999999</v>
      </c>
      <c r="R35" s="1"/>
    </row>
    <row r="36" spans="1:18" ht="15" thickBot="1" x14ac:dyDescent="0.35">
      <c r="A36" s="1"/>
      <c r="E36" s="86" t="s">
        <v>336</v>
      </c>
      <c r="F36" s="324">
        <f>c_mamog*F35</f>
        <v>101.29847098277725</v>
      </c>
      <c r="G36" s="54" t="s">
        <v>329</v>
      </c>
      <c r="H36" s="59">
        <f>p_recall_M</f>
        <v>4.189632611977856E-2</v>
      </c>
      <c r="I36" s="7"/>
      <c r="M36" s="54"/>
      <c r="N36" s="59"/>
      <c r="R36" s="1"/>
    </row>
    <row r="37" spans="1:18" ht="15" thickBot="1" x14ac:dyDescent="0.35">
      <c r="A37" s="1"/>
      <c r="E37" s="54"/>
      <c r="F37" s="57"/>
      <c r="G37" s="86" t="s">
        <v>336</v>
      </c>
      <c r="H37" s="324">
        <f>c_reconv*H34</f>
        <v>2.7210218689619472</v>
      </c>
      <c r="I37" s="7"/>
      <c r="K37" t="s">
        <v>328</v>
      </c>
      <c r="L37" s="96">
        <f>J40*L38</f>
        <v>4.735795867003941E-3</v>
      </c>
      <c r="R37" s="1"/>
    </row>
    <row r="38" spans="1:18" ht="15" thickBot="1" x14ac:dyDescent="0.35">
      <c r="A38" s="1"/>
      <c r="E38" s="54"/>
      <c r="F38" s="57"/>
      <c r="G38" s="54"/>
      <c r="H38" s="59"/>
      <c r="I38" s="7"/>
      <c r="K38" s="58" t="s">
        <v>329</v>
      </c>
      <c r="L38" s="60">
        <f>p_cancer_US</f>
        <v>0.181147541</v>
      </c>
      <c r="M38" s="7"/>
      <c r="R38" s="1"/>
    </row>
    <row r="39" spans="1:18" ht="15" thickBot="1" x14ac:dyDescent="0.35">
      <c r="A39" s="1"/>
      <c r="E39" s="7"/>
      <c r="G39" s="7"/>
      <c r="I39" s="7"/>
      <c r="K39" s="7"/>
      <c r="M39" s="8" t="s">
        <v>331</v>
      </c>
      <c r="N39" s="96">
        <f>L37*N40</f>
        <v>9.560526868972332E-4</v>
      </c>
      <c r="R39" s="1"/>
    </row>
    <row r="40" spans="1:18" ht="15" thickBot="1" x14ac:dyDescent="0.35">
      <c r="A40" s="1"/>
      <c r="E40" s="7"/>
      <c r="G40" s="7"/>
      <c r="I40" s="8" t="s">
        <v>337</v>
      </c>
      <c r="J40" s="96">
        <f>H34*J42</f>
        <v>2.614330749874182E-2</v>
      </c>
      <c r="K40" s="7"/>
      <c r="M40" s="55" t="s">
        <v>329</v>
      </c>
      <c r="N40" s="61">
        <f>1-N35</f>
        <v>0.20187793430000001</v>
      </c>
      <c r="R40" s="1"/>
    </row>
    <row r="41" spans="1:18" x14ac:dyDescent="0.3">
      <c r="A41" s="1"/>
      <c r="E41" s="7"/>
      <c r="G41" s="7"/>
      <c r="I41" s="67" t="s">
        <v>338</v>
      </c>
      <c r="J41" s="10"/>
      <c r="K41" s="7"/>
      <c r="M41" s="55"/>
      <c r="N41" s="59"/>
      <c r="R41" s="1"/>
    </row>
    <row r="42" spans="1:18" ht="15" thickBot="1" x14ac:dyDescent="0.35">
      <c r="A42" s="1"/>
      <c r="E42" s="7"/>
      <c r="G42" s="7"/>
      <c r="I42" s="55" t="s">
        <v>329</v>
      </c>
      <c r="J42" s="57">
        <f>p_biopsia_US_mamog</f>
        <v>0.624</v>
      </c>
      <c r="K42" s="7"/>
      <c r="M42" s="55"/>
      <c r="N42" s="59"/>
      <c r="R42" s="1"/>
    </row>
    <row r="43" spans="1:18" ht="15" thickBot="1" x14ac:dyDescent="0.35">
      <c r="A43" s="1"/>
      <c r="E43" s="7"/>
      <c r="G43" s="7"/>
      <c r="I43" s="106" t="s">
        <v>336</v>
      </c>
      <c r="J43" s="324">
        <f>c_biopsia*J40</f>
        <v>8.6309737980078616</v>
      </c>
      <c r="K43" s="8" t="s">
        <v>332</v>
      </c>
      <c r="N43" s="96">
        <f>J40*L45</f>
        <v>2.1407511631737878E-2</v>
      </c>
      <c r="R43" s="1"/>
    </row>
    <row r="44" spans="1:18" x14ac:dyDescent="0.3">
      <c r="A44" s="1"/>
      <c r="E44" s="7"/>
      <c r="G44" s="7"/>
      <c r="K44" s="88" t="s">
        <v>333</v>
      </c>
      <c r="L44" s="10"/>
      <c r="M44" s="10"/>
      <c r="N44" s="10"/>
      <c r="R44" s="1"/>
    </row>
    <row r="45" spans="1:18" x14ac:dyDescent="0.3">
      <c r="A45" s="1"/>
      <c r="E45" s="7"/>
      <c r="G45" s="7"/>
      <c r="K45" s="55" t="s">
        <v>329</v>
      </c>
      <c r="L45" s="59">
        <f>1-L38</f>
        <v>0.81885245900000003</v>
      </c>
      <c r="R45" s="1"/>
    </row>
    <row r="46" spans="1:18" x14ac:dyDescent="0.3">
      <c r="A46" s="1"/>
      <c r="E46" s="7"/>
      <c r="G46" s="7"/>
      <c r="R46" s="1"/>
    </row>
    <row r="47" spans="1:18" ht="15" thickBot="1" x14ac:dyDescent="0.35">
      <c r="A47" s="1"/>
      <c r="E47" s="7"/>
      <c r="G47" s="7"/>
      <c r="R47" s="1"/>
    </row>
    <row r="48" spans="1:18" ht="15" thickBot="1" x14ac:dyDescent="0.35">
      <c r="A48" s="1"/>
      <c r="E48" s="7"/>
      <c r="G48" s="7"/>
      <c r="I48" t="s">
        <v>340</v>
      </c>
      <c r="J48" s="96">
        <f>H51*J49</f>
        <v>1.8756789129340714E-3</v>
      </c>
      <c r="R48" s="1"/>
    </row>
    <row r="49" spans="1:18" x14ac:dyDescent="0.3">
      <c r="A49" s="1"/>
      <c r="E49" s="7"/>
      <c r="G49" s="7"/>
      <c r="I49" s="58" t="s">
        <v>329</v>
      </c>
      <c r="J49" s="61">
        <f>p_cIntervalo_M</f>
        <v>2E-3</v>
      </c>
      <c r="R49" s="1"/>
    </row>
    <row r="50" spans="1:18" ht="15" thickBot="1" x14ac:dyDescent="0.35">
      <c r="A50" s="1"/>
      <c r="E50" s="7"/>
      <c r="G50" s="7"/>
      <c r="I50" s="54"/>
      <c r="J50" s="59"/>
      <c r="R50" s="1"/>
    </row>
    <row r="51" spans="1:18" ht="15" thickBot="1" x14ac:dyDescent="0.35">
      <c r="A51" s="1"/>
      <c r="E51" s="7"/>
      <c r="G51" s="8" t="s">
        <v>339</v>
      </c>
      <c r="H51" s="95">
        <f>F35*H52</f>
        <v>0.9378394564670357</v>
      </c>
      <c r="R51" s="1"/>
    </row>
    <row r="52" spans="1:18" ht="15" thickBot="1" x14ac:dyDescent="0.35">
      <c r="A52" s="1"/>
      <c r="E52" s="7"/>
      <c r="G52" s="85" t="s">
        <v>329</v>
      </c>
      <c r="H52" s="94">
        <f>1-(H36+H25)</f>
        <v>0.9378394564670357</v>
      </c>
      <c r="I52" s="7"/>
      <c r="R52" s="1"/>
    </row>
    <row r="53" spans="1:18" ht="15" thickBot="1" x14ac:dyDescent="0.35">
      <c r="A53" s="1"/>
      <c r="D53" s="11"/>
      <c r="E53" s="7"/>
      <c r="I53" s="8" t="s">
        <v>243</v>
      </c>
      <c r="N53" s="96">
        <f>H51*J54</f>
        <v>0.93596377755410165</v>
      </c>
      <c r="R53" s="1"/>
    </row>
    <row r="54" spans="1:18" x14ac:dyDescent="0.3">
      <c r="A54" s="1"/>
      <c r="D54" s="11"/>
      <c r="E54" s="7"/>
      <c r="I54" s="55" t="s">
        <v>329</v>
      </c>
      <c r="J54" s="61">
        <f>1-J49</f>
        <v>0.998</v>
      </c>
      <c r="K54" s="91" t="s">
        <v>333</v>
      </c>
      <c r="L54" s="61"/>
      <c r="M54" s="61"/>
      <c r="N54" s="61"/>
      <c r="R54" s="1"/>
    </row>
    <row r="55" spans="1:18" x14ac:dyDescent="0.3">
      <c r="A55" s="1"/>
      <c r="D55" s="11"/>
      <c r="E55" s="7"/>
      <c r="I55" s="55"/>
      <c r="J55" s="59"/>
      <c r="R55" s="1"/>
    </row>
    <row r="56" spans="1:18" x14ac:dyDescent="0.3">
      <c r="A56" s="1"/>
      <c r="D56" s="11"/>
      <c r="E56" s="7"/>
      <c r="R56" s="1"/>
    </row>
    <row r="57" spans="1:18" ht="15" thickBot="1" x14ac:dyDescent="0.35">
      <c r="A57" s="1"/>
      <c r="C57" s="6" t="s">
        <v>326</v>
      </c>
      <c r="D57" s="11"/>
      <c r="E57" s="7"/>
      <c r="R57" s="1"/>
    </row>
    <row r="58" spans="1:18" ht="15" thickBot="1" x14ac:dyDescent="0.35">
      <c r="A58" s="1"/>
      <c r="D58" s="93">
        <v>1</v>
      </c>
      <c r="R58" s="1"/>
    </row>
    <row r="59" spans="1:18" ht="15" thickBot="1" x14ac:dyDescent="0.35">
      <c r="A59" s="1"/>
      <c r="D59" s="11"/>
      <c r="E59" s="7"/>
      <c r="R59" s="1"/>
    </row>
    <row r="60" spans="1:18" ht="15" thickBot="1" x14ac:dyDescent="0.35">
      <c r="A60" s="1"/>
      <c r="D60" s="11"/>
      <c r="M60" t="s">
        <v>330</v>
      </c>
      <c r="N60" s="96">
        <f>L63*N61</f>
        <v>6.4572027370754393E-3</v>
      </c>
      <c r="R60" s="1"/>
    </row>
    <row r="61" spans="1:18" x14ac:dyDescent="0.3">
      <c r="A61" s="1"/>
      <c r="E61" s="7"/>
      <c r="M61" s="58" t="s">
        <v>329</v>
      </c>
      <c r="N61" s="59">
        <f>p_cancerInv_T</f>
        <v>0.83448452039999998</v>
      </c>
      <c r="R61" s="1"/>
    </row>
    <row r="62" spans="1:18" ht="15" thickBot="1" x14ac:dyDescent="0.35">
      <c r="A62" s="1"/>
      <c r="E62" s="7"/>
      <c r="M62" s="7"/>
      <c r="R62" s="1"/>
    </row>
    <row r="63" spans="1:18" ht="15" thickBot="1" x14ac:dyDescent="0.35">
      <c r="A63" s="1"/>
      <c r="E63" s="7"/>
      <c r="K63" t="s">
        <v>328</v>
      </c>
      <c r="L63" s="95">
        <f>J66*L64</f>
        <v>7.737953885567893E-3</v>
      </c>
      <c r="R63" s="1"/>
    </row>
    <row r="64" spans="1:18" ht="15" thickBot="1" x14ac:dyDescent="0.35">
      <c r="A64" s="1"/>
      <c r="E64" s="7"/>
      <c r="K64" s="58" t="s">
        <v>329</v>
      </c>
      <c r="L64" s="61">
        <f>p_cancer_T</f>
        <v>0.39295476820330461</v>
      </c>
      <c r="M64" s="7"/>
      <c r="R64" s="1"/>
    </row>
    <row r="65" spans="1:18" ht="15" thickBot="1" x14ac:dyDescent="0.35">
      <c r="A65" s="1"/>
      <c r="E65" s="7"/>
      <c r="K65" s="7"/>
      <c r="M65" s="8" t="s">
        <v>331</v>
      </c>
      <c r="N65" s="96">
        <f>L63*N66</f>
        <v>1.2807511484924535E-3</v>
      </c>
      <c r="R65" s="1"/>
    </row>
    <row r="66" spans="1:18" ht="15" thickBot="1" x14ac:dyDescent="0.35">
      <c r="A66" s="1"/>
      <c r="E66" s="7"/>
      <c r="G66" t="s">
        <v>327</v>
      </c>
      <c r="J66" s="95">
        <f>F78*H68</f>
        <v>1.9691716481639629E-2</v>
      </c>
      <c r="K66" s="7"/>
      <c r="M66" s="55" t="s">
        <v>329</v>
      </c>
      <c r="N66" s="61">
        <f>1-N61</f>
        <v>0.16551547960000002</v>
      </c>
      <c r="R66" s="1"/>
    </row>
    <row r="67" spans="1:18" x14ac:dyDescent="0.3">
      <c r="A67" s="1"/>
      <c r="E67" s="7"/>
      <c r="G67" s="66" t="s">
        <v>338</v>
      </c>
      <c r="H67" s="10"/>
      <c r="I67" s="10"/>
      <c r="K67" s="7"/>
      <c r="R67" s="1"/>
    </row>
    <row r="68" spans="1:18" ht="15" thickBot="1" x14ac:dyDescent="0.35">
      <c r="A68" s="1"/>
      <c r="E68" s="7"/>
      <c r="G68" s="54" t="s">
        <v>329</v>
      </c>
      <c r="H68" s="59">
        <f>p_biopsia_T</f>
        <v>1.9691716481639629E-2</v>
      </c>
      <c r="K68" s="7"/>
      <c r="M68" s="55"/>
      <c r="N68" s="59"/>
      <c r="R68" s="1"/>
    </row>
    <row r="69" spans="1:18" ht="15" thickBot="1" x14ac:dyDescent="0.35">
      <c r="A69" s="1"/>
      <c r="E69" s="7"/>
      <c r="G69" s="86" t="s">
        <v>336</v>
      </c>
      <c r="H69" s="324">
        <f>c_biopsia*J66</f>
        <v>6.5010400462531628</v>
      </c>
      <c r="K69" s="8" t="s">
        <v>332</v>
      </c>
      <c r="N69" s="96">
        <f>J66*L71</f>
        <v>1.1953762596071737E-2</v>
      </c>
      <c r="R69" s="1"/>
    </row>
    <row r="70" spans="1:18" x14ac:dyDescent="0.3">
      <c r="A70" s="1"/>
      <c r="E70" s="7"/>
      <c r="G70" s="7"/>
      <c r="K70" s="88" t="s">
        <v>333</v>
      </c>
      <c r="L70" s="10"/>
      <c r="M70" s="10"/>
      <c r="N70" s="10"/>
      <c r="R70" s="1"/>
    </row>
    <row r="71" spans="1:18" x14ac:dyDescent="0.3">
      <c r="A71" s="1"/>
      <c r="E71" s="7"/>
      <c r="G71" s="7"/>
      <c r="K71" s="55" t="s">
        <v>329</v>
      </c>
      <c r="L71" s="59">
        <f>1-L64</f>
        <v>0.60704523179669545</v>
      </c>
      <c r="R71" s="1"/>
    </row>
    <row r="72" spans="1:18" ht="15" thickBot="1" x14ac:dyDescent="0.35">
      <c r="A72" s="1"/>
      <c r="E72" s="7"/>
      <c r="G72" s="7"/>
      <c r="R72" s="1"/>
    </row>
    <row r="73" spans="1:18" ht="15" thickBot="1" x14ac:dyDescent="0.35">
      <c r="A73" s="1"/>
      <c r="E73" s="7"/>
      <c r="G73" s="7"/>
      <c r="I73" t="s">
        <v>332</v>
      </c>
      <c r="N73" s="96">
        <f>H77*J75</f>
        <v>1.324065243381725E-2</v>
      </c>
      <c r="R73" s="1"/>
    </row>
    <row r="74" spans="1:18" x14ac:dyDescent="0.3">
      <c r="A74" s="1"/>
      <c r="E74" s="7"/>
      <c r="G74" s="7"/>
      <c r="I74" s="87" t="s">
        <v>333</v>
      </c>
      <c r="J74" s="10"/>
      <c r="K74" s="10"/>
      <c r="L74" s="10"/>
      <c r="M74" s="10"/>
      <c r="N74" s="10"/>
      <c r="R74" s="1"/>
    </row>
    <row r="75" spans="1:18" x14ac:dyDescent="0.3">
      <c r="A75" s="1"/>
      <c r="E75" s="7"/>
      <c r="G75" s="7"/>
      <c r="I75" s="54" t="s">
        <v>329</v>
      </c>
      <c r="J75" s="59">
        <f>1-J85</f>
        <v>0.378</v>
      </c>
      <c r="R75" s="1"/>
    </row>
    <row r="76" spans="1:18" ht="15" thickBot="1" x14ac:dyDescent="0.35">
      <c r="A76" s="1"/>
      <c r="E76" s="7"/>
      <c r="G76" s="7"/>
      <c r="I76" s="7"/>
      <c r="R76" s="1"/>
    </row>
    <row r="77" spans="1:18" ht="15" thickBot="1" x14ac:dyDescent="0.35">
      <c r="A77" s="1"/>
      <c r="E77" s="8" t="s">
        <v>341</v>
      </c>
      <c r="F77" s="6"/>
      <c r="G77" s="8" t="s">
        <v>334</v>
      </c>
      <c r="H77" s="95">
        <f>F78*H79</f>
        <v>3.5028181041844575E-2</v>
      </c>
      <c r="I77" s="7"/>
      <c r="M77" t="s">
        <v>330</v>
      </c>
      <c r="N77" s="96">
        <f>L80*N78</f>
        <v>3.149994034669651E-3</v>
      </c>
      <c r="R77" s="1"/>
    </row>
    <row r="78" spans="1:18" x14ac:dyDescent="0.3">
      <c r="A78" s="1"/>
      <c r="E78" s="55" t="s">
        <v>329</v>
      </c>
      <c r="F78" s="57">
        <f>D58</f>
        <v>1</v>
      </c>
      <c r="G78" s="89" t="s">
        <v>335</v>
      </c>
      <c r="H78" s="11"/>
      <c r="I78" s="7"/>
      <c r="M78" s="58" t="s">
        <v>329</v>
      </c>
      <c r="N78" s="59">
        <f>p_cancerInv_US</f>
        <v>0.79812206569999999</v>
      </c>
      <c r="R78" s="1"/>
    </row>
    <row r="79" spans="1:18" ht="15" thickBot="1" x14ac:dyDescent="0.35">
      <c r="A79" s="1"/>
      <c r="E79" s="106" t="s">
        <v>336</v>
      </c>
      <c r="F79" s="324">
        <f>c_tomos*F78</f>
        <v>334.85723488508688</v>
      </c>
      <c r="G79" s="54" t="s">
        <v>329</v>
      </c>
      <c r="H79" s="59">
        <f>p_recall_T</f>
        <v>3.5028181041844575E-2</v>
      </c>
      <c r="I79" s="7"/>
      <c r="M79" s="7"/>
      <c r="R79" s="1"/>
    </row>
    <row r="80" spans="1:18" ht="15" thickBot="1" x14ac:dyDescent="0.35">
      <c r="A80" s="1"/>
      <c r="E80" s="55"/>
      <c r="F80" s="57"/>
      <c r="G80" s="86" t="s">
        <v>336</v>
      </c>
      <c r="H80" s="324">
        <f>c_reconv*H77</f>
        <v>2.2749595363642627</v>
      </c>
      <c r="I80" s="7"/>
      <c r="K80" t="s">
        <v>328</v>
      </c>
      <c r="L80" s="95">
        <f>J83*L81</f>
        <v>3.9467572318113032E-3</v>
      </c>
      <c r="R80" s="1"/>
    </row>
    <row r="81" spans="1:18" ht="15" thickBot="1" x14ac:dyDescent="0.35">
      <c r="A81" s="1"/>
      <c r="E81" s="55"/>
      <c r="F81" s="57"/>
      <c r="G81" s="90"/>
      <c r="I81" s="7"/>
      <c r="K81" s="58" t="s">
        <v>329</v>
      </c>
      <c r="L81" s="61">
        <f>p_cancer_US</f>
        <v>0.181147541</v>
      </c>
      <c r="M81" s="7"/>
      <c r="R81" s="1"/>
    </row>
    <row r="82" spans="1:18" ht="15" thickBot="1" x14ac:dyDescent="0.35">
      <c r="A82" s="1"/>
      <c r="E82" s="55"/>
      <c r="F82" s="57"/>
      <c r="G82" s="90"/>
      <c r="I82" s="7"/>
      <c r="K82" s="7"/>
      <c r="M82" s="8" t="s">
        <v>331</v>
      </c>
      <c r="N82" s="96">
        <f>L80*N83</f>
        <v>7.9676319714165221E-4</v>
      </c>
      <c r="R82" s="1"/>
    </row>
    <row r="83" spans="1:18" ht="15" thickBot="1" x14ac:dyDescent="0.35">
      <c r="A83" s="1"/>
      <c r="E83" s="55"/>
      <c r="F83" s="57"/>
      <c r="G83" s="90"/>
      <c r="I83" s="8" t="s">
        <v>337</v>
      </c>
      <c r="J83" s="95">
        <f>H77*J85</f>
        <v>2.1787528608027327E-2</v>
      </c>
      <c r="K83" s="7"/>
      <c r="M83" s="55" t="s">
        <v>329</v>
      </c>
      <c r="N83" s="61">
        <f>1-N78</f>
        <v>0.20187793430000001</v>
      </c>
      <c r="R83" s="1"/>
    </row>
    <row r="84" spans="1:18" x14ac:dyDescent="0.3">
      <c r="A84" s="1"/>
      <c r="G84" s="90"/>
      <c r="I84" s="67" t="s">
        <v>338</v>
      </c>
      <c r="J84" s="10"/>
      <c r="K84" s="7"/>
      <c r="M84" s="55"/>
      <c r="N84" s="59"/>
      <c r="R84" s="1"/>
    </row>
    <row r="85" spans="1:18" ht="15" thickBot="1" x14ac:dyDescent="0.35">
      <c r="A85" s="1"/>
      <c r="G85" s="90"/>
      <c r="I85" s="55" t="s">
        <v>329</v>
      </c>
      <c r="J85" s="57">
        <f>p_biopsia_US_tomos</f>
        <v>0.622</v>
      </c>
      <c r="K85" s="7"/>
      <c r="R85" s="1"/>
    </row>
    <row r="86" spans="1:18" ht="15" thickBot="1" x14ac:dyDescent="0.35">
      <c r="A86" s="1"/>
      <c r="G86" s="90"/>
      <c r="I86" s="106" t="s">
        <v>336</v>
      </c>
      <c r="J86" s="324">
        <f>c_biopsia*J83</f>
        <v>7.1929532461904664</v>
      </c>
      <c r="K86" s="8" t="s">
        <v>332</v>
      </c>
      <c r="N86" s="96">
        <f>J83*L88</f>
        <v>1.7840771376216025E-2</v>
      </c>
      <c r="R86" s="1"/>
    </row>
    <row r="87" spans="1:18" x14ac:dyDescent="0.3">
      <c r="A87" s="1"/>
      <c r="G87" s="7"/>
      <c r="K87" s="88" t="s">
        <v>333</v>
      </c>
      <c r="L87" s="10"/>
      <c r="M87" s="10"/>
      <c r="N87" s="10"/>
      <c r="R87" s="1"/>
    </row>
    <row r="88" spans="1:18" x14ac:dyDescent="0.3">
      <c r="A88" s="1"/>
      <c r="G88" s="7"/>
      <c r="K88" s="55" t="s">
        <v>329</v>
      </c>
      <c r="L88" s="59">
        <f>1-L81</f>
        <v>0.81885245900000003</v>
      </c>
      <c r="R88" s="1"/>
    </row>
    <row r="89" spans="1:18" x14ac:dyDescent="0.3">
      <c r="A89" s="1"/>
      <c r="G89" s="7"/>
      <c r="R89" s="1"/>
    </row>
    <row r="90" spans="1:18" ht="15" thickBot="1" x14ac:dyDescent="0.35">
      <c r="A90" s="1"/>
      <c r="G90" s="7"/>
      <c r="R90" s="1"/>
    </row>
    <row r="91" spans="1:18" ht="15" thickBot="1" x14ac:dyDescent="0.35">
      <c r="A91" s="1"/>
      <c r="G91" s="7"/>
      <c r="I91" t="s">
        <v>340</v>
      </c>
      <c r="J91" s="93">
        <f>H94*J92</f>
        <v>1.3233921434671221E-3</v>
      </c>
      <c r="R91" s="1"/>
    </row>
    <row r="92" spans="1:18" x14ac:dyDescent="0.3">
      <c r="A92" s="1"/>
      <c r="G92" s="7"/>
      <c r="I92" s="58" t="s">
        <v>329</v>
      </c>
      <c r="J92" s="59">
        <f>p_cIntervalo_T</f>
        <v>1.4E-3</v>
      </c>
      <c r="R92" s="1"/>
    </row>
    <row r="93" spans="1:18" ht="15" thickBot="1" x14ac:dyDescent="0.35">
      <c r="A93" s="1"/>
      <c r="G93" s="7"/>
      <c r="I93" s="54"/>
      <c r="J93" s="59"/>
      <c r="R93" s="1"/>
    </row>
    <row r="94" spans="1:18" ht="15" thickBot="1" x14ac:dyDescent="0.35">
      <c r="A94" s="1"/>
      <c r="G94" s="7" t="s">
        <v>339</v>
      </c>
      <c r="H94" s="93">
        <f>F78*H95</f>
        <v>0.94528010247651584</v>
      </c>
      <c r="I94" s="55"/>
      <c r="J94" s="59"/>
      <c r="R94" s="1"/>
    </row>
    <row r="95" spans="1:18" ht="15" thickBot="1" x14ac:dyDescent="0.35">
      <c r="A95" s="1"/>
      <c r="G95" s="85" t="s">
        <v>329</v>
      </c>
      <c r="H95" s="94">
        <f>1-(H79+H68)</f>
        <v>0.94528010247651584</v>
      </c>
      <c r="I95" s="7"/>
      <c r="R95" s="1"/>
    </row>
    <row r="96" spans="1:18" ht="15" thickBot="1" x14ac:dyDescent="0.35">
      <c r="A96" s="1"/>
      <c r="G96" s="106" t="s">
        <v>336</v>
      </c>
      <c r="H96" s="324" t="s">
        <v>525</v>
      </c>
      <c r="I96" s="8" t="s">
        <v>243</v>
      </c>
      <c r="N96" s="96">
        <f>H94*J97</f>
        <v>0.94395671033304873</v>
      </c>
      <c r="R96" s="1"/>
    </row>
    <row r="97" spans="1:18" x14ac:dyDescent="0.3">
      <c r="A97" s="1"/>
      <c r="I97" s="55" t="s">
        <v>329</v>
      </c>
      <c r="J97" s="61">
        <f>1-J92</f>
        <v>0.99860000000000004</v>
      </c>
      <c r="K97" s="91" t="s">
        <v>333</v>
      </c>
      <c r="L97" s="61"/>
      <c r="M97" s="61"/>
      <c r="N97" s="61"/>
      <c r="R97" s="1"/>
    </row>
    <row r="98" spans="1:18" x14ac:dyDescent="0.3">
      <c r="A98" s="1"/>
      <c r="R98" s="1"/>
    </row>
    <row r="99" spans="1:18" x14ac:dyDescent="0.3">
      <c r="A99" s="1"/>
      <c r="R99" s="1"/>
    </row>
    <row r="100" spans="1:18" x14ac:dyDescent="0.3">
      <c r="A100" s="1"/>
      <c r="R100" s="1"/>
    </row>
    <row r="101" spans="1:18" x14ac:dyDescent="0.3">
      <c r="A101" s="1"/>
      <c r="B101" s="1"/>
      <c r="C101" s="1"/>
      <c r="D101" s="1"/>
      <c r="E101" s="1"/>
      <c r="F101" s="1"/>
      <c r="G101" s="1"/>
      <c r="H101" s="1"/>
      <c r="I101" s="1"/>
      <c r="J101" s="1"/>
      <c r="K101" s="1"/>
      <c r="L101" s="1"/>
      <c r="M101" s="1"/>
      <c r="N101" s="1"/>
      <c r="O101" s="1"/>
      <c r="P101" s="1"/>
      <c r="Q101" s="1"/>
      <c r="R101" s="1"/>
    </row>
  </sheetData>
  <pageMargins left="0.511811024" right="0.511811024" top="0.78740157499999996" bottom="0.78740157499999996" header="0.31496062000000002" footer="0.31496062000000002"/>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4">
    <tabColor theme="8"/>
  </sheetPr>
  <dimension ref="A1:T109"/>
  <sheetViews>
    <sheetView showGridLines="0" topLeftCell="A7" zoomScaleNormal="100" workbookViewId="0">
      <selection activeCell="D10" sqref="D10"/>
    </sheetView>
  </sheetViews>
  <sheetFormatPr defaultColWidth="9.109375" defaultRowHeight="13.8" zeroHeight="1" x14ac:dyDescent="0.3"/>
  <cols>
    <col min="1" max="1" width="24" style="2" customWidth="1"/>
    <col min="2" max="2" width="5.6640625" style="232" customWidth="1"/>
    <col min="3" max="3" width="41" style="2" customWidth="1"/>
    <col min="4" max="6" width="18" style="2" customWidth="1"/>
    <col min="7" max="9" width="10" style="2" customWidth="1"/>
    <col min="10" max="11" width="15.6640625" style="2" customWidth="1"/>
    <col min="12" max="13" width="10.44140625" style="2" customWidth="1"/>
    <col min="14" max="16" width="12.5546875" style="2" customWidth="1"/>
    <col min="17" max="17" width="47" style="2" bestFit="1" customWidth="1"/>
    <col min="18" max="18" width="6.44140625" style="2" customWidth="1"/>
    <col min="19" max="19" width="9.109375" style="2" customWidth="1"/>
    <col min="20" max="20" width="9.109375" style="308"/>
    <col min="21" max="16384" width="9.109375" style="2"/>
  </cols>
  <sheetData>
    <row r="1" spans="1:20" x14ac:dyDescent="0.3">
      <c r="A1" s="1"/>
      <c r="B1" s="227" t="s">
        <v>252</v>
      </c>
      <c r="C1" s="227"/>
      <c r="D1" s="228"/>
      <c r="E1" s="228"/>
      <c r="F1" s="228"/>
      <c r="G1" s="228"/>
      <c r="H1" s="228"/>
      <c r="I1" s="228"/>
      <c r="J1" s="228"/>
      <c r="K1" s="228"/>
      <c r="L1" s="228"/>
      <c r="M1" s="228"/>
      <c r="N1" s="228"/>
      <c r="O1" s="228"/>
      <c r="P1" s="228"/>
      <c r="Q1" s="229">
        <v>0</v>
      </c>
      <c r="R1" s="228"/>
      <c r="S1" s="229"/>
    </row>
    <row r="2" spans="1:20" x14ac:dyDescent="0.3">
      <c r="A2" s="1"/>
      <c r="B2" s="38"/>
      <c r="C2" s="230"/>
      <c r="D2" s="41"/>
      <c r="E2" s="41"/>
      <c r="F2" s="41"/>
      <c r="G2" s="231"/>
      <c r="H2" s="231"/>
      <c r="I2" s="231"/>
      <c r="J2" s="231"/>
      <c r="K2" s="231"/>
      <c r="L2" s="41"/>
      <c r="M2" s="41"/>
      <c r="N2" s="41"/>
      <c r="O2" s="41"/>
      <c r="P2" s="41"/>
      <c r="Q2" s="41"/>
      <c r="R2" s="41"/>
      <c r="S2" s="1"/>
    </row>
    <row r="3" spans="1:20" ht="30" customHeight="1" x14ac:dyDescent="0.3">
      <c r="A3" s="1"/>
      <c r="B3" s="38" t="s">
        <v>3</v>
      </c>
      <c r="C3" s="48"/>
      <c r="D3" s="43" t="s">
        <v>262</v>
      </c>
      <c r="E3" s="44" t="s">
        <v>263</v>
      </c>
      <c r="F3" s="45" t="s">
        <v>264</v>
      </c>
      <c r="G3" s="46" t="s">
        <v>4</v>
      </c>
      <c r="H3" s="46" t="s">
        <v>265</v>
      </c>
      <c r="I3" s="46" t="s">
        <v>5</v>
      </c>
      <c r="J3" s="46" t="s">
        <v>6</v>
      </c>
      <c r="K3" s="47" t="s">
        <v>7</v>
      </c>
      <c r="L3" s="44" t="s">
        <v>266</v>
      </c>
      <c r="M3" s="44" t="s">
        <v>267</v>
      </c>
      <c r="N3" s="44" t="s">
        <v>8</v>
      </c>
      <c r="O3" s="44" t="s">
        <v>441</v>
      </c>
      <c r="P3" s="44" t="s">
        <v>168</v>
      </c>
      <c r="Q3" s="43" t="s">
        <v>268</v>
      </c>
      <c r="R3" s="41"/>
      <c r="S3" s="1"/>
    </row>
    <row r="4" spans="1:20" x14ac:dyDescent="0.3">
      <c r="A4" s="1"/>
      <c r="B4" s="42" t="s">
        <v>255</v>
      </c>
      <c r="C4" s="48" t="s">
        <v>271</v>
      </c>
      <c r="D4" s="175">
        <f>E4</f>
        <v>0.24</v>
      </c>
      <c r="E4" s="50">
        <v>0.24</v>
      </c>
      <c r="F4" s="52" t="s">
        <v>9</v>
      </c>
      <c r="G4" s="52" t="s">
        <v>9</v>
      </c>
      <c r="H4" s="52" t="s">
        <v>9</v>
      </c>
      <c r="I4" s="52" t="s">
        <v>9</v>
      </c>
      <c r="J4" s="52" t="s">
        <v>9</v>
      </c>
      <c r="K4" s="52" t="s">
        <v>9</v>
      </c>
      <c r="L4" s="52" t="s">
        <v>9</v>
      </c>
      <c r="M4" s="52" t="s">
        <v>9</v>
      </c>
      <c r="N4" s="52" t="s">
        <v>9</v>
      </c>
      <c r="O4" s="290" t="s">
        <v>529</v>
      </c>
      <c r="P4" s="291" t="s">
        <v>533</v>
      </c>
      <c r="Q4" s="98" t="s">
        <v>164</v>
      </c>
      <c r="R4" s="41" t="s">
        <v>10</v>
      </c>
      <c r="S4" s="1"/>
      <c r="T4" s="308" t="s">
        <v>270</v>
      </c>
    </row>
    <row r="5" spans="1:20" x14ac:dyDescent="0.3">
      <c r="A5" s="1"/>
      <c r="B5" s="38">
        <v>2</v>
      </c>
      <c r="C5" s="48" t="s">
        <v>205</v>
      </c>
      <c r="D5" s="177">
        <f t="shared" ref="D5:D7" si="0">E5</f>
        <v>40</v>
      </c>
      <c r="E5" s="50">
        <f>IF(Presentation!F40=Presentation!C41,50,Presentation!I40)</f>
        <v>40</v>
      </c>
      <c r="F5" s="52" t="s">
        <v>9</v>
      </c>
      <c r="G5" s="52" t="s">
        <v>9</v>
      </c>
      <c r="H5" s="52" t="s">
        <v>9</v>
      </c>
      <c r="I5" s="52" t="s">
        <v>9</v>
      </c>
      <c r="J5" s="52" t="s">
        <v>9</v>
      </c>
      <c r="K5" s="52" t="s">
        <v>9</v>
      </c>
      <c r="L5" s="52" t="s">
        <v>9</v>
      </c>
      <c r="M5" s="52" t="s">
        <v>9</v>
      </c>
      <c r="N5" s="52" t="s">
        <v>9</v>
      </c>
      <c r="O5" s="290" t="s">
        <v>529</v>
      </c>
      <c r="P5" s="291" t="s">
        <v>533</v>
      </c>
      <c r="Q5" s="98" t="s">
        <v>512</v>
      </c>
      <c r="R5" s="41"/>
      <c r="S5" s="1"/>
    </row>
    <row r="6" spans="1:20" x14ac:dyDescent="0.3">
      <c r="A6" s="1"/>
      <c r="B6" s="38">
        <v>3</v>
      </c>
      <c r="C6" s="48" t="s">
        <v>272</v>
      </c>
      <c r="D6" s="176">
        <f t="shared" si="0"/>
        <v>1</v>
      </c>
      <c r="E6" s="50">
        <v>1</v>
      </c>
      <c r="F6" s="52" t="s">
        <v>9</v>
      </c>
      <c r="G6" s="52" t="s">
        <v>9</v>
      </c>
      <c r="H6" s="52" t="s">
        <v>9</v>
      </c>
      <c r="I6" s="52" t="s">
        <v>9</v>
      </c>
      <c r="J6" s="52" t="s">
        <v>9</v>
      </c>
      <c r="K6" s="52" t="s">
        <v>9</v>
      </c>
      <c r="L6" s="52" t="s">
        <v>9</v>
      </c>
      <c r="M6" s="52" t="s">
        <v>9</v>
      </c>
      <c r="N6" s="52" t="s">
        <v>9</v>
      </c>
      <c r="O6" s="290" t="s">
        <v>529</v>
      </c>
      <c r="P6" s="291" t="s">
        <v>533</v>
      </c>
      <c r="Q6" s="98" t="s">
        <v>512</v>
      </c>
      <c r="R6" s="41"/>
      <c r="S6" s="1"/>
    </row>
    <row r="7" spans="1:20" x14ac:dyDescent="0.3">
      <c r="A7" s="1"/>
      <c r="B7" s="38">
        <v>4</v>
      </c>
      <c r="C7" s="48" t="s">
        <v>178</v>
      </c>
      <c r="D7" s="49">
        <f t="shared" si="0"/>
        <v>0.05</v>
      </c>
      <c r="E7" s="50">
        <f>IF(Presentation!F36=Presentation!C37,0.05,0)</f>
        <v>0.05</v>
      </c>
      <c r="F7" s="52" t="s">
        <v>9</v>
      </c>
      <c r="G7" s="52" t="s">
        <v>9</v>
      </c>
      <c r="H7" s="52" t="s">
        <v>9</v>
      </c>
      <c r="I7" s="52" t="s">
        <v>9</v>
      </c>
      <c r="J7" s="52" t="s">
        <v>9</v>
      </c>
      <c r="K7" s="52" t="s">
        <v>9</v>
      </c>
      <c r="L7" s="52" t="s">
        <v>9</v>
      </c>
      <c r="M7" s="52" t="s">
        <v>9</v>
      </c>
      <c r="N7" s="52" t="s">
        <v>9</v>
      </c>
      <c r="O7" s="290" t="s">
        <v>529</v>
      </c>
      <c r="P7" s="291" t="s">
        <v>533</v>
      </c>
      <c r="Q7" s="98" t="s">
        <v>512</v>
      </c>
      <c r="R7" s="41"/>
      <c r="S7" s="1"/>
    </row>
    <row r="8" spans="1:20" x14ac:dyDescent="0.3">
      <c r="A8" s="1"/>
      <c r="B8" s="38">
        <v>5</v>
      </c>
      <c r="C8" s="48" t="s">
        <v>253</v>
      </c>
      <c r="D8" s="292">
        <f t="shared" ref="D8:D19" si="1">IF(AND($Q$1=0,O8="Estimativa pontual"), E8, IF(AND($Q$1=0, O8="Limite Inferior"),J8, IF(AND($Q$1=0, O8="Limite Superior"),K8,F8)))</f>
        <v>0.8</v>
      </c>
      <c r="E8" s="50">
        <v>0.8</v>
      </c>
      <c r="F8" s="51">
        <f t="shared" ref="F8" ca="1" si="2">IF(L8="Beta",(_xlfn.BETA.INV(RAND(),M8,N8)),IF(L8="Gama",(_xlfn.GAMMA.INV(RAND(),M8,N8)),"Checar dist."))</f>
        <v>0.76131407608531787</v>
      </c>
      <c r="G8" s="52" t="s">
        <v>9</v>
      </c>
      <c r="H8" s="52" t="s">
        <v>9</v>
      </c>
      <c r="I8" s="56">
        <f>E8/10</f>
        <v>0.08</v>
      </c>
      <c r="J8" s="56">
        <f t="shared" ref="J8" si="3">E8-I8</f>
        <v>0.72000000000000008</v>
      </c>
      <c r="K8" s="174">
        <f t="shared" ref="K8" si="4">E8+I8</f>
        <v>0.88</v>
      </c>
      <c r="L8" s="97" t="s">
        <v>8</v>
      </c>
      <c r="M8" s="97">
        <f t="shared" ref="M8" si="5">(E8*(E8*(1-E8)/I8^2-1))</f>
        <v>19.2</v>
      </c>
      <c r="N8" s="97">
        <f t="shared" ref="N8" si="6">((M8/E8)-M8)</f>
        <v>4.7999999999999972</v>
      </c>
      <c r="O8" s="290" t="s">
        <v>529</v>
      </c>
      <c r="P8" s="291" t="s">
        <v>533</v>
      </c>
      <c r="Q8" s="98" t="s">
        <v>512</v>
      </c>
      <c r="R8" s="41"/>
      <c r="S8" s="1"/>
      <c r="T8" s="308" t="s">
        <v>269</v>
      </c>
    </row>
    <row r="9" spans="1:20" x14ac:dyDescent="0.3">
      <c r="A9" s="1"/>
      <c r="B9" s="38">
        <v>6</v>
      </c>
      <c r="C9" s="48" t="s">
        <v>273</v>
      </c>
      <c r="D9" s="240">
        <f t="shared" si="1"/>
        <v>0.69558216061051603</v>
      </c>
      <c r="E9" s="50">
        <f>IF(Presentation!$F$38=Parameters!$D$70,Parameters!D71,IF(Presentation!$F$38=Parameters!$H$70,Parameters!H71,IF(Presentation!$F$38=Parameters!$I$70,Parameters!I71,Parameters!G71)))</f>
        <v>0.69558216061051603</v>
      </c>
      <c r="F9" s="51">
        <f t="shared" ref="F9" ca="1" si="7">IF(L9="Beta",(_xlfn.BETA.INV(RAND(),M9,N9)),IF(L9="Gama",(_xlfn.GAMMA.INV(RAND(),M9,N9)),"Checar dist."))</f>
        <v>0.64526926573574273</v>
      </c>
      <c r="G9" s="52" t="s">
        <v>9</v>
      </c>
      <c r="H9" s="52" t="s">
        <v>9</v>
      </c>
      <c r="I9" s="56">
        <f>E9/10</f>
        <v>6.95582160610516E-2</v>
      </c>
      <c r="J9" s="56">
        <f t="shared" ref="J9" si="8">E9-I9</f>
        <v>0.62602394454946442</v>
      </c>
      <c r="K9" s="174">
        <f t="shared" ref="K9" si="9">E9+I9</f>
        <v>0.76514037667156765</v>
      </c>
      <c r="L9" s="97" t="s">
        <v>8</v>
      </c>
      <c r="M9" s="97">
        <f t="shared" ref="M9" si="10">(E9*(E9*(1-E9)/I9^2-1))</f>
        <v>29.74620177833788</v>
      </c>
      <c r="N9" s="97">
        <f t="shared" ref="N9" si="11">((M9/E9)-M9)</f>
        <v>13.018267270479424</v>
      </c>
      <c r="O9" s="290" t="s">
        <v>529</v>
      </c>
      <c r="P9" s="291" t="s">
        <v>533</v>
      </c>
      <c r="Q9" s="98" t="s">
        <v>515</v>
      </c>
      <c r="R9" s="41"/>
      <c r="S9" s="1"/>
      <c r="T9" s="308" t="s">
        <v>203</v>
      </c>
    </row>
    <row r="10" spans="1:20" x14ac:dyDescent="0.3">
      <c r="A10" s="1"/>
      <c r="B10" s="42" t="s">
        <v>256</v>
      </c>
      <c r="C10" s="48" t="s">
        <v>274</v>
      </c>
      <c r="D10" s="49">
        <f t="shared" si="1"/>
        <v>0.32269638643983606</v>
      </c>
      <c r="E10" s="50">
        <f>IF(Presentation!$F$38=Parameters!$D$70,Parameters!D72,IF(Presentation!$F$38=Parameters!$H$70,Parameters!H72,IF(Presentation!$F$38=Parameters!$I$70,Parameters!I72,IF(Presentation!$F$38=Parameters!$G$70,Parameters!G72,Parameters!J72))))</f>
        <v>0.32269638643983606</v>
      </c>
      <c r="F10" s="51">
        <f t="shared" ref="F10:F18" ca="1" si="12">IF(L10="Beta",(_xlfn.BETA.INV(RAND(),M10,N10)),IF(L10="Gama",(_xlfn.GAMMA.INV(RAND(),M10,N10)),"Checar dist."))</f>
        <v>0.32348634126009734</v>
      </c>
      <c r="G10" s="52">
        <f>$E$83+$E$84</f>
        <v>9935</v>
      </c>
      <c r="H10" s="52" t="s">
        <v>9</v>
      </c>
      <c r="I10" s="56">
        <f>E10/10</f>
        <v>3.2269638643983606E-2</v>
      </c>
      <c r="J10" s="56">
        <v>0.104</v>
      </c>
      <c r="K10" s="174">
        <v>0.45600000000000002</v>
      </c>
      <c r="L10" s="53" t="s">
        <v>8</v>
      </c>
      <c r="M10" s="97">
        <f t="shared" ref="M10" si="13">G10*E10</f>
        <v>3205.9885992797713</v>
      </c>
      <c r="N10" s="97">
        <f t="shared" ref="N10" si="14">G10*(1-E10)</f>
        <v>6729.0114007202292</v>
      </c>
      <c r="O10" s="290" t="s">
        <v>529</v>
      </c>
      <c r="P10" s="291" t="s">
        <v>533</v>
      </c>
      <c r="Q10" s="98" t="s">
        <v>104</v>
      </c>
      <c r="S10" s="1"/>
    </row>
    <row r="11" spans="1:20" x14ac:dyDescent="0.3">
      <c r="A11" s="1"/>
      <c r="B11" s="38">
        <v>8</v>
      </c>
      <c r="C11" s="83" t="s">
        <v>275</v>
      </c>
      <c r="D11" s="49">
        <f t="shared" si="1"/>
        <v>0.79457917259999999</v>
      </c>
      <c r="E11" s="50">
        <v>0.79457917259999999</v>
      </c>
      <c r="F11" s="51">
        <f t="shared" ca="1" si="12"/>
        <v>0.79577946405411282</v>
      </c>
      <c r="G11" s="52">
        <v>172974</v>
      </c>
      <c r="H11" s="52" t="s">
        <v>9</v>
      </c>
      <c r="I11" s="56">
        <f t="shared" ref="I11:I14" si="15">E11/10</f>
        <v>7.9457917259999997E-2</v>
      </c>
      <c r="J11" s="56">
        <f t="shared" ref="J11:J14" si="16">E11-I11</f>
        <v>0.71512125534000004</v>
      </c>
      <c r="K11" s="174">
        <f t="shared" ref="K11:K14" si="17">E11+I11</f>
        <v>0.87403708985999995</v>
      </c>
      <c r="L11" s="53" t="s">
        <v>8</v>
      </c>
      <c r="M11" s="97">
        <f t="shared" ref="M11:M16" si="18">G11*E11</f>
        <v>137441.5378013124</v>
      </c>
      <c r="N11" s="97">
        <f t="shared" ref="N11" si="19">G11*(1-E11)</f>
        <v>35532.462198687601</v>
      </c>
      <c r="O11" s="290" t="s">
        <v>529</v>
      </c>
      <c r="P11" s="291" t="s">
        <v>533</v>
      </c>
      <c r="Q11" s="98" t="s">
        <v>513</v>
      </c>
      <c r="S11" s="1"/>
    </row>
    <row r="12" spans="1:20" x14ac:dyDescent="0.3">
      <c r="A12" s="1"/>
      <c r="B12" s="38">
        <v>9</v>
      </c>
      <c r="C12" s="48" t="s">
        <v>276</v>
      </c>
      <c r="D12" s="49">
        <f t="shared" si="1"/>
        <v>2.0264217413185705E-2</v>
      </c>
      <c r="E12" s="50">
        <f>IF(Presentation!$F$38=Parameters!$D$70,Parameters!D73,IF(Presentation!$F$38=Parameters!$H$70,Parameters!H73,IF(Presentation!$F$38=Parameters!$I$70,Parameters!I73,IF(Presentation!$F$38=Parameters!$G$70,Parameters!G73,Parameters!J73))))</f>
        <v>2.0264217413185705E-2</v>
      </c>
      <c r="F12" s="51">
        <f t="shared" ca="1" si="12"/>
        <v>2.0406038346249877E-2</v>
      </c>
      <c r="G12" s="52">
        <f>$E$83+$E$84</f>
        <v>9935</v>
      </c>
      <c r="H12" s="52" t="s">
        <v>9</v>
      </c>
      <c r="I12" s="56">
        <f t="shared" si="15"/>
        <v>2.0264217413185704E-3</v>
      </c>
      <c r="J12" s="56">
        <v>1.2999999999999999E-2</v>
      </c>
      <c r="K12" s="174">
        <v>3.1E-2</v>
      </c>
      <c r="L12" s="53" t="s">
        <v>8</v>
      </c>
      <c r="M12" s="97">
        <f t="shared" ref="M12:M13" si="20">G12*E12</f>
        <v>201.32499999999999</v>
      </c>
      <c r="N12" s="97">
        <f t="shared" ref="N12:N13" si="21">G12*(1-E12)</f>
        <v>9733.6749999999993</v>
      </c>
      <c r="O12" s="290" t="s">
        <v>529</v>
      </c>
      <c r="P12" s="291" t="s">
        <v>533</v>
      </c>
      <c r="Q12" s="98" t="s">
        <v>104</v>
      </c>
      <c r="S12" s="1"/>
    </row>
    <row r="13" spans="1:20" x14ac:dyDescent="0.3">
      <c r="A13" s="1"/>
      <c r="B13" s="38">
        <v>10</v>
      </c>
      <c r="C13" s="48" t="s">
        <v>277</v>
      </c>
      <c r="D13" s="49">
        <f t="shared" si="1"/>
        <v>4.189632611977856E-2</v>
      </c>
      <c r="E13" s="50">
        <f>IF(Presentation!$F$38=Parameters!$D$70,Parameters!D74,IF(Presentation!$F$38=Parameters!$H$70,Parameters!H74,IF(Presentation!$F$38=Parameters!$I$70,Parameters!I74,IF(Presentation!$F$38=Parameters!$G$70,Parameters!G74,Parameters!J74))))</f>
        <v>4.189632611977856E-2</v>
      </c>
      <c r="F13" s="51">
        <f t="shared" ca="1" si="12"/>
        <v>4.132855371676028E-2</v>
      </c>
      <c r="G13" s="52">
        <f>$E$83+$E$84</f>
        <v>9935</v>
      </c>
      <c r="H13" s="52" t="s">
        <v>9</v>
      </c>
      <c r="I13" s="56">
        <f t="shared" si="15"/>
        <v>4.189632611977856E-3</v>
      </c>
      <c r="J13" s="56">
        <v>2.9000000000000001E-2</v>
      </c>
      <c r="K13" s="174">
        <v>5.1999999999999998E-2</v>
      </c>
      <c r="L13" s="53" t="s">
        <v>8</v>
      </c>
      <c r="M13" s="97">
        <f t="shared" si="20"/>
        <v>416.24</v>
      </c>
      <c r="N13" s="97">
        <f t="shared" si="21"/>
        <v>9518.76</v>
      </c>
      <c r="O13" s="290" t="s">
        <v>529</v>
      </c>
      <c r="P13" s="291" t="s">
        <v>533</v>
      </c>
      <c r="Q13" s="98" t="s">
        <v>104</v>
      </c>
      <c r="S13" s="1"/>
    </row>
    <row r="14" spans="1:20" x14ac:dyDescent="0.3">
      <c r="A14" s="1"/>
      <c r="B14" s="232">
        <v>11</v>
      </c>
      <c r="C14" s="48" t="s">
        <v>278</v>
      </c>
      <c r="D14" s="49">
        <f t="shared" si="1"/>
        <v>2E-3</v>
      </c>
      <c r="E14" s="50">
        <f>2/1000</f>
        <v>2E-3</v>
      </c>
      <c r="F14" s="51">
        <f ca="1">IF(L14="Beta",(_xlfn.BETA.INV(RAND(),M14,N14)),IF(L14="Gama",(_xlfn.GAMMA.INV(RAND(),M14,N14)),"Checar dist."))</f>
        <v>2.0754667367651747E-3</v>
      </c>
      <c r="G14" s="52" t="s">
        <v>9</v>
      </c>
      <c r="H14" s="52" t="s">
        <v>9</v>
      </c>
      <c r="I14" s="56">
        <f t="shared" si="15"/>
        <v>2.0000000000000001E-4</v>
      </c>
      <c r="J14" s="56">
        <f t="shared" si="16"/>
        <v>1.8E-3</v>
      </c>
      <c r="K14" s="174">
        <f t="shared" si="17"/>
        <v>2.2000000000000001E-3</v>
      </c>
      <c r="L14" s="53" t="s">
        <v>8</v>
      </c>
      <c r="M14" s="53">
        <f t="shared" ref="M14" si="22">(E14*(E14*(1-E14)/I14^2-1))</f>
        <v>99.798000000000002</v>
      </c>
      <c r="N14" s="53">
        <f t="shared" ref="N14" si="23">((M14/E14)-M14)</f>
        <v>49799.201999999997</v>
      </c>
      <c r="O14" s="290" t="s">
        <v>529</v>
      </c>
      <c r="P14" s="291" t="s">
        <v>533</v>
      </c>
      <c r="Q14" s="98" t="s">
        <v>26</v>
      </c>
      <c r="S14" s="1"/>
    </row>
    <row r="15" spans="1:20" x14ac:dyDescent="0.3">
      <c r="A15" s="1"/>
      <c r="B15" s="42" t="s">
        <v>257</v>
      </c>
      <c r="C15" s="48" t="s">
        <v>279</v>
      </c>
      <c r="D15" s="49">
        <f t="shared" si="1"/>
        <v>0.39295476820330461</v>
      </c>
      <c r="E15" s="50">
        <f>IF(Presentation!$F$38=Parameters!$D$70,Parameters!D75,IF(Presentation!$F$38=Parameters!$H$70,Parameters!H75,IF(Presentation!$F$38=Parameters!$I$70,Parameters!I75,IF(Presentation!$F$38=Parameters!$G$70,Parameters!G75,Parameters!J75))))</f>
        <v>0.39295476820330461</v>
      </c>
      <c r="F15" s="51">
        <f t="shared" ca="1" si="12"/>
        <v>0.39090716014028609</v>
      </c>
      <c r="G15" s="52">
        <f>$D$83+$D$84</f>
        <v>9368</v>
      </c>
      <c r="H15" s="52" t="s">
        <v>9</v>
      </c>
      <c r="I15" s="56">
        <f t="shared" ref="I15:I19" si="24">E15/10</f>
        <v>3.9295476820330459E-2</v>
      </c>
      <c r="J15" s="56">
        <v>0.107</v>
      </c>
      <c r="K15" s="174">
        <v>0.52500000000000002</v>
      </c>
      <c r="L15" s="53" t="s">
        <v>8</v>
      </c>
      <c r="M15" s="97">
        <f t="shared" ref="M15" si="25">G15*E15</f>
        <v>3681.2002685285574</v>
      </c>
      <c r="N15" s="97">
        <f t="shared" ref="N15" si="26">G15*(1-E15)</f>
        <v>5686.799731471443</v>
      </c>
      <c r="O15" s="290" t="s">
        <v>529</v>
      </c>
      <c r="P15" s="291" t="s">
        <v>533</v>
      </c>
      <c r="Q15" s="98" t="s">
        <v>104</v>
      </c>
      <c r="S15" s="1"/>
    </row>
    <row r="16" spans="1:20" x14ac:dyDescent="0.3">
      <c r="A16" s="1"/>
      <c r="B16" s="38">
        <v>13</v>
      </c>
      <c r="C16" s="83" t="s">
        <v>280</v>
      </c>
      <c r="D16" s="49">
        <f t="shared" si="1"/>
        <v>0.83448452039999998</v>
      </c>
      <c r="E16" s="50">
        <v>0.83448452039999998</v>
      </c>
      <c r="F16" s="51">
        <f t="shared" ca="1" si="12"/>
        <v>0.83311570422329062</v>
      </c>
      <c r="G16" s="52">
        <v>137191</v>
      </c>
      <c r="H16" s="52" t="s">
        <v>9</v>
      </c>
      <c r="I16" s="56">
        <f t="shared" si="24"/>
        <v>8.3448452039999996E-2</v>
      </c>
      <c r="J16" s="56">
        <f t="shared" ref="J16:J19" si="27">E16-I16</f>
        <v>0.75103606836000003</v>
      </c>
      <c r="K16" s="174">
        <f t="shared" ref="K16:K19" si="28">E16+I16</f>
        <v>0.91793297243999994</v>
      </c>
      <c r="L16" s="53" t="s">
        <v>8</v>
      </c>
      <c r="M16" s="97">
        <f t="shared" si="18"/>
        <v>114483.7658381964</v>
      </c>
      <c r="N16" s="97">
        <f>G16*(1-E16)</f>
        <v>22707.234161803601</v>
      </c>
      <c r="O16" s="290" t="s">
        <v>529</v>
      </c>
      <c r="P16" s="291" t="s">
        <v>533</v>
      </c>
      <c r="Q16" s="98" t="s">
        <v>513</v>
      </c>
      <c r="S16" s="1"/>
    </row>
    <row r="17" spans="1:19" x14ac:dyDescent="0.3">
      <c r="A17" s="1"/>
      <c r="B17" s="38">
        <v>14</v>
      </c>
      <c r="C17" s="48" t="s">
        <v>281</v>
      </c>
      <c r="D17" s="49">
        <f t="shared" si="1"/>
        <v>1.9691716481639629E-2</v>
      </c>
      <c r="E17" s="50">
        <f>IF(Presentation!$F$38=Parameters!$D$70,Parameters!D76,IF(Presentation!$F$38=Parameters!$H$70,Parameters!H76,IF(Presentation!$F$38=Parameters!$I$70,Parameters!I76,IF(Presentation!$F$38=Parameters!$G$70,Parameters!G76,Parameters!J76))))</f>
        <v>1.9691716481639629E-2</v>
      </c>
      <c r="F17" s="51">
        <f t="shared" ca="1" si="12"/>
        <v>1.8997792072823545E-2</v>
      </c>
      <c r="G17" s="52">
        <f>$D$83+$D$84</f>
        <v>9368</v>
      </c>
      <c r="H17" s="52" t="s">
        <v>9</v>
      </c>
      <c r="I17" s="56">
        <f t="shared" si="24"/>
        <v>1.9691716481639631E-3</v>
      </c>
      <c r="J17" s="56">
        <v>1.0999999999999999E-2</v>
      </c>
      <c r="K17" s="174">
        <v>2.9000000000000001E-2</v>
      </c>
      <c r="L17" s="53" t="s">
        <v>8</v>
      </c>
      <c r="M17" s="97">
        <f t="shared" ref="M17:M18" si="29">G17*E17</f>
        <v>184.47200000000004</v>
      </c>
      <c r="N17" s="97">
        <f t="shared" ref="N17:N18" si="30">G17*(1-E17)</f>
        <v>9183.5280000000002</v>
      </c>
      <c r="O17" s="290" t="s">
        <v>529</v>
      </c>
      <c r="P17" s="291" t="s">
        <v>533</v>
      </c>
      <c r="Q17" s="98" t="s">
        <v>104</v>
      </c>
      <c r="S17" s="1"/>
    </row>
    <row r="18" spans="1:19" x14ac:dyDescent="0.3">
      <c r="A18" s="1"/>
      <c r="B18" s="38">
        <v>15</v>
      </c>
      <c r="C18" s="48" t="s">
        <v>282</v>
      </c>
      <c r="D18" s="49">
        <f t="shared" si="1"/>
        <v>3.5028181041844575E-2</v>
      </c>
      <c r="E18" s="50">
        <f>IF(Presentation!$F$38=Parameters!$D$70,Parameters!D77,IF(Presentation!$F$38=Parameters!$H$70,Parameters!H77,IF(Presentation!$F$38=Parameters!$I$70,Parameters!I77,IF(Presentation!$F$38=Parameters!$G$70,Parameters!G77,Parameters!J77))))</f>
        <v>3.5028181041844575E-2</v>
      </c>
      <c r="F18" s="51">
        <f t="shared" ca="1" si="12"/>
        <v>3.7198057347864188E-2</v>
      </c>
      <c r="G18" s="52">
        <f>$D$83+$D$84</f>
        <v>9368</v>
      </c>
      <c r="H18" s="52" t="s">
        <v>9</v>
      </c>
      <c r="I18" s="56">
        <f t="shared" si="24"/>
        <v>3.5028181041844575E-3</v>
      </c>
      <c r="J18" s="56">
        <v>0.02</v>
      </c>
      <c r="K18" s="174">
        <v>4.2000000000000003E-2</v>
      </c>
      <c r="L18" s="53" t="s">
        <v>8</v>
      </c>
      <c r="M18" s="97">
        <f t="shared" si="29"/>
        <v>328.14400000000001</v>
      </c>
      <c r="N18" s="97">
        <f t="shared" si="30"/>
        <v>9039.8559999999998</v>
      </c>
      <c r="O18" s="290" t="s">
        <v>529</v>
      </c>
      <c r="P18" s="291" t="s">
        <v>533</v>
      </c>
      <c r="Q18" s="98" t="s">
        <v>104</v>
      </c>
      <c r="S18" s="1"/>
    </row>
    <row r="19" spans="1:19" x14ac:dyDescent="0.3">
      <c r="A19" s="1"/>
      <c r="B19" s="232">
        <v>16</v>
      </c>
      <c r="C19" s="48" t="s">
        <v>283</v>
      </c>
      <c r="D19" s="49">
        <f t="shared" si="1"/>
        <v>1.4E-3</v>
      </c>
      <c r="E19" s="50">
        <f>1.4/1000</f>
        <v>1.4E-3</v>
      </c>
      <c r="F19" s="51">
        <f t="shared" ref="F19" ca="1" si="31">IF(L19="Beta",(_xlfn.BETA.INV(RAND(),M19,N19)),IF(L19="Gama",(_xlfn.GAMMA.INV(RAND(),M19,N19)),"Checar dist."))</f>
        <v>1.2927179748409329E-3</v>
      </c>
      <c r="G19" s="52" t="s">
        <v>9</v>
      </c>
      <c r="H19" s="52" t="s">
        <v>9</v>
      </c>
      <c r="I19" s="56">
        <f t="shared" si="24"/>
        <v>1.3999999999999999E-4</v>
      </c>
      <c r="J19" s="56">
        <f t="shared" si="27"/>
        <v>1.2600000000000001E-3</v>
      </c>
      <c r="K19" s="174">
        <f t="shared" si="28"/>
        <v>1.5399999999999999E-3</v>
      </c>
      <c r="L19" s="53" t="s">
        <v>8</v>
      </c>
      <c r="M19" s="53">
        <f t="shared" ref="M19" si="32">(E19*(E19*(1-E19)/I19^2-1))</f>
        <v>99.858600000000024</v>
      </c>
      <c r="N19" s="53">
        <f t="shared" ref="N19" si="33">((M19/E19)-M19)</f>
        <v>71227.712828571443</v>
      </c>
      <c r="O19" s="290" t="s">
        <v>529</v>
      </c>
      <c r="P19" s="291" t="s">
        <v>533</v>
      </c>
      <c r="Q19" s="98" t="s">
        <v>26</v>
      </c>
      <c r="S19" s="1"/>
    </row>
    <row r="20" spans="1:19" x14ac:dyDescent="0.3">
      <c r="A20" s="1"/>
      <c r="B20" s="42" t="s">
        <v>258</v>
      </c>
      <c r="C20" s="48" t="s">
        <v>284</v>
      </c>
      <c r="D20" s="49">
        <f>IF(AND($Q$1=0,O20="Estimativa pontual"), E20, IF(AND($Q$1=0, O20="Limite Inferior"),J20, IF(AND($P$1=0, O20="Limite Superior"),K20,F20)))</f>
        <v>0.181147541</v>
      </c>
      <c r="E20" s="50">
        <v>0.181147541</v>
      </c>
      <c r="F20" s="51">
        <f t="shared" ref="F20:F22" ca="1" si="34">IF(L20="Beta",(_xlfn.BETA.INV(RAND(),M20,N20)),IF(L20="Gama",(_xlfn.GAMMA.INV(RAND(),M20,N20)),"Checar dist."))</f>
        <v>0.19464990519338732</v>
      </c>
      <c r="G20" s="52">
        <v>1395</v>
      </c>
      <c r="H20" s="52" t="s">
        <v>9</v>
      </c>
      <c r="I20" s="56">
        <f t="shared" ref="I20:I23" si="35">E20/10</f>
        <v>1.8114754099999998E-2</v>
      </c>
      <c r="J20" s="56">
        <f t="shared" ref="J20" si="36">E20-I20</f>
        <v>0.1630327869</v>
      </c>
      <c r="K20" s="174">
        <f t="shared" ref="K20" si="37">E20+I20</f>
        <v>0.19926229509999999</v>
      </c>
      <c r="L20" s="53" t="s">
        <v>8</v>
      </c>
      <c r="M20" s="97">
        <f>G20*E20</f>
        <v>252.70081969500001</v>
      </c>
      <c r="N20" s="97">
        <f t="shared" ref="N20" si="38">G20*(1-E20)</f>
        <v>1142.2991803049999</v>
      </c>
      <c r="O20" s="290" t="s">
        <v>529</v>
      </c>
      <c r="P20" s="291" t="s">
        <v>533</v>
      </c>
      <c r="Q20" s="98" t="s">
        <v>39</v>
      </c>
      <c r="S20" s="1"/>
    </row>
    <row r="21" spans="1:19" x14ac:dyDescent="0.3">
      <c r="A21" s="1"/>
      <c r="B21" s="38">
        <v>18</v>
      </c>
      <c r="C21" s="83" t="s">
        <v>285</v>
      </c>
      <c r="D21" s="49">
        <f t="shared" ref="D21:D64" si="39">IF(AND($Q$1=0,O21="Estimativa pontual"), E21, IF(AND($Q$1=0, O21="Limite Inferior"),J21, IF(AND($P$1=0, O21="Limite Superior"),K21,F21)))</f>
        <v>0.79812206569999999</v>
      </c>
      <c r="E21" s="50">
        <v>0.79812206569999999</v>
      </c>
      <c r="F21" s="51">
        <f t="shared" ca="1" si="34"/>
        <v>0.73159873871126679</v>
      </c>
      <c r="G21" s="52" t="s">
        <v>9</v>
      </c>
      <c r="H21" s="52" t="s">
        <v>9</v>
      </c>
      <c r="I21" s="56">
        <f t="shared" si="35"/>
        <v>7.9812206570000002E-2</v>
      </c>
      <c r="J21" s="56">
        <f t="shared" ref="J21:J22" si="40">E21-I21</f>
        <v>0.71830985913000001</v>
      </c>
      <c r="K21" s="174">
        <f t="shared" ref="K21:K22" si="41">E21+I21</f>
        <v>0.87793427226999998</v>
      </c>
      <c r="L21" s="53" t="s">
        <v>8</v>
      </c>
      <c r="M21" s="53">
        <f t="shared" ref="M21:M22" si="42">(E21*(E21*(1-E21)/I21^2-1))</f>
        <v>19.389671364300003</v>
      </c>
      <c r="N21" s="53">
        <f t="shared" ref="N21:N22" si="43">((M21/E21)-M21)</f>
        <v>4.904446287107266</v>
      </c>
      <c r="O21" s="290" t="s">
        <v>529</v>
      </c>
      <c r="P21" s="291" t="s">
        <v>533</v>
      </c>
      <c r="Q21" s="98" t="s">
        <v>39</v>
      </c>
      <c r="S21" s="1"/>
    </row>
    <row r="22" spans="1:19" x14ac:dyDescent="0.3">
      <c r="A22" s="1"/>
      <c r="B22" s="38">
        <v>19</v>
      </c>
      <c r="C22" s="48" t="s">
        <v>286</v>
      </c>
      <c r="D22" s="49">
        <f t="shared" si="39"/>
        <v>0.624</v>
      </c>
      <c r="E22" s="50">
        <v>0.624</v>
      </c>
      <c r="F22" s="51">
        <f t="shared" ca="1" si="34"/>
        <v>0.60862225693324667</v>
      </c>
      <c r="G22" s="52" t="s">
        <v>9</v>
      </c>
      <c r="H22" s="52" t="s">
        <v>9</v>
      </c>
      <c r="I22" s="56">
        <f t="shared" si="35"/>
        <v>6.2399999999999997E-2</v>
      </c>
      <c r="J22" s="56">
        <f t="shared" si="40"/>
        <v>0.56159999999999999</v>
      </c>
      <c r="K22" s="174">
        <f t="shared" si="41"/>
        <v>0.68640000000000001</v>
      </c>
      <c r="L22" s="53" t="s">
        <v>8</v>
      </c>
      <c r="M22" s="53">
        <f t="shared" si="42"/>
        <v>36.976000000000006</v>
      </c>
      <c r="N22" s="53">
        <f t="shared" si="43"/>
        <v>22.280410256410264</v>
      </c>
      <c r="O22" s="290" t="s">
        <v>529</v>
      </c>
      <c r="P22" s="291" t="s">
        <v>533</v>
      </c>
      <c r="Q22" s="98" t="s">
        <v>53</v>
      </c>
      <c r="S22" s="1"/>
    </row>
    <row r="23" spans="1:19" x14ac:dyDescent="0.3">
      <c r="A23" s="1"/>
      <c r="B23" s="232">
        <v>20</v>
      </c>
      <c r="C23" s="48" t="s">
        <v>287</v>
      </c>
      <c r="D23" s="49">
        <f t="shared" si="39"/>
        <v>0.622</v>
      </c>
      <c r="E23" s="50">
        <v>0.622</v>
      </c>
      <c r="F23" s="51">
        <f t="shared" ref="F23" ca="1" si="44">IF(L23="Beta",(_xlfn.BETA.INV(RAND(),M23,N23)),IF(L23="Gama",(_xlfn.GAMMA.INV(RAND(),M23,N23)),"Checar dist."))</f>
        <v>0.54259906915672806</v>
      </c>
      <c r="G23" s="52" t="s">
        <v>9</v>
      </c>
      <c r="H23" s="52" t="s">
        <v>9</v>
      </c>
      <c r="I23" s="56">
        <f t="shared" si="35"/>
        <v>6.2199999999999998E-2</v>
      </c>
      <c r="J23" s="56">
        <f t="shared" ref="J23" si="45">E23-I23</f>
        <v>0.55979999999999996</v>
      </c>
      <c r="K23" s="174">
        <f t="shared" ref="K23" si="46">E23+I23</f>
        <v>0.68420000000000003</v>
      </c>
      <c r="L23" s="53" t="s">
        <v>8</v>
      </c>
      <c r="M23" s="53">
        <f t="shared" ref="M23" si="47">(E23*(E23*(1-E23)/I23^2-1))</f>
        <v>37.178000000000004</v>
      </c>
      <c r="N23" s="53">
        <f t="shared" ref="N23" si="48">((M23/E23)-M23)</f>
        <v>22.593704180064314</v>
      </c>
      <c r="O23" s="290" t="s">
        <v>529</v>
      </c>
      <c r="P23" s="291" t="s">
        <v>533</v>
      </c>
      <c r="Q23" s="98" t="s">
        <v>53</v>
      </c>
      <c r="S23" s="1"/>
    </row>
    <row r="24" spans="1:19" x14ac:dyDescent="0.3">
      <c r="A24" s="1"/>
      <c r="B24" s="42" t="s">
        <v>259</v>
      </c>
      <c r="C24" s="48" t="s">
        <v>288</v>
      </c>
      <c r="D24" s="49">
        <f t="shared" si="39"/>
        <v>0.5</v>
      </c>
      <c r="E24" s="56">
        <f>38.5/(38.5+23.1+15.4)</f>
        <v>0.5</v>
      </c>
      <c r="F24" s="51">
        <f t="shared" ref="F24:F29" ca="1" si="49">IF(L24="Beta",(_xlfn.BETA.INV(RAND(),M24,N24)),IF(L24="Gama",(_xlfn.GAMMA.INV(RAND(),M24,N24)),"Checar dist."))</f>
        <v>0.49702562700494474</v>
      </c>
      <c r="G24" s="52" t="s">
        <v>9</v>
      </c>
      <c r="H24" s="52" t="s">
        <v>9</v>
      </c>
      <c r="I24" s="50">
        <f>E24/10</f>
        <v>0.05</v>
      </c>
      <c r="J24" s="56">
        <f t="shared" ref="J24:J29" si="50">E24-I24</f>
        <v>0.45</v>
      </c>
      <c r="K24" s="174">
        <f t="shared" ref="K24:K29" si="51">E24+I24</f>
        <v>0.55000000000000004</v>
      </c>
      <c r="L24" s="53" t="s">
        <v>8</v>
      </c>
      <c r="M24" s="53">
        <f t="shared" ref="M24:M29" si="52">(E24*(E24*(1-E24)/I24^2-1))</f>
        <v>49.499999999999993</v>
      </c>
      <c r="N24" s="53">
        <f t="shared" ref="N24:N29" si="53">((M24/E24)-M24)</f>
        <v>49.499999999999993</v>
      </c>
      <c r="O24" s="290" t="s">
        <v>529</v>
      </c>
      <c r="P24" s="291" t="s">
        <v>533</v>
      </c>
      <c r="Q24" s="98" t="s">
        <v>53</v>
      </c>
      <c r="S24" s="1"/>
    </row>
    <row r="25" spans="1:19" x14ac:dyDescent="0.3">
      <c r="A25" s="1"/>
      <c r="B25" s="38">
        <v>22</v>
      </c>
      <c r="C25" s="48" t="s">
        <v>289</v>
      </c>
      <c r="D25" s="49">
        <f t="shared" si="39"/>
        <v>0.30000000000000004</v>
      </c>
      <c r="E25" s="56">
        <f>23.1/(38.5+23.1+15.4)</f>
        <v>0.30000000000000004</v>
      </c>
      <c r="F25" s="51">
        <f t="shared" ca="1" si="49"/>
        <v>0.28638642533088488</v>
      </c>
      <c r="G25" s="52" t="s">
        <v>9</v>
      </c>
      <c r="H25" s="52" t="s">
        <v>9</v>
      </c>
      <c r="I25" s="50">
        <f t="shared" ref="I25:I29" si="54">E25/10</f>
        <v>3.0000000000000006E-2</v>
      </c>
      <c r="J25" s="56">
        <f t="shared" si="50"/>
        <v>0.27</v>
      </c>
      <c r="K25" s="174">
        <f t="shared" si="51"/>
        <v>0.33000000000000007</v>
      </c>
      <c r="L25" s="53" t="s">
        <v>8</v>
      </c>
      <c r="M25" s="53">
        <f t="shared" si="52"/>
        <v>69.7</v>
      </c>
      <c r="N25" s="53">
        <f t="shared" si="53"/>
        <v>162.63333333333333</v>
      </c>
      <c r="O25" s="290" t="s">
        <v>529</v>
      </c>
      <c r="P25" s="291" t="s">
        <v>533</v>
      </c>
      <c r="Q25" s="98" t="s">
        <v>53</v>
      </c>
      <c r="S25" s="1"/>
    </row>
    <row r="26" spans="1:19" x14ac:dyDescent="0.3">
      <c r="A26" s="1"/>
      <c r="B26" s="38">
        <v>23</v>
      </c>
      <c r="C26" s="48" t="s">
        <v>290</v>
      </c>
      <c r="D26" s="49">
        <f t="shared" si="39"/>
        <v>0.2</v>
      </c>
      <c r="E26" s="56">
        <f>15.4/(38.5+23.1+15.4)</f>
        <v>0.2</v>
      </c>
      <c r="F26" s="51">
        <f t="shared" ca="1" si="49"/>
        <v>0.21556192227081294</v>
      </c>
      <c r="G26" s="52" t="s">
        <v>9</v>
      </c>
      <c r="H26" s="52" t="s">
        <v>9</v>
      </c>
      <c r="I26" s="50">
        <f t="shared" si="54"/>
        <v>0.02</v>
      </c>
      <c r="J26" s="56">
        <f t="shared" si="50"/>
        <v>0.18000000000000002</v>
      </c>
      <c r="K26" s="174">
        <f t="shared" si="51"/>
        <v>0.22</v>
      </c>
      <c r="L26" s="53" t="s">
        <v>8</v>
      </c>
      <c r="M26" s="53">
        <f t="shared" si="52"/>
        <v>79.800000000000011</v>
      </c>
      <c r="N26" s="53">
        <f t="shared" si="53"/>
        <v>319.20000000000005</v>
      </c>
      <c r="O26" s="290" t="s">
        <v>529</v>
      </c>
      <c r="P26" s="291" t="s">
        <v>533</v>
      </c>
      <c r="Q26" s="98" t="s">
        <v>53</v>
      </c>
      <c r="S26" s="1"/>
    </row>
    <row r="27" spans="1:19" x14ac:dyDescent="0.3">
      <c r="A27" s="1"/>
      <c r="B27" s="38">
        <v>24</v>
      </c>
      <c r="C27" s="48" t="s">
        <v>291</v>
      </c>
      <c r="D27" s="49">
        <f t="shared" si="39"/>
        <v>0.76923076923076927</v>
      </c>
      <c r="E27" s="56">
        <f>61/(61+12.2+6.1)</f>
        <v>0.76923076923076927</v>
      </c>
      <c r="F27" s="51">
        <f t="shared" ca="1" si="49"/>
        <v>0.90160462590186141</v>
      </c>
      <c r="G27" s="52" t="s">
        <v>9</v>
      </c>
      <c r="H27" s="52" t="s">
        <v>9</v>
      </c>
      <c r="I27" s="50">
        <f t="shared" si="54"/>
        <v>7.6923076923076927E-2</v>
      </c>
      <c r="J27" s="56">
        <f t="shared" si="50"/>
        <v>0.69230769230769229</v>
      </c>
      <c r="K27" s="174">
        <f t="shared" si="51"/>
        <v>0.84615384615384626</v>
      </c>
      <c r="L27" s="53" t="s">
        <v>8</v>
      </c>
      <c r="M27" s="53">
        <f t="shared" si="52"/>
        <v>22.307692307692307</v>
      </c>
      <c r="N27" s="53">
        <f t="shared" si="53"/>
        <v>6.6923076923076898</v>
      </c>
      <c r="O27" s="290" t="s">
        <v>529</v>
      </c>
      <c r="P27" s="291" t="s">
        <v>533</v>
      </c>
      <c r="Q27" s="98" t="s">
        <v>53</v>
      </c>
      <c r="S27" s="1"/>
    </row>
    <row r="28" spans="1:19" x14ac:dyDescent="0.3">
      <c r="A28" s="1"/>
      <c r="B28" s="38">
        <v>25</v>
      </c>
      <c r="C28" s="48" t="s">
        <v>292</v>
      </c>
      <c r="D28" s="49">
        <f t="shared" si="39"/>
        <v>0.15384615384615385</v>
      </c>
      <c r="E28" s="56">
        <f>12.2/(61+12.2+6.1)</f>
        <v>0.15384615384615385</v>
      </c>
      <c r="F28" s="51">
        <f t="shared" ca="1" si="49"/>
        <v>0.15689740887265824</v>
      </c>
      <c r="G28" s="52" t="s">
        <v>9</v>
      </c>
      <c r="H28" s="52" t="s">
        <v>9</v>
      </c>
      <c r="I28" s="50">
        <f t="shared" si="54"/>
        <v>1.5384615384615385E-2</v>
      </c>
      <c r="J28" s="56">
        <f t="shared" si="50"/>
        <v>0.13846153846153847</v>
      </c>
      <c r="K28" s="174">
        <f t="shared" si="51"/>
        <v>0.16923076923076924</v>
      </c>
      <c r="L28" s="53" t="s">
        <v>8</v>
      </c>
      <c r="M28" s="53">
        <f t="shared" si="52"/>
        <v>84.461538461538453</v>
      </c>
      <c r="N28" s="53">
        <f t="shared" si="53"/>
        <v>464.53846153846143</v>
      </c>
      <c r="O28" s="290" t="s">
        <v>529</v>
      </c>
      <c r="P28" s="291" t="s">
        <v>533</v>
      </c>
      <c r="Q28" s="98" t="s">
        <v>53</v>
      </c>
      <c r="S28" s="1"/>
    </row>
    <row r="29" spans="1:19" x14ac:dyDescent="0.3">
      <c r="A29" s="1"/>
      <c r="B29" s="232">
        <v>26</v>
      </c>
      <c r="C29" s="48" t="s">
        <v>293</v>
      </c>
      <c r="D29" s="49">
        <f t="shared" si="39"/>
        <v>7.6923076923076927E-2</v>
      </c>
      <c r="E29" s="56">
        <f>6.1/(61+12.2+6.1)</f>
        <v>7.6923076923076927E-2</v>
      </c>
      <c r="F29" s="51">
        <f t="shared" ca="1" si="49"/>
        <v>7.2584649867906192E-2</v>
      </c>
      <c r="G29" s="52" t="s">
        <v>9</v>
      </c>
      <c r="H29" s="52" t="s">
        <v>9</v>
      </c>
      <c r="I29" s="50">
        <f t="shared" si="54"/>
        <v>7.6923076923076927E-3</v>
      </c>
      <c r="J29" s="56">
        <f t="shared" si="50"/>
        <v>6.9230769230769235E-2</v>
      </c>
      <c r="K29" s="174">
        <f t="shared" si="51"/>
        <v>8.461538461538462E-2</v>
      </c>
      <c r="L29" s="53" t="s">
        <v>8</v>
      </c>
      <c r="M29" s="53">
        <f t="shared" si="52"/>
        <v>92.230769230769241</v>
      </c>
      <c r="N29" s="53">
        <f t="shared" si="53"/>
        <v>1106.7692307692307</v>
      </c>
      <c r="O29" s="290" t="s">
        <v>529</v>
      </c>
      <c r="P29" s="291" t="s">
        <v>533</v>
      </c>
      <c r="Q29" s="98" t="s">
        <v>53</v>
      </c>
      <c r="S29" s="1"/>
    </row>
    <row r="30" spans="1:19" x14ac:dyDescent="0.3">
      <c r="A30" s="1"/>
      <c r="B30" s="42" t="s">
        <v>260</v>
      </c>
      <c r="C30" s="48" t="s">
        <v>294</v>
      </c>
      <c r="D30" s="84">
        <f t="shared" si="39"/>
        <v>0.82499999999999996</v>
      </c>
      <c r="E30" s="50">
        <v>0.82499999999999996</v>
      </c>
      <c r="F30" s="51">
        <f t="shared" ref="F30:F35" ca="1" si="55">IF(L30="Beta",(_xlfn.BETA.INV(RAND(),M30,N30)),IF(L30="Gama",(_xlfn.GAMMA.INV(RAND(),M30,N30)),"Checar dist."))</f>
        <v>0.81835162489503888</v>
      </c>
      <c r="G30" s="52" t="s">
        <v>9</v>
      </c>
      <c r="H30" s="52" t="s">
        <v>9</v>
      </c>
      <c r="I30" s="50">
        <v>8.3999999999999995E-3</v>
      </c>
      <c r="J30" s="56">
        <f t="shared" ref="J30" si="56">E30-I30</f>
        <v>0.81659999999999999</v>
      </c>
      <c r="K30" s="174">
        <f t="shared" ref="K30" si="57">E30+I30</f>
        <v>0.83339999999999992</v>
      </c>
      <c r="L30" s="53" t="s">
        <v>8</v>
      </c>
      <c r="M30" s="53">
        <f t="shared" ref="M30" si="58">(E30*(E30*(1-E30)/I30^2-1))</f>
        <v>1687.2330357142864</v>
      </c>
      <c r="N30" s="53">
        <f t="shared" ref="N30" si="59">((M30/E30)-M30)</f>
        <v>357.89791666666702</v>
      </c>
      <c r="O30" s="290" t="s">
        <v>529</v>
      </c>
      <c r="P30" s="291" t="s">
        <v>533</v>
      </c>
      <c r="Q30" s="98" t="s">
        <v>25</v>
      </c>
      <c r="S30" s="1"/>
    </row>
    <row r="31" spans="1:19" x14ac:dyDescent="0.3">
      <c r="A31" s="1"/>
      <c r="B31" s="38">
        <v>28</v>
      </c>
      <c r="C31" s="48" t="s">
        <v>295</v>
      </c>
      <c r="D31" s="84">
        <f t="shared" si="39"/>
        <v>0.94199999999999995</v>
      </c>
      <c r="E31" s="50">
        <v>0.94199999999999995</v>
      </c>
      <c r="F31" s="51">
        <f t="shared" ca="1" si="55"/>
        <v>0.94704948778779263</v>
      </c>
      <c r="G31" s="52" t="s">
        <v>9</v>
      </c>
      <c r="H31" s="52" t="s">
        <v>9</v>
      </c>
      <c r="I31" s="50">
        <v>7.0000000000000001E-3</v>
      </c>
      <c r="J31" s="56">
        <f t="shared" ref="J31:J38" si="60">E31-I31</f>
        <v>0.93499999999999994</v>
      </c>
      <c r="K31" s="174">
        <f t="shared" ref="K31:K38" si="61">E31+I31</f>
        <v>0.94899999999999995</v>
      </c>
      <c r="L31" s="53" t="s">
        <v>8</v>
      </c>
      <c r="M31" s="53">
        <f t="shared" ref="M31:M38" si="62">(E31*(E31*(1-E31)/I31^2-1))</f>
        <v>1049.4072244897968</v>
      </c>
      <c r="N31" s="53">
        <f t="shared" ref="N31:N38" si="63">((M31/E31)-M31)</f>
        <v>64.613183673469393</v>
      </c>
      <c r="O31" s="290" t="s">
        <v>529</v>
      </c>
      <c r="P31" s="291" t="s">
        <v>533</v>
      </c>
      <c r="Q31" s="98" t="s">
        <v>25</v>
      </c>
      <c r="S31" s="1"/>
    </row>
    <row r="32" spans="1:19" x14ac:dyDescent="0.3">
      <c r="A32" s="1"/>
      <c r="B32" s="38">
        <v>29</v>
      </c>
      <c r="C32" s="48" t="s">
        <v>296</v>
      </c>
      <c r="D32" s="84">
        <f t="shared" si="39"/>
        <v>0.98699999999999999</v>
      </c>
      <c r="E32" s="50">
        <v>0.98699999999999999</v>
      </c>
      <c r="F32" s="51">
        <f t="shared" ca="1" si="55"/>
        <v>0.98754138010652714</v>
      </c>
      <c r="G32" s="52">
        <v>420</v>
      </c>
      <c r="H32" s="52" t="s">
        <v>9</v>
      </c>
      <c r="I32" s="50">
        <f t="shared" ref="I32:I35" si="64">E32/10</f>
        <v>9.8699999999999996E-2</v>
      </c>
      <c r="J32" s="56">
        <f t="shared" si="60"/>
        <v>0.88829999999999998</v>
      </c>
      <c r="K32" s="174">
        <f t="shared" si="61"/>
        <v>1.0856999999999999</v>
      </c>
      <c r="L32" s="53" t="s">
        <v>8</v>
      </c>
      <c r="M32" s="97">
        <f>G32*E32</f>
        <v>414.54</v>
      </c>
      <c r="N32" s="97">
        <f t="shared" ref="N32" si="65">G32*(1-E32)</f>
        <v>5.4600000000000044</v>
      </c>
      <c r="O32" s="290" t="s">
        <v>529</v>
      </c>
      <c r="P32" s="291" t="s">
        <v>533</v>
      </c>
      <c r="Q32" s="98" t="s">
        <v>47</v>
      </c>
      <c r="S32" s="1"/>
    </row>
    <row r="33" spans="1:19" x14ac:dyDescent="0.3">
      <c r="A33" s="1"/>
      <c r="B33" s="38">
        <v>30</v>
      </c>
      <c r="C33" s="48" t="s">
        <v>297</v>
      </c>
      <c r="D33" s="84">
        <f t="shared" si="39"/>
        <v>0.93300000000000005</v>
      </c>
      <c r="E33" s="50">
        <v>0.93300000000000005</v>
      </c>
      <c r="F33" s="51">
        <f t="shared" ca="1" si="55"/>
        <v>0.94493897955920647</v>
      </c>
      <c r="G33" s="52">
        <v>415</v>
      </c>
      <c r="H33" s="52" t="s">
        <v>9</v>
      </c>
      <c r="I33" s="50">
        <f t="shared" si="64"/>
        <v>9.3300000000000008E-2</v>
      </c>
      <c r="J33" s="56">
        <f t="shared" si="60"/>
        <v>0.8397</v>
      </c>
      <c r="K33" s="174">
        <f t="shared" si="61"/>
        <v>1.0263</v>
      </c>
      <c r="L33" s="53" t="s">
        <v>8</v>
      </c>
      <c r="M33" s="97">
        <f t="shared" ref="M33:M35" si="66">G33*E33</f>
        <v>387.19499999999999</v>
      </c>
      <c r="N33" s="97">
        <f t="shared" ref="N33:N35" si="67">G33*(1-E33)</f>
        <v>27.804999999999978</v>
      </c>
      <c r="O33" s="290" t="s">
        <v>529</v>
      </c>
      <c r="P33" s="291" t="s">
        <v>533</v>
      </c>
      <c r="Q33" s="98" t="s">
        <v>47</v>
      </c>
      <c r="S33" s="1"/>
    </row>
    <row r="34" spans="1:19" x14ac:dyDescent="0.3">
      <c r="A34" s="1"/>
      <c r="B34" s="38">
        <v>31</v>
      </c>
      <c r="C34" s="48" t="s">
        <v>298</v>
      </c>
      <c r="D34" s="84">
        <f t="shared" si="39"/>
        <v>0.86199999999999999</v>
      </c>
      <c r="E34" s="50">
        <v>0.86199999999999999</v>
      </c>
      <c r="F34" s="51">
        <f t="shared" ca="1" si="55"/>
        <v>0.88935377360299228</v>
      </c>
      <c r="G34" s="52">
        <v>225</v>
      </c>
      <c r="H34" s="52" t="s">
        <v>9</v>
      </c>
      <c r="I34" s="50">
        <f t="shared" si="64"/>
        <v>8.6199999999999999E-2</v>
      </c>
      <c r="J34" s="56">
        <f t="shared" si="60"/>
        <v>0.77580000000000005</v>
      </c>
      <c r="K34" s="174">
        <f t="shared" si="61"/>
        <v>0.94819999999999993</v>
      </c>
      <c r="L34" s="53" t="s">
        <v>8</v>
      </c>
      <c r="M34" s="97">
        <f t="shared" si="66"/>
        <v>193.95</v>
      </c>
      <c r="N34" s="97">
        <f t="shared" si="67"/>
        <v>31.050000000000004</v>
      </c>
      <c r="O34" s="290" t="s">
        <v>529</v>
      </c>
      <c r="P34" s="291" t="s">
        <v>533</v>
      </c>
      <c r="Q34" s="98" t="s">
        <v>47</v>
      </c>
      <c r="S34" s="1"/>
    </row>
    <row r="35" spans="1:19" x14ac:dyDescent="0.3">
      <c r="A35" s="1"/>
      <c r="B35" s="38">
        <v>32</v>
      </c>
      <c r="C35" s="48" t="s">
        <v>299</v>
      </c>
      <c r="D35" s="84">
        <f t="shared" si="39"/>
        <v>0.40799999999999997</v>
      </c>
      <c r="E35" s="56">
        <v>0.40799999999999997</v>
      </c>
      <c r="F35" s="51">
        <f t="shared" ca="1" si="55"/>
        <v>0.39299989639244848</v>
      </c>
      <c r="G35" s="52">
        <v>78</v>
      </c>
      <c r="H35" s="52" t="s">
        <v>9</v>
      </c>
      <c r="I35" s="50">
        <f t="shared" si="64"/>
        <v>4.0799999999999996E-2</v>
      </c>
      <c r="J35" s="56">
        <f t="shared" si="60"/>
        <v>0.36719999999999997</v>
      </c>
      <c r="K35" s="174">
        <f t="shared" si="61"/>
        <v>0.44879999999999998</v>
      </c>
      <c r="L35" s="53" t="s">
        <v>8</v>
      </c>
      <c r="M35" s="97">
        <f t="shared" si="66"/>
        <v>31.823999999999998</v>
      </c>
      <c r="N35" s="97">
        <f t="shared" si="67"/>
        <v>46.176000000000009</v>
      </c>
      <c r="O35" s="290" t="s">
        <v>529</v>
      </c>
      <c r="P35" s="291" t="s">
        <v>533</v>
      </c>
      <c r="Q35" s="98" t="s">
        <v>47</v>
      </c>
      <c r="S35" s="1"/>
    </row>
    <row r="36" spans="1:19" x14ac:dyDescent="0.3">
      <c r="A36" s="1"/>
      <c r="B36" s="38">
        <v>33</v>
      </c>
      <c r="C36" s="48" t="s">
        <v>300</v>
      </c>
      <c r="D36" s="84">
        <f t="shared" si="39"/>
        <v>2.5000000000000001E-5</v>
      </c>
      <c r="E36" s="56">
        <v>2.5000000000000001E-5</v>
      </c>
      <c r="F36" s="51">
        <f t="shared" ref="F36:F38" ca="1" si="68">IF(L36="Beta",(_xlfn.BETA.INV(RAND(),M36,N36)),IF(L36="Gama",(_xlfn.GAMMA.INV(RAND(),M36,N36)),"Checar dist."))</f>
        <v>2.2605720572822315E-5</v>
      </c>
      <c r="G36" s="52" t="s">
        <v>9</v>
      </c>
      <c r="H36" s="52" t="s">
        <v>9</v>
      </c>
      <c r="I36" s="50">
        <f t="shared" ref="I36:I38" si="69">E36/10</f>
        <v>2.5000000000000002E-6</v>
      </c>
      <c r="J36" s="56">
        <f t="shared" si="60"/>
        <v>2.2500000000000001E-5</v>
      </c>
      <c r="K36" s="174">
        <f t="shared" si="61"/>
        <v>2.7500000000000001E-5</v>
      </c>
      <c r="L36" s="53" t="s">
        <v>8</v>
      </c>
      <c r="M36" s="53">
        <f t="shared" si="62"/>
        <v>99.997474999999994</v>
      </c>
      <c r="N36" s="53">
        <f t="shared" si="63"/>
        <v>3999799.0025249994</v>
      </c>
      <c r="O36" s="290" t="s">
        <v>529</v>
      </c>
      <c r="P36" s="291" t="s">
        <v>533</v>
      </c>
      <c r="Q36" s="99" t="s">
        <v>48</v>
      </c>
      <c r="S36" s="1"/>
    </row>
    <row r="37" spans="1:19" x14ac:dyDescent="0.3">
      <c r="A37" s="1"/>
      <c r="B37" s="38">
        <v>34</v>
      </c>
      <c r="C37" s="48" t="s">
        <v>301</v>
      </c>
      <c r="D37" s="84">
        <f t="shared" si="39"/>
        <v>0.105</v>
      </c>
      <c r="E37" s="56">
        <v>0.105</v>
      </c>
      <c r="F37" s="51">
        <f t="shared" ca="1" si="68"/>
        <v>0.11001147419481261</v>
      </c>
      <c r="G37" s="52" t="s">
        <v>9</v>
      </c>
      <c r="H37" s="52" t="s">
        <v>9</v>
      </c>
      <c r="I37" s="50">
        <f t="shared" si="69"/>
        <v>1.0499999999999999E-2</v>
      </c>
      <c r="J37" s="56">
        <f t="shared" si="60"/>
        <v>9.4500000000000001E-2</v>
      </c>
      <c r="K37" s="174">
        <f t="shared" si="61"/>
        <v>0.11549999999999999</v>
      </c>
      <c r="L37" s="53" t="s">
        <v>8</v>
      </c>
      <c r="M37" s="53">
        <f t="shared" si="62"/>
        <v>89.39500000000001</v>
      </c>
      <c r="N37" s="53">
        <f t="shared" si="63"/>
        <v>761.98595238095254</v>
      </c>
      <c r="O37" s="290" t="s">
        <v>529</v>
      </c>
      <c r="P37" s="291" t="s">
        <v>533</v>
      </c>
      <c r="Q37" s="99" t="s">
        <v>48</v>
      </c>
      <c r="S37" s="1"/>
    </row>
    <row r="38" spans="1:19" x14ac:dyDescent="0.3">
      <c r="A38" s="1"/>
      <c r="B38" s="232">
        <v>35</v>
      </c>
      <c r="C38" s="48" t="s">
        <v>302</v>
      </c>
      <c r="D38" s="84">
        <f t="shared" si="39"/>
        <v>0.105</v>
      </c>
      <c r="E38" s="56">
        <v>0.105</v>
      </c>
      <c r="F38" s="51">
        <f t="shared" ca="1" si="68"/>
        <v>0.10960910305246185</v>
      </c>
      <c r="G38" s="52" t="s">
        <v>9</v>
      </c>
      <c r="H38" s="52" t="s">
        <v>9</v>
      </c>
      <c r="I38" s="50">
        <f t="shared" si="69"/>
        <v>1.0499999999999999E-2</v>
      </c>
      <c r="J38" s="56">
        <f t="shared" si="60"/>
        <v>9.4500000000000001E-2</v>
      </c>
      <c r="K38" s="174">
        <f t="shared" si="61"/>
        <v>0.11549999999999999</v>
      </c>
      <c r="L38" s="53" t="s">
        <v>8</v>
      </c>
      <c r="M38" s="53">
        <f t="shared" si="62"/>
        <v>89.39500000000001</v>
      </c>
      <c r="N38" s="53">
        <f t="shared" si="63"/>
        <v>761.98595238095254</v>
      </c>
      <c r="O38" s="290" t="s">
        <v>529</v>
      </c>
      <c r="P38" s="291" t="s">
        <v>533</v>
      </c>
      <c r="Q38" s="99" t="s">
        <v>48</v>
      </c>
      <c r="S38" s="1"/>
    </row>
    <row r="39" spans="1:19" x14ac:dyDescent="0.3">
      <c r="A39" s="1"/>
      <c r="B39" s="42" t="s">
        <v>261</v>
      </c>
      <c r="C39" s="48" t="s">
        <v>208</v>
      </c>
      <c r="D39" s="376">
        <f t="shared" si="39"/>
        <v>334.85723488508688</v>
      </c>
      <c r="E39" s="374">
        <f>IF(Presentation!F42=Presentation!B43,Costs!O13,IF(Presentation!F42=Presentation!C43,555,IF(Presentation!F42=Presentation!D43,529.62,Presentation!I42)))</f>
        <v>334.85723488508688</v>
      </c>
      <c r="F39" s="377">
        <f t="shared" ref="F39:F42" ca="1" si="70">IF(L39="Beta",(_xlfn.BETA.INV(RAND(),M39,N39)),IF(L39="Gama",(_xlfn.GAMMA.INV(RAND(),M39,N39)),"Checar dist."))</f>
        <v>319.84343097169932</v>
      </c>
      <c r="G39" s="52" t="s">
        <v>9</v>
      </c>
      <c r="H39" s="52" t="s">
        <v>9</v>
      </c>
      <c r="I39" s="50">
        <f t="shared" ref="I39:I42" si="71">E39/10</f>
        <v>33.48572348850869</v>
      </c>
      <c r="J39" s="56">
        <f t="shared" ref="J39:J42" si="72">E39-I39</f>
        <v>301.37151139657817</v>
      </c>
      <c r="K39" s="174">
        <f t="shared" ref="K39:K42" si="73">E39+I39</f>
        <v>368.34295837359559</v>
      </c>
      <c r="L39" s="53" t="s">
        <v>22</v>
      </c>
      <c r="M39" s="53">
        <f t="shared" ref="M39:M42" si="74">E39^2/I39^2</f>
        <v>99.999999999999986</v>
      </c>
      <c r="N39" s="53">
        <f t="shared" ref="N39:N42" si="75">I39^2/E39</f>
        <v>3.3485723488508694</v>
      </c>
      <c r="O39" s="290" t="s">
        <v>529</v>
      </c>
      <c r="P39" s="291" t="s">
        <v>533</v>
      </c>
      <c r="Q39" s="98" t="s">
        <v>514</v>
      </c>
      <c r="S39" s="1"/>
    </row>
    <row r="40" spans="1:19" x14ac:dyDescent="0.3">
      <c r="A40" s="1"/>
      <c r="B40" s="38">
        <v>37</v>
      </c>
      <c r="C40" s="48" t="s">
        <v>303</v>
      </c>
      <c r="D40" s="376">
        <f t="shared" si="39"/>
        <v>101.29847098277725</v>
      </c>
      <c r="E40" s="374">
        <f>IF(Presentation!F44=Presentation!B45,Costs!O15,IF(Presentation!F44=Presentation!C45,313.83,IF(Presentation!F44=Presentation!D45,122.54,Presentation!I44)))</f>
        <v>101.29847098277725</v>
      </c>
      <c r="F40" s="377">
        <f t="shared" ca="1" si="70"/>
        <v>97.716014513672491</v>
      </c>
      <c r="G40" s="52" t="s">
        <v>9</v>
      </c>
      <c r="H40" s="52" t="s">
        <v>9</v>
      </c>
      <c r="I40" s="50">
        <f t="shared" si="71"/>
        <v>10.129847098277725</v>
      </c>
      <c r="J40" s="56">
        <f t="shared" si="72"/>
        <v>91.168623884499524</v>
      </c>
      <c r="K40" s="174">
        <f t="shared" si="73"/>
        <v>111.42831808105497</v>
      </c>
      <c r="L40" s="53" t="s">
        <v>22</v>
      </c>
      <c r="M40" s="53">
        <f t="shared" si="74"/>
        <v>99.999999999999986</v>
      </c>
      <c r="N40" s="53">
        <f t="shared" si="75"/>
        <v>1.0129847098277724</v>
      </c>
      <c r="O40" s="290" t="s">
        <v>529</v>
      </c>
      <c r="P40" s="291" t="s">
        <v>533</v>
      </c>
      <c r="Q40" s="98" t="s">
        <v>96</v>
      </c>
      <c r="S40" s="1"/>
    </row>
    <row r="41" spans="1:19" x14ac:dyDescent="0.3">
      <c r="A41" s="1"/>
      <c r="B41" s="38">
        <v>38</v>
      </c>
      <c r="C41" s="48" t="s">
        <v>304</v>
      </c>
      <c r="D41" s="376">
        <f t="shared" si="39"/>
        <v>64.946550711457206</v>
      </c>
      <c r="E41" s="374">
        <f>Costs!G43</f>
        <v>64.946550711457206</v>
      </c>
      <c r="F41" s="377">
        <f t="shared" ca="1" si="70"/>
        <v>63.633227524686085</v>
      </c>
      <c r="G41" s="52" t="s">
        <v>9</v>
      </c>
      <c r="H41" s="52" t="s">
        <v>9</v>
      </c>
      <c r="I41" s="50">
        <f t="shared" si="71"/>
        <v>6.4946550711457203</v>
      </c>
      <c r="J41" s="56">
        <f t="shared" si="72"/>
        <v>58.451895640311484</v>
      </c>
      <c r="K41" s="174">
        <f t="shared" si="73"/>
        <v>71.441205782602921</v>
      </c>
      <c r="L41" s="53" t="s">
        <v>22</v>
      </c>
      <c r="M41" s="53">
        <f t="shared" si="74"/>
        <v>100</v>
      </c>
      <c r="N41" s="53">
        <f t="shared" si="75"/>
        <v>0.64946550711457196</v>
      </c>
      <c r="O41" s="290" t="s">
        <v>529</v>
      </c>
      <c r="P41" s="291" t="s">
        <v>533</v>
      </c>
      <c r="Q41" s="98" t="s">
        <v>442</v>
      </c>
      <c r="S41" s="1"/>
    </row>
    <row r="42" spans="1:19" x14ac:dyDescent="0.3">
      <c r="A42" s="1"/>
      <c r="B42" s="38">
        <v>39</v>
      </c>
      <c r="C42" s="48" t="s">
        <v>305</v>
      </c>
      <c r="D42" s="376">
        <f t="shared" si="39"/>
        <v>330.14085147501851</v>
      </c>
      <c r="E42" s="374">
        <f>Costs!G49</f>
        <v>330.14085147501851</v>
      </c>
      <c r="F42" s="377">
        <f t="shared" ca="1" si="70"/>
        <v>370.66821168965379</v>
      </c>
      <c r="G42" s="52" t="s">
        <v>9</v>
      </c>
      <c r="H42" s="52" t="s">
        <v>9</v>
      </c>
      <c r="I42" s="50">
        <f t="shared" si="71"/>
        <v>33.014085147501852</v>
      </c>
      <c r="J42" s="56">
        <f t="shared" si="72"/>
        <v>297.12676632751663</v>
      </c>
      <c r="K42" s="174">
        <f t="shared" si="73"/>
        <v>363.15493662252038</v>
      </c>
      <c r="L42" s="53" t="s">
        <v>22</v>
      </c>
      <c r="M42" s="53">
        <f t="shared" si="74"/>
        <v>100</v>
      </c>
      <c r="N42" s="53">
        <f t="shared" si="75"/>
        <v>3.3014085147501855</v>
      </c>
      <c r="O42" s="290" t="s">
        <v>529</v>
      </c>
      <c r="P42" s="291" t="s">
        <v>533</v>
      </c>
      <c r="Q42" s="98" t="s">
        <v>442</v>
      </c>
      <c r="S42" s="1"/>
    </row>
    <row r="43" spans="1:19" x14ac:dyDescent="0.3">
      <c r="A43" s="1"/>
      <c r="B43" s="38">
        <v>40</v>
      </c>
      <c r="C43" s="48" t="s">
        <v>306</v>
      </c>
      <c r="D43" s="376">
        <f t="shared" si="39"/>
        <v>5286.5901210708817</v>
      </c>
      <c r="E43" s="374">
        <f>Costs!G57</f>
        <v>5286.5901210708817</v>
      </c>
      <c r="F43" s="377">
        <f t="shared" ref="F43" ca="1" si="76">IF(L43="Beta",(_xlfn.BETA.INV(RAND(),M43,N43)),IF(L43="Gama",(_xlfn.GAMMA.INV(RAND(),M43,N43)),"Checar dist."))</f>
        <v>5884.6308683982215</v>
      </c>
      <c r="G43" s="52" t="s">
        <v>9</v>
      </c>
      <c r="H43" s="52" t="s">
        <v>9</v>
      </c>
      <c r="I43" s="50">
        <f>E43/10</f>
        <v>528.65901210708819</v>
      </c>
      <c r="J43" s="56">
        <f t="shared" ref="J43:J53" si="77">E43-I43</f>
        <v>4757.9311089637931</v>
      </c>
      <c r="K43" s="174">
        <f t="shared" ref="K43:K53" si="78">E43+I43</f>
        <v>5815.2491331779702</v>
      </c>
      <c r="L43" s="53" t="s">
        <v>22</v>
      </c>
      <c r="M43" s="53">
        <f t="shared" ref="M43" si="79">E43^2/I43^2</f>
        <v>99.999999999999972</v>
      </c>
      <c r="N43" s="53">
        <f t="shared" ref="N43" si="80">I43^2/E43</f>
        <v>52.865901210708827</v>
      </c>
      <c r="O43" s="290" t="s">
        <v>529</v>
      </c>
      <c r="P43" s="291" t="s">
        <v>533</v>
      </c>
      <c r="Q43" s="98" t="s">
        <v>442</v>
      </c>
      <c r="S43" s="1"/>
    </row>
    <row r="44" spans="1:19" x14ac:dyDescent="0.3">
      <c r="A44" s="1"/>
      <c r="B44" s="38">
        <v>41</v>
      </c>
      <c r="C44" s="48" t="s">
        <v>307</v>
      </c>
      <c r="D44" s="376">
        <f t="shared" si="39"/>
        <v>193.49991473881659</v>
      </c>
      <c r="E44" s="374">
        <f>Costs!G62</f>
        <v>193.49991473881659</v>
      </c>
      <c r="F44" s="377">
        <f t="shared" ref="F44" ca="1" si="81">IF(L44="Beta",(_xlfn.BETA.INV(RAND(),M44,N44)),IF(L44="Gama",(_xlfn.GAMMA.INV(RAND(),M44,N44)),"Checar dist."))</f>
        <v>202.69497349535007</v>
      </c>
      <c r="G44" s="52" t="s">
        <v>9</v>
      </c>
      <c r="H44" s="52" t="s">
        <v>9</v>
      </c>
      <c r="I44" s="50">
        <f t="shared" ref="I44:I53" si="82">E44/10</f>
        <v>19.349991473881659</v>
      </c>
      <c r="J44" s="56">
        <f t="shared" ref="J44" si="83">E44-I44</f>
        <v>174.14992326493493</v>
      </c>
      <c r="K44" s="174">
        <f t="shared" ref="K44" si="84">E44+I44</f>
        <v>212.84990621269824</v>
      </c>
      <c r="L44" s="53" t="s">
        <v>22</v>
      </c>
      <c r="M44" s="53">
        <f t="shared" ref="M44" si="85">E44^2/I44^2</f>
        <v>100</v>
      </c>
      <c r="N44" s="53">
        <f t="shared" ref="N44" si="86">I44^2/E44</f>
        <v>1.934999147388166</v>
      </c>
      <c r="O44" s="290" t="s">
        <v>529</v>
      </c>
      <c r="P44" s="291" t="s">
        <v>533</v>
      </c>
      <c r="Q44" s="98" t="s">
        <v>442</v>
      </c>
      <c r="S44" s="1"/>
    </row>
    <row r="45" spans="1:19" x14ac:dyDescent="0.3">
      <c r="A45" s="1"/>
      <c r="B45" s="38">
        <v>42</v>
      </c>
      <c r="C45" s="48" t="s">
        <v>308</v>
      </c>
      <c r="D45" s="376">
        <f t="shared" si="39"/>
        <v>13103.447761420262</v>
      </c>
      <c r="E45" s="374">
        <f>Costs!G162</f>
        <v>13103.447761420262</v>
      </c>
      <c r="F45" s="377">
        <f t="shared" ref="F45:F50" ca="1" si="87">IF(L45="Beta",(_xlfn.BETA.INV(RAND(),M45,N45)),IF(L45="Gama",(_xlfn.GAMMA.INV(RAND(),M45,N45)),"Checar dist."))</f>
        <v>11841.279849704044</v>
      </c>
      <c r="G45" s="52" t="s">
        <v>9</v>
      </c>
      <c r="H45" s="52" t="s">
        <v>9</v>
      </c>
      <c r="I45" s="50">
        <f t="shared" si="82"/>
        <v>1310.3447761420261</v>
      </c>
      <c r="J45" s="56">
        <f t="shared" ref="J45:J50" si="88">E45-I45</f>
        <v>11793.102985278236</v>
      </c>
      <c r="K45" s="174">
        <f t="shared" ref="K45:K50" si="89">E45+I45</f>
        <v>14413.792537562289</v>
      </c>
      <c r="L45" s="53" t="s">
        <v>22</v>
      </c>
      <c r="M45" s="53">
        <f t="shared" ref="M45:M50" si="90">E45^2/I45^2</f>
        <v>100.00000000000001</v>
      </c>
      <c r="N45" s="53">
        <f t="shared" ref="N45:N50" si="91">I45^2/E45</f>
        <v>131.03447761420261</v>
      </c>
      <c r="O45" s="290" t="s">
        <v>529</v>
      </c>
      <c r="P45" s="291" t="s">
        <v>533</v>
      </c>
      <c r="Q45" s="98" t="s">
        <v>442</v>
      </c>
      <c r="S45" s="1"/>
    </row>
    <row r="46" spans="1:19" x14ac:dyDescent="0.3">
      <c r="A46" s="1"/>
      <c r="B46" s="38">
        <v>43</v>
      </c>
      <c r="C46" s="48" t="s">
        <v>309</v>
      </c>
      <c r="D46" s="376">
        <f t="shared" si="39"/>
        <v>35567.855688815631</v>
      </c>
      <c r="E46" s="375">
        <f>Costs!G186</f>
        <v>35567.855688815631</v>
      </c>
      <c r="F46" s="377">
        <f t="shared" ca="1" si="87"/>
        <v>34024.346400163493</v>
      </c>
      <c r="G46" s="52" t="s">
        <v>9</v>
      </c>
      <c r="H46" s="52" t="s">
        <v>9</v>
      </c>
      <c r="I46" s="50">
        <f t="shared" si="82"/>
        <v>3556.785568881563</v>
      </c>
      <c r="J46" s="56">
        <f t="shared" si="88"/>
        <v>32011.070119934069</v>
      </c>
      <c r="K46" s="174">
        <f t="shared" si="89"/>
        <v>39124.641257697192</v>
      </c>
      <c r="L46" s="53" t="s">
        <v>22</v>
      </c>
      <c r="M46" s="53">
        <f t="shared" si="90"/>
        <v>100</v>
      </c>
      <c r="N46" s="53">
        <f t="shared" si="91"/>
        <v>355.67855688815627</v>
      </c>
      <c r="O46" s="290" t="s">
        <v>529</v>
      </c>
      <c r="P46" s="291" t="s">
        <v>533</v>
      </c>
      <c r="Q46" s="98" t="s">
        <v>442</v>
      </c>
      <c r="S46" s="1"/>
    </row>
    <row r="47" spans="1:19" x14ac:dyDescent="0.3">
      <c r="A47" s="1"/>
      <c r="B47" s="38">
        <v>44</v>
      </c>
      <c r="C47" s="48" t="s">
        <v>310</v>
      </c>
      <c r="D47" s="376">
        <f t="shared" si="39"/>
        <v>68324.934397068093</v>
      </c>
      <c r="E47" s="375">
        <f>Costs!G211</f>
        <v>68324.934397068093</v>
      </c>
      <c r="F47" s="377">
        <f t="shared" ca="1" si="87"/>
        <v>66987.636818761966</v>
      </c>
      <c r="G47" s="52" t="s">
        <v>9</v>
      </c>
      <c r="H47" s="52" t="s">
        <v>9</v>
      </c>
      <c r="I47" s="50">
        <f t="shared" si="82"/>
        <v>6832.4934397068091</v>
      </c>
      <c r="J47" s="56">
        <f t="shared" si="88"/>
        <v>61492.440957361287</v>
      </c>
      <c r="K47" s="174">
        <f t="shared" si="89"/>
        <v>75157.427836774907</v>
      </c>
      <c r="L47" s="53" t="s">
        <v>22</v>
      </c>
      <c r="M47" s="53">
        <f t="shared" si="90"/>
        <v>100.00000000000001</v>
      </c>
      <c r="N47" s="53">
        <f t="shared" si="91"/>
        <v>683.24934397068091</v>
      </c>
      <c r="O47" s="290" t="s">
        <v>529</v>
      </c>
      <c r="P47" s="291" t="s">
        <v>533</v>
      </c>
      <c r="Q47" s="98" t="s">
        <v>442</v>
      </c>
      <c r="S47" s="1"/>
    </row>
    <row r="48" spans="1:19" x14ac:dyDescent="0.3">
      <c r="A48" s="1"/>
      <c r="B48" s="38">
        <v>45</v>
      </c>
      <c r="C48" s="48" t="s">
        <v>311</v>
      </c>
      <c r="D48" s="376">
        <f t="shared" si="39"/>
        <v>766.44789404876951</v>
      </c>
      <c r="E48" s="375">
        <f>Costs!G235</f>
        <v>766.44789404876951</v>
      </c>
      <c r="F48" s="377">
        <f t="shared" ca="1" si="87"/>
        <v>827.72829361786978</v>
      </c>
      <c r="G48" s="52" t="s">
        <v>9</v>
      </c>
      <c r="H48" s="52" t="s">
        <v>9</v>
      </c>
      <c r="I48" s="50">
        <f t="shared" si="82"/>
        <v>76.644789404876946</v>
      </c>
      <c r="J48" s="56">
        <f t="shared" si="88"/>
        <v>689.80310464389254</v>
      </c>
      <c r="K48" s="174">
        <f t="shared" si="89"/>
        <v>843.09268345364649</v>
      </c>
      <c r="L48" s="53" t="s">
        <v>22</v>
      </c>
      <c r="M48" s="53">
        <f t="shared" si="90"/>
        <v>100.00000000000001</v>
      </c>
      <c r="N48" s="53">
        <f t="shared" si="91"/>
        <v>7.6644789404876938</v>
      </c>
      <c r="O48" s="290" t="s">
        <v>529</v>
      </c>
      <c r="P48" s="291" t="s">
        <v>533</v>
      </c>
      <c r="Q48" s="98" t="s">
        <v>442</v>
      </c>
      <c r="S48" s="1"/>
    </row>
    <row r="49" spans="1:20" x14ac:dyDescent="0.3">
      <c r="A49" s="1"/>
      <c r="B49" s="38">
        <v>46</v>
      </c>
      <c r="C49" s="48" t="s">
        <v>312</v>
      </c>
      <c r="D49" s="376">
        <f t="shared" si="39"/>
        <v>766.44789404876951</v>
      </c>
      <c r="E49" s="375">
        <f>Costs!G259</f>
        <v>766.44789404876951</v>
      </c>
      <c r="F49" s="377">
        <f t="shared" ca="1" si="87"/>
        <v>742.95670767014565</v>
      </c>
      <c r="G49" s="52" t="s">
        <v>9</v>
      </c>
      <c r="H49" s="52" t="s">
        <v>9</v>
      </c>
      <c r="I49" s="50">
        <f t="shared" si="82"/>
        <v>76.644789404876946</v>
      </c>
      <c r="J49" s="56">
        <f t="shared" si="88"/>
        <v>689.80310464389254</v>
      </c>
      <c r="K49" s="174">
        <f t="shared" si="89"/>
        <v>843.09268345364649</v>
      </c>
      <c r="L49" s="53" t="s">
        <v>22</v>
      </c>
      <c r="M49" s="53">
        <f t="shared" si="90"/>
        <v>100.00000000000001</v>
      </c>
      <c r="N49" s="53">
        <f t="shared" si="91"/>
        <v>7.6644789404876938</v>
      </c>
      <c r="O49" s="290" t="s">
        <v>529</v>
      </c>
      <c r="P49" s="291" t="s">
        <v>533</v>
      </c>
      <c r="Q49" s="98" t="s">
        <v>442</v>
      </c>
      <c r="S49" s="1"/>
    </row>
    <row r="50" spans="1:20" x14ac:dyDescent="0.3">
      <c r="A50" s="1"/>
      <c r="B50" s="38">
        <v>47</v>
      </c>
      <c r="C50" s="48" t="s">
        <v>313</v>
      </c>
      <c r="D50" s="376">
        <f t="shared" si="39"/>
        <v>29577.491111995296</v>
      </c>
      <c r="E50" s="375">
        <f>Costs!G284</f>
        <v>29577.491111995296</v>
      </c>
      <c r="F50" s="377">
        <f t="shared" ca="1" si="87"/>
        <v>32982.399520190142</v>
      </c>
      <c r="G50" s="52" t="s">
        <v>9</v>
      </c>
      <c r="H50" s="52" t="s">
        <v>9</v>
      </c>
      <c r="I50" s="50">
        <f t="shared" si="82"/>
        <v>2957.7491111995296</v>
      </c>
      <c r="J50" s="56">
        <f t="shared" si="88"/>
        <v>26619.742000795766</v>
      </c>
      <c r="K50" s="174">
        <f t="shared" si="89"/>
        <v>32535.240223194825</v>
      </c>
      <c r="L50" s="53" t="s">
        <v>22</v>
      </c>
      <c r="M50" s="53">
        <f t="shared" si="90"/>
        <v>100</v>
      </c>
      <c r="N50" s="53">
        <f t="shared" si="91"/>
        <v>295.77491111995295</v>
      </c>
      <c r="O50" s="290" t="s">
        <v>529</v>
      </c>
      <c r="P50" s="291" t="s">
        <v>533</v>
      </c>
      <c r="Q50" s="98" t="s">
        <v>442</v>
      </c>
      <c r="S50" s="1"/>
    </row>
    <row r="51" spans="1:20" s="248" customFormat="1" x14ac:dyDescent="0.3">
      <c r="A51" s="247"/>
      <c r="B51" s="38">
        <v>48</v>
      </c>
      <c r="C51" s="83" t="s">
        <v>314</v>
      </c>
      <c r="D51" s="378">
        <f t="shared" si="39"/>
        <v>29577.491111995296</v>
      </c>
      <c r="E51" s="375">
        <f>Costs!G137</f>
        <v>29577.491111995296</v>
      </c>
      <c r="F51" s="377">
        <f t="shared" ref="F51:F53" ca="1" si="92">IF(L51="Beta",(_xlfn.BETA.INV(RAND(),M51,N51)),IF(L51="Gama",(_xlfn.GAMMA.INV(RAND(),M51,N51)),"Checar dist."))</f>
        <v>29038.545316345309</v>
      </c>
      <c r="G51" s="52" t="s">
        <v>9</v>
      </c>
      <c r="H51" s="52" t="s">
        <v>9</v>
      </c>
      <c r="I51" s="50">
        <f t="shared" si="82"/>
        <v>2957.7491111995296</v>
      </c>
      <c r="J51" s="56">
        <f t="shared" si="77"/>
        <v>26619.742000795766</v>
      </c>
      <c r="K51" s="174">
        <f t="shared" si="78"/>
        <v>32535.240223194825</v>
      </c>
      <c r="L51" s="97" t="s">
        <v>22</v>
      </c>
      <c r="M51" s="97">
        <f t="shared" ref="M51:M53" si="93">E51^2/I51^2</f>
        <v>100</v>
      </c>
      <c r="N51" s="97">
        <f>I51^2/E51</f>
        <v>295.77491111995295</v>
      </c>
      <c r="O51" s="290" t="s">
        <v>529</v>
      </c>
      <c r="P51" s="291" t="s">
        <v>533</v>
      </c>
      <c r="Q51" s="98" t="s">
        <v>442</v>
      </c>
      <c r="S51" s="247"/>
      <c r="T51" s="308"/>
    </row>
    <row r="52" spans="1:20" s="248" customFormat="1" x14ac:dyDescent="0.3">
      <c r="A52" s="247"/>
      <c r="B52" s="38">
        <v>49</v>
      </c>
      <c r="C52" s="83" t="s">
        <v>315</v>
      </c>
      <c r="D52" s="378">
        <f t="shared" si="39"/>
        <v>64221.060356256407</v>
      </c>
      <c r="E52" s="375">
        <f>Costs!G112</f>
        <v>64221.060356256407</v>
      </c>
      <c r="F52" s="377">
        <f t="shared" ref="F52" ca="1" si="94">IF(L52="Beta",(_xlfn.BETA.INV(RAND(),M52,N52)),IF(L52="Gama",(_xlfn.GAMMA.INV(RAND(),M52,N52)),"Checar dist."))</f>
        <v>59780.752756308364</v>
      </c>
      <c r="G52" s="52" t="s">
        <v>9</v>
      </c>
      <c r="H52" s="52" t="s">
        <v>9</v>
      </c>
      <c r="I52" s="50">
        <f t="shared" si="82"/>
        <v>6422.1060356256403</v>
      </c>
      <c r="J52" s="56">
        <f t="shared" ref="J52" si="95">E52-I52</f>
        <v>57798.954320630764</v>
      </c>
      <c r="K52" s="174">
        <f t="shared" ref="K52" si="96">E52+I52</f>
        <v>70643.166391882041</v>
      </c>
      <c r="L52" s="97" t="s">
        <v>22</v>
      </c>
      <c r="M52" s="97">
        <f t="shared" ref="M52" si="97">E52^2/I52^2</f>
        <v>100.00000000000001</v>
      </c>
      <c r="N52" s="97">
        <f t="shared" ref="N52" si="98">I52^2/E52</f>
        <v>642.21060356256396</v>
      </c>
      <c r="O52" s="290" t="s">
        <v>529</v>
      </c>
      <c r="P52" s="291" t="s">
        <v>533</v>
      </c>
      <c r="Q52" s="98" t="s">
        <v>442</v>
      </c>
      <c r="S52" s="247"/>
      <c r="T52" s="308"/>
    </row>
    <row r="53" spans="1:20" x14ac:dyDescent="0.3">
      <c r="A53" s="1"/>
      <c r="B53" s="232">
        <v>50</v>
      </c>
      <c r="C53" s="83" t="s">
        <v>316</v>
      </c>
      <c r="D53" s="378">
        <f t="shared" si="39"/>
        <v>80826.338346690929</v>
      </c>
      <c r="E53" s="375">
        <f>Costs!G86</f>
        <v>80826.338346690929</v>
      </c>
      <c r="F53" s="377">
        <f t="shared" ca="1" si="92"/>
        <v>82056.053112405716</v>
      </c>
      <c r="G53" s="52" t="s">
        <v>9</v>
      </c>
      <c r="H53" s="52" t="s">
        <v>9</v>
      </c>
      <c r="I53" s="50">
        <f t="shared" si="82"/>
        <v>8082.6338346690927</v>
      </c>
      <c r="J53" s="56">
        <f t="shared" si="77"/>
        <v>72743.704512021839</v>
      </c>
      <c r="K53" s="174">
        <f t="shared" si="78"/>
        <v>88908.972181360019</v>
      </c>
      <c r="L53" s="97" t="s">
        <v>22</v>
      </c>
      <c r="M53" s="97">
        <f t="shared" si="93"/>
        <v>100</v>
      </c>
      <c r="N53" s="97">
        <f t="shared" ref="N53" si="99">I53^2/E53</f>
        <v>808.2633834669092</v>
      </c>
      <c r="O53" s="290" t="s">
        <v>529</v>
      </c>
      <c r="P53" s="291" t="s">
        <v>533</v>
      </c>
      <c r="Q53" s="98" t="s">
        <v>442</v>
      </c>
      <c r="S53" s="1"/>
    </row>
    <row r="54" spans="1:20" x14ac:dyDescent="0.3">
      <c r="A54" s="1"/>
      <c r="B54" s="42" t="s">
        <v>510</v>
      </c>
      <c r="C54" s="48" t="s">
        <v>498</v>
      </c>
      <c r="D54" s="84">
        <f t="shared" si="39"/>
        <v>0.91</v>
      </c>
      <c r="E54" s="56">
        <v>0.91</v>
      </c>
      <c r="F54" s="51">
        <f t="shared" ref="F54" ca="1" si="100">IF(L54="Beta",(_xlfn.BETA.INV(RAND(),M54,N54)),IF(L54="Gama",(_xlfn.GAMMA.INV(RAND(),M54,N54)),"Checar dist."))</f>
        <v>0.94125770985526591</v>
      </c>
      <c r="G54" s="52" t="s">
        <v>9</v>
      </c>
      <c r="H54" s="97">
        <v>0.21</v>
      </c>
      <c r="I54" s="50">
        <f t="shared" ref="I54" si="101">E54/10</f>
        <v>9.0999999999999998E-2</v>
      </c>
      <c r="J54" s="56">
        <f t="shared" ref="J54" si="102">E54-I54</f>
        <v>0.81900000000000006</v>
      </c>
      <c r="K54" s="174">
        <f t="shared" ref="K54" si="103">E54+I54</f>
        <v>1.0010000000000001</v>
      </c>
      <c r="L54" s="53" t="s">
        <v>8</v>
      </c>
      <c r="M54" s="53">
        <f t="shared" ref="M54" si="104">(E54*(E54*(1-E54)/I54^2-1))</f>
        <v>8.0899999999999981</v>
      </c>
      <c r="N54" s="53">
        <f t="shared" ref="N54" si="105">((M54/E54)-M54)</f>
        <v>0.80010989010988887</v>
      </c>
      <c r="O54" s="290" t="s">
        <v>529</v>
      </c>
      <c r="P54" s="291" t="s">
        <v>533</v>
      </c>
      <c r="Q54" s="98" t="s">
        <v>166</v>
      </c>
      <c r="S54" s="1"/>
    </row>
    <row r="55" spans="1:20" x14ac:dyDescent="0.3">
      <c r="A55" s="1"/>
      <c r="B55" s="38">
        <v>52</v>
      </c>
      <c r="C55" s="48" t="s">
        <v>499</v>
      </c>
      <c r="D55" s="84">
        <f t="shared" si="39"/>
        <v>0.66</v>
      </c>
      <c r="E55" s="56">
        <v>0.66</v>
      </c>
      <c r="F55" s="51">
        <f t="shared" ref="F55:F57" ca="1" si="106">IF(L55="Beta",(_xlfn.BETA.INV(RAND(),M55,N55)),IF(L55="Gama",(_xlfn.GAMMA.INV(RAND(),M55,N55)),"Checar dist."))</f>
        <v>0.75636060294552776</v>
      </c>
      <c r="G55" s="52" t="s">
        <v>9</v>
      </c>
      <c r="H55" s="97">
        <v>0.38</v>
      </c>
      <c r="I55" s="50">
        <f t="shared" ref="I55:I57" si="107">E55/10</f>
        <v>6.6000000000000003E-2</v>
      </c>
      <c r="J55" s="56">
        <f t="shared" ref="J55:J57" si="108">E55-I55</f>
        <v>0.59400000000000008</v>
      </c>
      <c r="K55" s="174">
        <f t="shared" ref="K55:K57" si="109">E55+I55</f>
        <v>0.72599999999999998</v>
      </c>
      <c r="L55" s="53" t="s">
        <v>8</v>
      </c>
      <c r="M55" s="53">
        <f t="shared" ref="M55:M57" si="110">(E55*(E55*(1-E55)/I55^2-1))</f>
        <v>33.339999999999996</v>
      </c>
      <c r="N55" s="53">
        <f t="shared" ref="N55:N57" si="111">((M55/E55)-M55)</f>
        <v>17.175151515151512</v>
      </c>
      <c r="O55" s="290" t="s">
        <v>529</v>
      </c>
      <c r="P55" s="291" t="s">
        <v>533</v>
      </c>
      <c r="Q55" s="98" t="s">
        <v>166</v>
      </c>
      <c r="S55" s="1"/>
    </row>
    <row r="56" spans="1:20" x14ac:dyDescent="0.3">
      <c r="A56" s="1"/>
      <c r="B56" s="38">
        <v>53</v>
      </c>
      <c r="C56" s="48" t="s">
        <v>500</v>
      </c>
      <c r="D56" s="84">
        <f t="shared" si="39"/>
        <v>0.66</v>
      </c>
      <c r="E56" s="56">
        <v>0.66</v>
      </c>
      <c r="F56" s="51">
        <f t="shared" ca="1" si="106"/>
        <v>0.75344455961797741</v>
      </c>
      <c r="G56" s="52" t="s">
        <v>9</v>
      </c>
      <c r="H56" s="97">
        <v>0.28999999999999998</v>
      </c>
      <c r="I56" s="50">
        <f t="shared" si="107"/>
        <v>6.6000000000000003E-2</v>
      </c>
      <c r="J56" s="56">
        <f t="shared" si="108"/>
        <v>0.59400000000000008</v>
      </c>
      <c r="K56" s="174">
        <f t="shared" si="109"/>
        <v>0.72599999999999998</v>
      </c>
      <c r="L56" s="53" t="s">
        <v>8</v>
      </c>
      <c r="M56" s="53">
        <f t="shared" si="110"/>
        <v>33.339999999999996</v>
      </c>
      <c r="N56" s="53">
        <f t="shared" si="111"/>
        <v>17.175151515151512</v>
      </c>
      <c r="O56" s="290" t="s">
        <v>529</v>
      </c>
      <c r="P56" s="291" t="s">
        <v>533</v>
      </c>
      <c r="Q56" s="98" t="s">
        <v>166</v>
      </c>
      <c r="S56" s="1"/>
    </row>
    <row r="57" spans="1:20" x14ac:dyDescent="0.3">
      <c r="A57" s="1"/>
      <c r="B57" s="232">
        <v>54</v>
      </c>
      <c r="C57" s="48" t="s">
        <v>501</v>
      </c>
      <c r="D57" s="84">
        <f t="shared" si="39"/>
        <v>0.66</v>
      </c>
      <c r="E57" s="56">
        <v>0.66</v>
      </c>
      <c r="F57" s="51">
        <f t="shared" ca="1" si="106"/>
        <v>0.74650374840742484</v>
      </c>
      <c r="G57" s="52" t="s">
        <v>9</v>
      </c>
      <c r="H57" s="97">
        <v>0.19</v>
      </c>
      <c r="I57" s="50">
        <f t="shared" si="107"/>
        <v>6.6000000000000003E-2</v>
      </c>
      <c r="J57" s="56">
        <f t="shared" si="108"/>
        <v>0.59400000000000008</v>
      </c>
      <c r="K57" s="174">
        <f t="shared" si="109"/>
        <v>0.72599999999999998</v>
      </c>
      <c r="L57" s="53" t="s">
        <v>8</v>
      </c>
      <c r="M57" s="53">
        <f t="shared" si="110"/>
        <v>33.339999999999996</v>
      </c>
      <c r="N57" s="53">
        <f t="shared" si="111"/>
        <v>17.175151515151512</v>
      </c>
      <c r="O57" s="290" t="s">
        <v>529</v>
      </c>
      <c r="P57" s="291" t="s">
        <v>533</v>
      </c>
      <c r="Q57" s="98" t="s">
        <v>166</v>
      </c>
      <c r="S57" s="1"/>
    </row>
    <row r="58" spans="1:20" x14ac:dyDescent="0.3">
      <c r="A58" s="1"/>
      <c r="B58" s="42" t="s">
        <v>509</v>
      </c>
      <c r="C58" s="48" t="s">
        <v>502</v>
      </c>
      <c r="D58" s="84">
        <f t="shared" si="39"/>
        <v>0.83</v>
      </c>
      <c r="E58" s="56">
        <v>0.83</v>
      </c>
      <c r="F58" s="51">
        <f t="shared" ref="F58:F64" ca="1" si="112">IF(L58="Beta",(_xlfn.BETA.INV(RAND(),M58,N58)),IF(L58="Gama",(_xlfn.GAMMA.INV(RAND(),M58,N58)),"Checar dist."))</f>
        <v>0.88727409220648923</v>
      </c>
      <c r="G58" s="52" t="s">
        <v>9</v>
      </c>
      <c r="H58" s="52" t="s">
        <v>9</v>
      </c>
      <c r="I58" s="50">
        <f t="shared" ref="I58:I64" si="113">E58/10</f>
        <v>8.299999999999999E-2</v>
      </c>
      <c r="J58" s="56">
        <f t="shared" ref="J58:J64" si="114">E58-I58</f>
        <v>0.747</v>
      </c>
      <c r="K58" s="174">
        <f t="shared" ref="K58:K64" si="115">E58+I58</f>
        <v>0.91299999999999992</v>
      </c>
      <c r="L58" s="53" t="s">
        <v>8</v>
      </c>
      <c r="M58" s="53">
        <f t="shared" ref="M58:M64" si="116">(E58*(E58*(1-E58)/I58^2-1))</f>
        <v>16.170000000000009</v>
      </c>
      <c r="N58" s="53">
        <f t="shared" ref="N58:N64" si="117">((M58/E58)-M58)</f>
        <v>3.3119277108433778</v>
      </c>
      <c r="O58" s="290" t="s">
        <v>529</v>
      </c>
      <c r="P58" s="291" t="s">
        <v>533</v>
      </c>
      <c r="Q58" s="98" t="s">
        <v>167</v>
      </c>
      <c r="S58" s="1"/>
    </row>
    <row r="59" spans="1:20" x14ac:dyDescent="0.3">
      <c r="A59" s="1"/>
      <c r="B59" s="38">
        <v>56</v>
      </c>
      <c r="C59" s="48" t="s">
        <v>503</v>
      </c>
      <c r="D59" s="84">
        <f t="shared" si="39"/>
        <v>0.81</v>
      </c>
      <c r="E59" s="56">
        <v>0.81</v>
      </c>
      <c r="F59" s="51">
        <f t="shared" ca="1" si="112"/>
        <v>0.83867162160075803</v>
      </c>
      <c r="G59" s="52" t="s">
        <v>9</v>
      </c>
      <c r="H59" s="52" t="s">
        <v>9</v>
      </c>
      <c r="I59" s="50">
        <f t="shared" si="113"/>
        <v>8.1000000000000003E-2</v>
      </c>
      <c r="J59" s="56">
        <f t="shared" si="114"/>
        <v>0.72900000000000009</v>
      </c>
      <c r="K59" s="174">
        <f t="shared" si="115"/>
        <v>0.89100000000000001</v>
      </c>
      <c r="L59" s="53" t="s">
        <v>8</v>
      </c>
      <c r="M59" s="53">
        <f t="shared" si="116"/>
        <v>18.189999999999998</v>
      </c>
      <c r="N59" s="53">
        <f t="shared" si="117"/>
        <v>4.2667901234567864</v>
      </c>
      <c r="O59" s="290" t="s">
        <v>529</v>
      </c>
      <c r="P59" s="291" t="s">
        <v>533</v>
      </c>
      <c r="Q59" s="98" t="s">
        <v>167</v>
      </c>
      <c r="S59" s="1"/>
    </row>
    <row r="60" spans="1:20" x14ac:dyDescent="0.3">
      <c r="A60" s="1"/>
      <c r="B60" s="38">
        <v>57</v>
      </c>
      <c r="C60" s="48" t="s">
        <v>504</v>
      </c>
      <c r="D60" s="84">
        <f t="shared" si="39"/>
        <v>0.81</v>
      </c>
      <c r="E60" s="56">
        <v>0.81</v>
      </c>
      <c r="F60" s="51">
        <f t="shared" ref="F60:F62" ca="1" si="118">IF(L60="Beta",(_xlfn.BETA.INV(RAND(),M60,N60)),IF(L60="Gama",(_xlfn.GAMMA.INV(RAND(),M60,N60)),"Checar dist."))</f>
        <v>0.90598107880932344</v>
      </c>
      <c r="G60" s="52" t="s">
        <v>9</v>
      </c>
      <c r="H60" s="52" t="s">
        <v>9</v>
      </c>
      <c r="I60" s="50">
        <f t="shared" ref="I60:I62" si="119">E60/10</f>
        <v>8.1000000000000003E-2</v>
      </c>
      <c r="J60" s="56">
        <f t="shared" ref="J60:J62" si="120">E60-I60</f>
        <v>0.72900000000000009</v>
      </c>
      <c r="K60" s="174">
        <f t="shared" ref="K60:K62" si="121">E60+I60</f>
        <v>0.89100000000000001</v>
      </c>
      <c r="L60" s="53" t="s">
        <v>8</v>
      </c>
      <c r="M60" s="53">
        <f t="shared" ref="M60:M62" si="122">(E60*(E60*(1-E60)/I60^2-1))</f>
        <v>18.189999999999998</v>
      </c>
      <c r="N60" s="53">
        <f t="shared" ref="N60:N62" si="123">((M60/E60)-M60)</f>
        <v>4.2667901234567864</v>
      </c>
      <c r="O60" s="290" t="s">
        <v>529</v>
      </c>
      <c r="P60" s="291" t="s">
        <v>533</v>
      </c>
      <c r="Q60" s="98" t="s">
        <v>167</v>
      </c>
      <c r="S60" s="1"/>
    </row>
    <row r="61" spans="1:20" x14ac:dyDescent="0.3">
      <c r="A61" s="1"/>
      <c r="B61" s="38">
        <v>58</v>
      </c>
      <c r="C61" s="48" t="s">
        <v>505</v>
      </c>
      <c r="D61" s="84">
        <f t="shared" si="39"/>
        <v>0.81</v>
      </c>
      <c r="E61" s="56">
        <v>0.81</v>
      </c>
      <c r="F61" s="51">
        <f t="shared" ca="1" si="118"/>
        <v>0.81853473419072353</v>
      </c>
      <c r="G61" s="52" t="s">
        <v>9</v>
      </c>
      <c r="H61" s="52" t="s">
        <v>9</v>
      </c>
      <c r="I61" s="50">
        <f t="shared" si="119"/>
        <v>8.1000000000000003E-2</v>
      </c>
      <c r="J61" s="56">
        <f t="shared" si="120"/>
        <v>0.72900000000000009</v>
      </c>
      <c r="K61" s="174">
        <f t="shared" si="121"/>
        <v>0.89100000000000001</v>
      </c>
      <c r="L61" s="53" t="s">
        <v>8</v>
      </c>
      <c r="M61" s="53">
        <f t="shared" si="122"/>
        <v>18.189999999999998</v>
      </c>
      <c r="N61" s="53">
        <f t="shared" si="123"/>
        <v>4.2667901234567864</v>
      </c>
      <c r="O61" s="290" t="s">
        <v>529</v>
      </c>
      <c r="P61" s="291" t="s">
        <v>533</v>
      </c>
      <c r="Q61" s="98" t="s">
        <v>167</v>
      </c>
      <c r="S61" s="1"/>
    </row>
    <row r="62" spans="1:20" x14ac:dyDescent="0.3">
      <c r="A62" s="1"/>
      <c r="B62" s="38">
        <v>59</v>
      </c>
      <c r="C62" s="48" t="s">
        <v>506</v>
      </c>
      <c r="D62" s="84">
        <f t="shared" si="39"/>
        <v>0.81</v>
      </c>
      <c r="E62" s="56">
        <v>0.81</v>
      </c>
      <c r="F62" s="51">
        <f t="shared" ca="1" si="118"/>
        <v>0.77061180244392469</v>
      </c>
      <c r="G62" s="52" t="s">
        <v>9</v>
      </c>
      <c r="H62" s="52" t="s">
        <v>9</v>
      </c>
      <c r="I62" s="50">
        <f t="shared" si="119"/>
        <v>8.1000000000000003E-2</v>
      </c>
      <c r="J62" s="56">
        <f t="shared" si="120"/>
        <v>0.72900000000000009</v>
      </c>
      <c r="K62" s="174">
        <f t="shared" si="121"/>
        <v>0.89100000000000001</v>
      </c>
      <c r="L62" s="53" t="s">
        <v>8</v>
      </c>
      <c r="M62" s="53">
        <f t="shared" si="122"/>
        <v>18.189999999999998</v>
      </c>
      <c r="N62" s="53">
        <f t="shared" si="123"/>
        <v>4.2667901234567864</v>
      </c>
      <c r="O62" s="290" t="s">
        <v>529</v>
      </c>
      <c r="P62" s="291" t="s">
        <v>533</v>
      </c>
      <c r="Q62" s="98" t="s">
        <v>167</v>
      </c>
      <c r="S62" s="1"/>
    </row>
    <row r="63" spans="1:20" x14ac:dyDescent="0.3">
      <c r="A63" s="1"/>
      <c r="B63" s="38">
        <v>60</v>
      </c>
      <c r="C63" s="48" t="s">
        <v>507</v>
      </c>
      <c r="D63" s="84">
        <f t="shared" si="39"/>
        <v>0.77</v>
      </c>
      <c r="E63" s="56">
        <v>0.77</v>
      </c>
      <c r="F63" s="51">
        <f t="shared" ca="1" si="112"/>
        <v>0.83857304974095825</v>
      </c>
      <c r="G63" s="52" t="s">
        <v>9</v>
      </c>
      <c r="H63" s="52" t="s">
        <v>9</v>
      </c>
      <c r="I63" s="50">
        <f t="shared" si="113"/>
        <v>7.6999999999999999E-2</v>
      </c>
      <c r="J63" s="56">
        <f t="shared" si="114"/>
        <v>0.69300000000000006</v>
      </c>
      <c r="K63" s="174">
        <f t="shared" si="115"/>
        <v>0.84699999999999998</v>
      </c>
      <c r="L63" s="53" t="s">
        <v>8</v>
      </c>
      <c r="M63" s="53">
        <f t="shared" si="116"/>
        <v>22.229999999999997</v>
      </c>
      <c r="N63" s="53">
        <f t="shared" si="117"/>
        <v>6.6401298701298686</v>
      </c>
      <c r="O63" s="290" t="s">
        <v>529</v>
      </c>
      <c r="P63" s="291" t="s">
        <v>533</v>
      </c>
      <c r="Q63" s="98" t="s">
        <v>167</v>
      </c>
      <c r="S63" s="1"/>
    </row>
    <row r="64" spans="1:20" x14ac:dyDescent="0.3">
      <c r="A64" s="1"/>
      <c r="B64" s="38">
        <v>61</v>
      </c>
      <c r="C64" s="48" t="s">
        <v>508</v>
      </c>
      <c r="D64" s="84">
        <f t="shared" si="39"/>
        <v>0.8</v>
      </c>
      <c r="E64" s="56">
        <v>0.8</v>
      </c>
      <c r="F64" s="51">
        <f t="shared" ca="1" si="112"/>
        <v>0.80207119880325073</v>
      </c>
      <c r="G64" s="52" t="s">
        <v>9</v>
      </c>
      <c r="H64" s="52" t="s">
        <v>9</v>
      </c>
      <c r="I64" s="50">
        <f t="shared" si="113"/>
        <v>0.08</v>
      </c>
      <c r="J64" s="56">
        <f t="shared" si="114"/>
        <v>0.72000000000000008</v>
      </c>
      <c r="K64" s="174">
        <f t="shared" si="115"/>
        <v>0.88</v>
      </c>
      <c r="L64" s="53" t="s">
        <v>8</v>
      </c>
      <c r="M64" s="53">
        <f t="shared" si="116"/>
        <v>19.2</v>
      </c>
      <c r="N64" s="53">
        <f t="shared" si="117"/>
        <v>4.7999999999999972</v>
      </c>
      <c r="O64" s="290" t="s">
        <v>529</v>
      </c>
      <c r="P64" s="291" t="s">
        <v>533</v>
      </c>
      <c r="Q64" s="98" t="s">
        <v>167</v>
      </c>
      <c r="S64" s="1"/>
    </row>
    <row r="65" spans="1:19" x14ac:dyDescent="0.3">
      <c r="A65" s="1"/>
      <c r="S65" s="1"/>
    </row>
    <row r="66" spans="1:19" x14ac:dyDescent="0.3">
      <c r="A66" s="1"/>
      <c r="B66" s="1"/>
      <c r="C66" s="1"/>
      <c r="D66" s="1"/>
      <c r="E66" s="1"/>
      <c r="F66" s="1"/>
      <c r="G66" s="1"/>
      <c r="H66" s="1"/>
      <c r="I66" s="1"/>
      <c r="J66" s="1"/>
      <c r="K66" s="1"/>
      <c r="L66" s="1"/>
      <c r="M66" s="1"/>
      <c r="N66" s="1"/>
      <c r="O66" s="1"/>
      <c r="P66" s="1"/>
      <c r="Q66" s="1"/>
      <c r="R66" s="1"/>
      <c r="S66" s="1"/>
    </row>
    <row r="67" spans="1:19" hidden="1" x14ac:dyDescent="0.3">
      <c r="A67" s="1"/>
      <c r="S67" s="1"/>
    </row>
    <row r="68" spans="1:19" hidden="1" x14ac:dyDescent="0.3">
      <c r="A68" s="1"/>
    </row>
    <row r="69" spans="1:19" hidden="1" x14ac:dyDescent="0.3">
      <c r="A69" s="1"/>
      <c r="C69" s="233"/>
      <c r="D69" s="237"/>
      <c r="E69" s="436" t="s">
        <v>129</v>
      </c>
      <c r="F69" s="436"/>
      <c r="G69" s="237"/>
      <c r="H69" s="436" t="s">
        <v>130</v>
      </c>
      <c r="I69" s="436"/>
      <c r="J69" s="237"/>
    </row>
    <row r="70" spans="1:19" hidden="1" x14ac:dyDescent="0.3">
      <c r="A70" s="1"/>
      <c r="C70" s="233" t="s">
        <v>108</v>
      </c>
      <c r="D70" s="237" t="s">
        <v>110</v>
      </c>
      <c r="E70" s="237" t="s">
        <v>113</v>
      </c>
      <c r="F70" s="237" t="s">
        <v>112</v>
      </c>
      <c r="G70" s="237" t="s">
        <v>111</v>
      </c>
      <c r="H70" s="237" t="s">
        <v>113</v>
      </c>
      <c r="I70" s="237" t="s">
        <v>112</v>
      </c>
      <c r="J70" s="237" t="s">
        <v>131</v>
      </c>
      <c r="M70" s="237" t="s">
        <v>110</v>
      </c>
      <c r="N70" s="237" t="s">
        <v>131</v>
      </c>
      <c r="O70" s="237"/>
      <c r="P70" s="237"/>
      <c r="Q70" s="237" t="s">
        <v>113</v>
      </c>
      <c r="R70" s="237" t="s">
        <v>112</v>
      </c>
      <c r="S70" s="237" t="s">
        <v>111</v>
      </c>
    </row>
    <row r="71" spans="1:19" hidden="1" x14ac:dyDescent="0.3">
      <c r="A71" s="1"/>
      <c r="C71" s="233" t="s">
        <v>109</v>
      </c>
      <c r="D71" s="238">
        <v>1</v>
      </c>
      <c r="E71" s="238">
        <f>(E83+E84)/(E82+E83+E84+E85)</f>
        <v>0.69558216061051603</v>
      </c>
      <c r="F71" s="238">
        <f>(E84+E85)/(E82+E83+E84+E85)</f>
        <v>0.33543373240915775</v>
      </c>
      <c r="G71" s="238">
        <v>7.8E-2</v>
      </c>
      <c r="H71" s="239">
        <f>E71</f>
        <v>0.69558216061051603</v>
      </c>
      <c r="I71" s="239">
        <f>F71</f>
        <v>0.33543373240915775</v>
      </c>
      <c r="J71" s="238">
        <f>E83/SUM(E82:E85)</f>
        <v>0.4396835398725758</v>
      </c>
    </row>
    <row r="72" spans="1:19" hidden="1" x14ac:dyDescent="0.3">
      <c r="A72" s="1"/>
      <c r="C72" s="233" t="s">
        <v>24</v>
      </c>
      <c r="D72" s="238">
        <v>0.29023646069999998</v>
      </c>
      <c r="E72" s="238">
        <f>(F83+F84)/2</f>
        <v>0.33199999999999996</v>
      </c>
      <c r="F72" s="238">
        <f>(F84+F85)/2</f>
        <v>0.32100000000000001</v>
      </c>
      <c r="G72" s="238">
        <v>0.28000000000000003</v>
      </c>
      <c r="H72" s="238">
        <f>(F88+F89)/(G88+G89)</f>
        <v>0.32269638643983606</v>
      </c>
      <c r="I72" s="238">
        <f>(F89+F90)/(G89+G90)</f>
        <v>0.34029935300782532</v>
      </c>
      <c r="J72" s="238">
        <v>0.30199999999999999</v>
      </c>
    </row>
    <row r="73" spans="1:19" hidden="1" x14ac:dyDescent="0.3">
      <c r="A73" s="1"/>
      <c r="C73" s="233" t="s">
        <v>11</v>
      </c>
      <c r="D73" s="238">
        <v>1.652042192279754E-2</v>
      </c>
      <c r="E73" s="238">
        <f>(G83+G84)/2</f>
        <v>0.02</v>
      </c>
      <c r="F73" s="238">
        <f>(G84+G85)/2</f>
        <v>2.0499999999999997E-2</v>
      </c>
      <c r="G73" s="238">
        <v>2.1999999999999999E-2</v>
      </c>
      <c r="H73" s="238">
        <f>(G88+G89)/(E83+E84)</f>
        <v>2.0264217413185705E-2</v>
      </c>
      <c r="I73" s="238">
        <f>(G89+G90)/(E84+E85)</f>
        <v>1.9711333750782715E-2</v>
      </c>
      <c r="J73" s="238">
        <v>2.1000000000000001E-2</v>
      </c>
    </row>
    <row r="74" spans="1:19" hidden="1" x14ac:dyDescent="0.3">
      <c r="A74" s="1"/>
      <c r="C74" s="233" t="s">
        <v>12</v>
      </c>
      <c r="D74" s="238">
        <v>4.6959743978440292E-2</v>
      </c>
      <c r="E74" s="238">
        <f>(H84+H83)/2</f>
        <v>4.1499999999999995E-2</v>
      </c>
      <c r="F74" s="238">
        <f>(H84+H85)/2</f>
        <v>0.04</v>
      </c>
      <c r="G74" s="238">
        <v>0.04</v>
      </c>
      <c r="H74" s="238">
        <f>(H88+H89)/(E83+E84)</f>
        <v>4.189632611977856E-2</v>
      </c>
      <c r="I74" s="238">
        <f>(H89+H90)/(E84+E85)</f>
        <v>0.04</v>
      </c>
      <c r="J74" s="238">
        <v>4.2999999999999997E-2</v>
      </c>
    </row>
    <row r="75" spans="1:19" hidden="1" x14ac:dyDescent="0.3">
      <c r="A75" s="1"/>
      <c r="C75" s="233" t="s">
        <v>23</v>
      </c>
      <c r="D75" s="238">
        <v>0.40419769799999999</v>
      </c>
      <c r="E75" s="238">
        <f>(I83+I84)/2</f>
        <v>0.3805</v>
      </c>
      <c r="F75" s="238">
        <f>(I84+I85)/2</f>
        <v>0.30549999999999999</v>
      </c>
      <c r="G75" s="238">
        <v>0.316</v>
      </c>
      <c r="H75" s="238">
        <f>(I88+I89)/(J88+J89)</f>
        <v>0.39295476820330461</v>
      </c>
      <c r="I75" s="238">
        <f>(I89+I90)/(J89+J90)</f>
        <v>0.29912117503059971</v>
      </c>
      <c r="J75" s="238">
        <v>0.46600000000000003</v>
      </c>
    </row>
    <row r="76" spans="1:19" hidden="1" x14ac:dyDescent="0.3">
      <c r="A76" s="1"/>
      <c r="C76" s="233" t="s">
        <v>13</v>
      </c>
      <c r="D76" s="238">
        <v>1.5990443976993986E-2</v>
      </c>
      <c r="E76" s="238">
        <f>(J83+J84)/2</f>
        <v>2.1000000000000001E-2</v>
      </c>
      <c r="F76" s="238">
        <f>(J84+J85)/2</f>
        <v>2.2499999999999999E-2</v>
      </c>
      <c r="G76" s="238">
        <v>0.02</v>
      </c>
      <c r="H76" s="239">
        <f>(J88+J89)/(D83+D84)</f>
        <v>1.9691716481639629E-2</v>
      </c>
      <c r="I76" s="239">
        <f>(J89+J90)/(D84+D85)</f>
        <v>2.3830821584832285E-2</v>
      </c>
      <c r="J76" s="238">
        <v>1.7000000000000001E-2</v>
      </c>
    </row>
    <row r="77" spans="1:19" hidden="1" x14ac:dyDescent="0.3">
      <c r="A77" s="1"/>
      <c r="C77" s="233" t="s">
        <v>14</v>
      </c>
      <c r="D77" s="238">
        <v>3.3933669636148973E-2</v>
      </c>
      <c r="E77" s="238">
        <f>(K84+K83)/2</f>
        <v>3.6500000000000005E-2</v>
      </c>
      <c r="F77" s="238">
        <f>(K84+K85)/2</f>
        <v>3.6000000000000004E-2</v>
      </c>
      <c r="G77" s="238">
        <v>3.1E-2</v>
      </c>
      <c r="H77" s="239">
        <f>(K88+K89)/(D83+D84)</f>
        <v>3.5028181041844575E-2</v>
      </c>
      <c r="I77" s="239">
        <f>(K89+K90)/(D84+D85)</f>
        <v>3.8661643169664563E-2</v>
      </c>
      <c r="J77" s="238">
        <v>3.2000000000000001E-2</v>
      </c>
    </row>
    <row r="78" spans="1:19" hidden="1" x14ac:dyDescent="0.3">
      <c r="A78" s="1"/>
      <c r="D78" s="234"/>
      <c r="E78" s="234"/>
      <c r="F78" s="234"/>
      <c r="G78" s="234"/>
    </row>
    <row r="79" spans="1:19" hidden="1" x14ac:dyDescent="0.3">
      <c r="A79" s="1"/>
    </row>
    <row r="80" spans="1:19" hidden="1" x14ac:dyDescent="0.3">
      <c r="A80" s="1"/>
      <c r="C80" s="235"/>
      <c r="D80" s="235"/>
      <c r="E80" s="235"/>
      <c r="F80" s="235"/>
      <c r="G80" s="235"/>
      <c r="H80" s="235"/>
      <c r="I80" s="235"/>
      <c r="J80" s="235"/>
      <c r="K80" s="235"/>
      <c r="L80" s="235"/>
      <c r="M80" s="235"/>
    </row>
    <row r="81" spans="1:19" hidden="1" x14ac:dyDescent="0.3">
      <c r="A81" s="1"/>
      <c r="C81" s="235"/>
      <c r="D81" s="235" t="s">
        <v>118</v>
      </c>
      <c r="E81" s="235" t="s">
        <v>119</v>
      </c>
      <c r="F81" s="235" t="s">
        <v>124</v>
      </c>
      <c r="G81" s="235" t="s">
        <v>123</v>
      </c>
      <c r="H81" s="235" t="s">
        <v>122</v>
      </c>
      <c r="I81" s="235" t="s">
        <v>125</v>
      </c>
      <c r="J81" s="235" t="s">
        <v>126</v>
      </c>
      <c r="K81" s="235" t="s">
        <v>127</v>
      </c>
      <c r="L81" s="235"/>
      <c r="M81" s="235"/>
    </row>
    <row r="82" spans="1:19" hidden="1" x14ac:dyDescent="0.3">
      <c r="A82" s="1"/>
      <c r="C82" s="235" t="s">
        <v>114</v>
      </c>
      <c r="D82" s="235">
        <v>3929</v>
      </c>
      <c r="E82" s="235">
        <v>3212</v>
      </c>
      <c r="F82" s="236">
        <v>0.32600000000000001</v>
      </c>
      <c r="G82" s="236">
        <v>1.4E-2</v>
      </c>
      <c r="H82" s="236">
        <v>3.3000000000000002E-2</v>
      </c>
      <c r="I82" s="236">
        <v>0.375</v>
      </c>
      <c r="J82" s="236">
        <v>1.2E-2</v>
      </c>
      <c r="K82" s="236">
        <v>2.1000000000000001E-2</v>
      </c>
      <c r="L82" s="235"/>
      <c r="M82" s="235"/>
    </row>
    <row r="83" spans="1:19" hidden="1" x14ac:dyDescent="0.3">
      <c r="A83" s="1"/>
      <c r="C83" s="235" t="s">
        <v>115</v>
      </c>
      <c r="D83" s="235">
        <v>6216</v>
      </c>
      <c r="E83" s="235">
        <v>6280</v>
      </c>
      <c r="F83" s="236">
        <v>0.30199999999999999</v>
      </c>
      <c r="G83" s="236">
        <v>2.1000000000000001E-2</v>
      </c>
      <c r="H83" s="236">
        <v>4.2999999999999997E-2</v>
      </c>
      <c r="I83" s="236">
        <v>0.46600000000000003</v>
      </c>
      <c r="J83" s="236">
        <v>1.7000000000000001E-2</v>
      </c>
      <c r="K83" s="236">
        <v>3.2000000000000001E-2</v>
      </c>
      <c r="L83" s="235"/>
      <c r="M83" s="235"/>
    </row>
    <row r="84" spans="1:19" hidden="1" x14ac:dyDescent="0.3">
      <c r="A84" s="1"/>
      <c r="C84" s="235" t="s">
        <v>116</v>
      </c>
      <c r="D84" s="235">
        <v>3152</v>
      </c>
      <c r="E84" s="235">
        <v>3655</v>
      </c>
      <c r="F84" s="236">
        <v>0.36199999999999999</v>
      </c>
      <c r="G84" s="236">
        <v>1.9E-2</v>
      </c>
      <c r="H84" s="236">
        <v>0.04</v>
      </c>
      <c r="I84" s="236">
        <v>0.29499999999999998</v>
      </c>
      <c r="J84" s="236">
        <v>2.5000000000000001E-2</v>
      </c>
      <c r="K84" s="236">
        <v>4.1000000000000002E-2</v>
      </c>
      <c r="L84" s="235"/>
      <c r="M84" s="235"/>
    </row>
    <row r="85" spans="1:19" hidden="1" x14ac:dyDescent="0.3">
      <c r="A85" s="1"/>
      <c r="C85" s="235" t="s">
        <v>117</v>
      </c>
      <c r="D85" s="235">
        <v>962</v>
      </c>
      <c r="E85" s="235">
        <v>1136</v>
      </c>
      <c r="F85" s="236">
        <v>0.28000000000000003</v>
      </c>
      <c r="G85" s="236">
        <v>2.1999999999999999E-2</v>
      </c>
      <c r="H85" s="236">
        <v>0.04</v>
      </c>
      <c r="I85" s="236">
        <v>0.316</v>
      </c>
      <c r="J85" s="236">
        <v>0.02</v>
      </c>
      <c r="K85" s="236">
        <v>3.1E-2</v>
      </c>
      <c r="L85" s="235"/>
      <c r="M85" s="235"/>
    </row>
    <row r="86" spans="1:19" hidden="1" x14ac:dyDescent="0.3">
      <c r="A86" s="1"/>
      <c r="C86" s="235" t="s">
        <v>114</v>
      </c>
      <c r="D86" s="235"/>
      <c r="E86" s="235"/>
      <c r="F86" s="235" t="s">
        <v>121</v>
      </c>
      <c r="G86" s="235" t="s">
        <v>120</v>
      </c>
      <c r="H86" s="235" t="s">
        <v>128</v>
      </c>
      <c r="I86" s="235" t="s">
        <v>121</v>
      </c>
      <c r="J86" s="235" t="s">
        <v>120</v>
      </c>
      <c r="K86" s="235" t="s">
        <v>128</v>
      </c>
      <c r="L86" s="235"/>
      <c r="M86" s="235"/>
    </row>
    <row r="87" spans="1:19" hidden="1" x14ac:dyDescent="0.3">
      <c r="A87" s="1"/>
      <c r="C87" s="235" t="s">
        <v>115</v>
      </c>
      <c r="D87" s="235"/>
      <c r="E87" s="235"/>
      <c r="F87" s="235">
        <f>F82*G87</f>
        <v>14.659568000000002</v>
      </c>
      <c r="G87" s="235">
        <f>G82*E82</f>
        <v>44.968000000000004</v>
      </c>
      <c r="H87" s="235">
        <f>H82*E82</f>
        <v>105.99600000000001</v>
      </c>
      <c r="I87" s="235">
        <f>I82*J87</f>
        <v>17.680500000000002</v>
      </c>
      <c r="J87" s="235">
        <f>J82*D82</f>
        <v>47.148000000000003</v>
      </c>
      <c r="K87" s="235">
        <f>K82*D82</f>
        <v>82.509</v>
      </c>
      <c r="L87" s="235"/>
      <c r="M87" s="235"/>
    </row>
    <row r="88" spans="1:19" hidden="1" x14ac:dyDescent="0.3">
      <c r="A88" s="1"/>
      <c r="C88" s="235" t="s">
        <v>116</v>
      </c>
      <c r="D88" s="235"/>
      <c r="E88" s="235"/>
      <c r="F88" s="235">
        <f t="shared" ref="F88:F90" si="124">F83*G88</f>
        <v>39.827759999999998</v>
      </c>
      <c r="G88" s="235">
        <f t="shared" ref="G88:G90" si="125">G83*E83</f>
        <v>131.88</v>
      </c>
      <c r="H88" s="235">
        <f t="shared" ref="H88:H90" si="126">H83*E83</f>
        <v>270.03999999999996</v>
      </c>
      <c r="I88" s="235">
        <f t="shared" ref="I88:I90" si="127">I83*J88</f>
        <v>49.243152000000009</v>
      </c>
      <c r="J88" s="235">
        <f t="shared" ref="J88:J90" si="128">J83*D83</f>
        <v>105.67200000000001</v>
      </c>
      <c r="K88" s="235">
        <f t="shared" ref="K88:K90" si="129">K83*D83</f>
        <v>198.91200000000001</v>
      </c>
      <c r="L88" s="235"/>
      <c r="M88" s="235"/>
    </row>
    <row r="89" spans="1:19" hidden="1" x14ac:dyDescent="0.3">
      <c r="A89" s="1"/>
      <c r="C89" s="235" t="s">
        <v>117</v>
      </c>
      <c r="D89" s="235"/>
      <c r="E89" s="235"/>
      <c r="F89" s="235">
        <f t="shared" si="124"/>
        <v>25.139089999999996</v>
      </c>
      <c r="G89" s="235">
        <f t="shared" si="125"/>
        <v>69.444999999999993</v>
      </c>
      <c r="H89" s="235">
        <f t="shared" si="126"/>
        <v>146.20000000000002</v>
      </c>
      <c r="I89" s="235">
        <f t="shared" si="127"/>
        <v>23.246000000000002</v>
      </c>
      <c r="J89" s="235">
        <f t="shared" si="128"/>
        <v>78.800000000000011</v>
      </c>
      <c r="K89" s="235">
        <f t="shared" si="129"/>
        <v>129.232</v>
      </c>
      <c r="L89" s="235"/>
      <c r="M89" s="235"/>
    </row>
    <row r="90" spans="1:19" hidden="1" x14ac:dyDescent="0.3">
      <c r="A90" s="1"/>
      <c r="C90" s="235"/>
      <c r="D90" s="235"/>
      <c r="E90" s="235"/>
      <c r="F90" s="235">
        <f t="shared" si="124"/>
        <v>6.9977599999999995</v>
      </c>
      <c r="G90" s="235">
        <f t="shared" si="125"/>
        <v>24.991999999999997</v>
      </c>
      <c r="H90" s="235">
        <f t="shared" si="126"/>
        <v>45.44</v>
      </c>
      <c r="I90" s="235">
        <f t="shared" si="127"/>
        <v>6.0798400000000008</v>
      </c>
      <c r="J90" s="235">
        <f t="shared" si="128"/>
        <v>19.240000000000002</v>
      </c>
      <c r="K90" s="235">
        <f t="shared" si="129"/>
        <v>29.821999999999999</v>
      </c>
      <c r="L90" s="235"/>
      <c r="M90" s="235"/>
    </row>
    <row r="91" spans="1:19" hidden="1" x14ac:dyDescent="0.3">
      <c r="A91" s="1"/>
      <c r="B91" s="1"/>
      <c r="C91" s="1"/>
      <c r="D91" s="1"/>
      <c r="E91" s="1"/>
      <c r="F91" s="1"/>
      <c r="G91" s="1"/>
      <c r="H91" s="1"/>
      <c r="I91" s="1"/>
      <c r="J91" s="1"/>
      <c r="K91" s="1"/>
      <c r="L91" s="1"/>
      <c r="M91" s="1"/>
      <c r="N91" s="1"/>
      <c r="O91" s="1"/>
      <c r="P91" s="1"/>
      <c r="Q91" s="1"/>
      <c r="R91" s="1"/>
      <c r="S91" s="1"/>
    </row>
    <row r="92" spans="1:19" x14ac:dyDescent="0.3"/>
    <row r="93" spans="1:19" x14ac:dyDescent="0.3"/>
    <row r="94" spans="1:19" x14ac:dyDescent="0.3"/>
    <row r="95" spans="1:19" x14ac:dyDescent="0.3"/>
    <row r="96" spans="1:19" x14ac:dyDescent="0.3"/>
    <row r="97" x14ac:dyDescent="0.3"/>
    <row r="98" x14ac:dyDescent="0.3"/>
    <row r="99" x14ac:dyDescent="0.3"/>
    <row r="100" x14ac:dyDescent="0.3"/>
    <row r="101" x14ac:dyDescent="0.3"/>
    <row r="102" x14ac:dyDescent="0.3"/>
    <row r="103" x14ac:dyDescent="0.3"/>
    <row r="104" x14ac:dyDescent="0.3"/>
    <row r="105" x14ac:dyDescent="0.3"/>
    <row r="106" x14ac:dyDescent="0.3"/>
    <row r="107" x14ac:dyDescent="0.3"/>
    <row r="108" x14ac:dyDescent="0.3"/>
    <row r="109" x14ac:dyDescent="0.3"/>
  </sheetData>
  <protectedRanges>
    <protectedRange sqref="S1 Q1" name="Intervalo1"/>
  </protectedRanges>
  <mergeCells count="2">
    <mergeCell ref="E69:F69"/>
    <mergeCell ref="H69:I69"/>
  </mergeCells>
  <phoneticPr fontId="38" type="noConversion"/>
  <dataValidations count="2">
    <dataValidation type="list" allowBlank="1" showInputMessage="1" showErrorMessage="1" sqref="O4:O64" xr:uid="{30B0EB71-E02B-4759-B6FF-9BE8EF2332E0}">
      <formula1>"Estimativa pontual,Limite inferior,Limite superior,"</formula1>
    </dataValidation>
    <dataValidation type="list" allowBlank="1" showInputMessage="1" showErrorMessage="1" sqref="P4:P64" xr:uid="{275455B1-B87A-4D16-BC2C-6A86CBEAC438}">
      <formula1>"Sim,Não"</formula1>
    </dataValidation>
  </dataValidations>
  <pageMargins left="0.511811024" right="0.511811024" top="0.78740157499999996" bottom="0.78740157499999996" header="0.31496062000000002" footer="0.31496062000000002"/>
  <pageSetup paperSize="9"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ilha7">
    <tabColor theme="8"/>
  </sheetPr>
  <dimension ref="A1:Y288"/>
  <sheetViews>
    <sheetView showGridLines="0" topLeftCell="A61" zoomScaleNormal="100" workbookViewId="0">
      <selection activeCell="I86" sqref="I86"/>
    </sheetView>
  </sheetViews>
  <sheetFormatPr defaultColWidth="0" defaultRowHeight="14.4" x14ac:dyDescent="0.3"/>
  <cols>
    <col min="1" max="1" width="23.109375" customWidth="1"/>
    <col min="2" max="2" width="28.88671875" customWidth="1"/>
    <col min="3" max="3" width="62.88671875" customWidth="1"/>
    <col min="4" max="4" width="16.109375" customWidth="1"/>
    <col min="5" max="5" width="11.88671875" customWidth="1"/>
    <col min="6" max="6" width="18" customWidth="1"/>
    <col min="7" max="7" width="17.33203125" customWidth="1"/>
    <col min="8" max="8" width="11.88671875" customWidth="1"/>
    <col min="9" max="9" width="21.6640625" customWidth="1"/>
    <col min="10" max="10" width="20.33203125" customWidth="1"/>
    <col min="11" max="11" width="13.44140625" customWidth="1"/>
    <col min="12" max="12" width="10.109375" bestFit="1" customWidth="1"/>
    <col min="13" max="13" width="10" bestFit="1" customWidth="1"/>
    <col min="14" max="14" width="15.44140625" bestFit="1" customWidth="1"/>
    <col min="15" max="15" width="11.5546875" bestFit="1" customWidth="1"/>
    <col min="16" max="16" width="9.109375" customWidth="1"/>
    <col min="17" max="22" width="9.109375" hidden="1" customWidth="1"/>
    <col min="23" max="23" width="60.33203125" hidden="1" customWidth="1"/>
    <col min="24" max="25" width="12.33203125" hidden="1" customWidth="1"/>
    <col min="26" max="16384" width="9.109375" hidden="1"/>
  </cols>
  <sheetData>
    <row r="1" spans="1:24" ht="18" x14ac:dyDescent="0.3">
      <c r="A1" s="12"/>
      <c r="B1" s="12"/>
      <c r="C1" s="12"/>
      <c r="D1" s="12"/>
      <c r="E1" s="12"/>
      <c r="F1" s="12"/>
      <c r="G1" s="12"/>
      <c r="H1" s="12"/>
      <c r="I1" s="12"/>
      <c r="J1" s="12"/>
      <c r="K1" s="12"/>
      <c r="L1" s="12"/>
      <c r="M1" s="12"/>
      <c r="N1" s="12"/>
      <c r="O1" s="12"/>
      <c r="P1" s="12"/>
    </row>
    <row r="2" spans="1:24" ht="18" x14ac:dyDescent="0.3">
      <c r="A2" s="12"/>
      <c r="P2" s="12"/>
    </row>
    <row r="3" spans="1:24" ht="18.600000000000001" thickBot="1" x14ac:dyDescent="0.35">
      <c r="A3" s="33"/>
      <c r="C3" s="437" t="s">
        <v>342</v>
      </c>
      <c r="D3" s="438"/>
      <c r="E3" s="438"/>
      <c r="F3" s="438"/>
      <c r="G3" s="438"/>
      <c r="H3" s="438"/>
      <c r="I3" s="438"/>
      <c r="J3" s="438"/>
      <c r="K3" s="438"/>
      <c r="N3" s="317" t="s">
        <v>520</v>
      </c>
      <c r="O3" s="318">
        <v>5.2778999999999998</v>
      </c>
      <c r="P3" s="12"/>
    </row>
    <row r="4" spans="1:24" ht="18" x14ac:dyDescent="0.3">
      <c r="A4" s="33"/>
      <c r="C4" s="439"/>
      <c r="D4" s="440"/>
      <c r="E4" s="440"/>
      <c r="F4" s="440"/>
      <c r="G4" s="440"/>
      <c r="H4" s="440"/>
      <c r="I4" s="440"/>
      <c r="J4" s="440"/>
      <c r="K4" s="440"/>
      <c r="P4" s="12"/>
    </row>
    <row r="5" spans="1:24" ht="18" x14ac:dyDescent="0.3">
      <c r="A5" s="33"/>
      <c r="C5" s="439"/>
      <c r="D5" s="440"/>
      <c r="E5" s="440"/>
      <c r="F5" s="440"/>
      <c r="G5" s="440"/>
      <c r="H5" s="440"/>
      <c r="I5" s="440"/>
      <c r="J5" s="440"/>
      <c r="K5" s="440"/>
      <c r="P5" s="12"/>
    </row>
    <row r="6" spans="1:24" ht="18" x14ac:dyDescent="0.3">
      <c r="A6" s="33"/>
      <c r="C6" s="439"/>
      <c r="D6" s="440"/>
      <c r="E6" s="440"/>
      <c r="F6" s="440"/>
      <c r="G6" s="440"/>
      <c r="H6" s="440"/>
      <c r="I6" s="440"/>
      <c r="J6" s="440"/>
      <c r="K6" s="440"/>
      <c r="P6" s="12"/>
      <c r="W6" s="194" t="s">
        <v>381</v>
      </c>
      <c r="X6" s="155" t="s">
        <v>336</v>
      </c>
    </row>
    <row r="7" spans="1:24" ht="18" x14ac:dyDescent="0.3">
      <c r="A7" s="33"/>
      <c r="C7" s="439"/>
      <c r="D7" s="440"/>
      <c r="E7" s="440"/>
      <c r="F7" s="440"/>
      <c r="G7" s="440"/>
      <c r="H7" s="440"/>
      <c r="I7" s="440"/>
      <c r="J7" s="440"/>
      <c r="K7" s="440"/>
      <c r="P7" s="12"/>
      <c r="W7" s="194" t="s">
        <v>72</v>
      </c>
      <c r="X7" s="155">
        <v>274.64999999999998</v>
      </c>
    </row>
    <row r="8" spans="1:24" ht="18" x14ac:dyDescent="0.3">
      <c r="A8" s="33"/>
      <c r="C8" s="441"/>
      <c r="D8" s="442"/>
      <c r="E8" s="442"/>
      <c r="F8" s="442"/>
      <c r="G8" s="442"/>
      <c r="H8" s="442"/>
      <c r="I8" s="442"/>
      <c r="J8" s="442"/>
      <c r="K8" s="442"/>
      <c r="P8" s="12"/>
      <c r="W8" s="194" t="s">
        <v>484</v>
      </c>
      <c r="X8" s="155">
        <f>X7/10</f>
        <v>27.464999999999996</v>
      </c>
    </row>
    <row r="9" spans="1:24" ht="18" x14ac:dyDescent="0.3">
      <c r="A9" s="33"/>
      <c r="P9" s="12"/>
      <c r="X9" s="101"/>
    </row>
    <row r="10" spans="1:24" ht="18" x14ac:dyDescent="0.3">
      <c r="A10" s="33"/>
      <c r="C10" s="107" t="s">
        <v>343</v>
      </c>
      <c r="P10" s="12"/>
      <c r="X10" s="101"/>
    </row>
    <row r="11" spans="1:24" ht="18" x14ac:dyDescent="0.3">
      <c r="A11" s="33"/>
      <c r="P11" s="12"/>
      <c r="W11" s="194" t="s">
        <v>382</v>
      </c>
      <c r="X11" s="155" t="s">
        <v>336</v>
      </c>
    </row>
    <row r="12" spans="1:24" ht="18" x14ac:dyDescent="0.3">
      <c r="A12" s="33"/>
      <c r="C12" s="108" t="s">
        <v>344</v>
      </c>
      <c r="D12" s="108" t="s">
        <v>345</v>
      </c>
      <c r="E12" s="109" t="s">
        <v>346</v>
      </c>
      <c r="F12" s="103" t="s">
        <v>347</v>
      </c>
      <c r="G12" s="108" t="s">
        <v>348</v>
      </c>
      <c r="H12" s="110" t="s">
        <v>349</v>
      </c>
      <c r="I12" s="111" t="s">
        <v>350</v>
      </c>
      <c r="J12" s="112" t="s">
        <v>351</v>
      </c>
      <c r="K12" s="112" t="s">
        <v>352</v>
      </c>
      <c r="L12" s="112" t="s">
        <v>353</v>
      </c>
      <c r="M12" s="112" t="s">
        <v>354</v>
      </c>
      <c r="N12" s="110" t="s">
        <v>355</v>
      </c>
      <c r="O12" s="112" t="s">
        <v>27</v>
      </c>
      <c r="P12" s="12"/>
      <c r="W12" s="194" t="s">
        <v>73</v>
      </c>
      <c r="X12" s="155">
        <v>53.95</v>
      </c>
    </row>
    <row r="13" spans="1:24" ht="18" x14ac:dyDescent="0.3">
      <c r="A13" s="33"/>
      <c r="C13" s="113" t="s">
        <v>356</v>
      </c>
      <c r="D13" s="113">
        <v>41001320</v>
      </c>
      <c r="E13" s="114" t="s">
        <v>29</v>
      </c>
      <c r="F13" s="115">
        <v>37.450000000000003</v>
      </c>
      <c r="G13" s="115">
        <v>2.5</v>
      </c>
      <c r="H13" s="115">
        <v>0</v>
      </c>
      <c r="I13" s="116">
        <v>0</v>
      </c>
      <c r="J13" s="312">
        <v>147.89594346236194</v>
      </c>
      <c r="K13" s="312">
        <v>4.5927357471721706</v>
      </c>
      <c r="L13" s="312">
        <v>5.9853350764508617</v>
      </c>
      <c r="M13" s="101"/>
      <c r="N13" s="101"/>
      <c r="O13" s="316">
        <f>J13+(F13*K13)+(G13*L13)</f>
        <v>334.85723488508688</v>
      </c>
      <c r="P13" s="12"/>
      <c r="W13" s="194" t="s">
        <v>484</v>
      </c>
      <c r="X13" s="155">
        <f>X12/1000</f>
        <v>5.3950000000000005E-2</v>
      </c>
    </row>
    <row r="14" spans="1:24" ht="18" x14ac:dyDescent="0.3">
      <c r="A14" s="33"/>
      <c r="C14" s="113" t="s">
        <v>357</v>
      </c>
      <c r="D14" s="113" t="s">
        <v>30</v>
      </c>
      <c r="E14" s="114" t="s">
        <v>32</v>
      </c>
      <c r="F14" s="115" t="s">
        <v>33</v>
      </c>
      <c r="G14" s="115">
        <v>1.2</v>
      </c>
      <c r="H14" s="115">
        <v>0</v>
      </c>
      <c r="I14" s="116">
        <v>0</v>
      </c>
      <c r="J14" s="312">
        <v>64.355141249360543</v>
      </c>
      <c r="K14" s="312">
        <v>4.5927357471721706</v>
      </c>
      <c r="L14" s="312">
        <v>5.9853350764508617</v>
      </c>
      <c r="M14" s="101"/>
      <c r="O14" s="316">
        <f t="shared" ref="O14:O16" si="0">J14+(F14*K14)+(G14*L14)</f>
        <v>84.213494003296773</v>
      </c>
      <c r="P14" s="12"/>
      <c r="X14" s="101"/>
    </row>
    <row r="15" spans="1:24" ht="18" x14ac:dyDescent="0.3">
      <c r="A15" s="33"/>
      <c r="C15" s="118" t="s">
        <v>358</v>
      </c>
      <c r="D15" s="113" t="s">
        <v>31</v>
      </c>
      <c r="E15" s="114" t="s">
        <v>32</v>
      </c>
      <c r="F15" s="115" t="s">
        <v>34</v>
      </c>
      <c r="G15" s="115">
        <v>1.2</v>
      </c>
      <c r="H15" s="115">
        <v>0</v>
      </c>
      <c r="I15" s="116">
        <v>0</v>
      </c>
      <c r="J15" s="312">
        <v>64.355141249360543</v>
      </c>
      <c r="K15" s="312">
        <v>4.5927357471721706</v>
      </c>
      <c r="L15" s="312">
        <v>5.9853350764508617</v>
      </c>
      <c r="M15" s="101"/>
      <c r="O15" s="316">
        <f t="shared" si="0"/>
        <v>101.29847098277725</v>
      </c>
      <c r="P15" s="12"/>
      <c r="W15" s="194" t="s">
        <v>74</v>
      </c>
      <c r="X15" s="155" t="s">
        <v>336</v>
      </c>
    </row>
    <row r="16" spans="1:24" ht="18" x14ac:dyDescent="0.3">
      <c r="A16" s="33"/>
      <c r="C16" s="113" t="s">
        <v>359</v>
      </c>
      <c r="D16" s="113" t="s">
        <v>35</v>
      </c>
      <c r="E16" s="114" t="s">
        <v>36</v>
      </c>
      <c r="F16" s="115" t="s">
        <v>37</v>
      </c>
      <c r="G16" s="115">
        <v>0.34</v>
      </c>
      <c r="H16" s="115">
        <v>0</v>
      </c>
      <c r="I16" s="115">
        <v>0</v>
      </c>
      <c r="J16" s="312">
        <v>47.20438053013509</v>
      </c>
      <c r="K16" s="312">
        <v>4.5927357471721706</v>
      </c>
      <c r="L16" s="312">
        <v>5.9853350764508617</v>
      </c>
      <c r="M16" s="101"/>
      <c r="O16" s="316">
        <f t="shared" si="0"/>
        <v>64.946550711457206</v>
      </c>
      <c r="P16" s="12"/>
      <c r="W16" s="194" t="s">
        <v>75</v>
      </c>
      <c r="X16" s="155" t="s">
        <v>76</v>
      </c>
    </row>
    <row r="17" spans="1:25" ht="28.8" x14ac:dyDescent="0.3">
      <c r="A17" s="33"/>
      <c r="C17" s="113" t="s">
        <v>360</v>
      </c>
      <c r="D17" s="113">
        <v>40808262</v>
      </c>
      <c r="E17" s="114" t="s">
        <v>28</v>
      </c>
      <c r="F17" s="115">
        <v>8.9600000000000009</v>
      </c>
      <c r="G17" s="115">
        <v>0</v>
      </c>
      <c r="H17" s="115">
        <v>0</v>
      </c>
      <c r="I17" s="115">
        <v>0</v>
      </c>
      <c r="J17" s="312">
        <v>176.12118456204172</v>
      </c>
      <c r="K17" s="312">
        <v>4.5927357471721706</v>
      </c>
      <c r="L17" s="313">
        <v>0</v>
      </c>
      <c r="M17" s="101"/>
      <c r="O17" s="316">
        <f>J17+(F17*K17)</f>
        <v>217.27209685670437</v>
      </c>
      <c r="P17" s="12"/>
      <c r="W17" s="194" t="s">
        <v>484</v>
      </c>
      <c r="X17" s="155">
        <f>X16/(6*5)</f>
        <v>27.486666666666668</v>
      </c>
    </row>
    <row r="18" spans="1:25" ht="28.8" x14ac:dyDescent="0.3">
      <c r="A18" s="33"/>
      <c r="C18" s="113" t="s">
        <v>361</v>
      </c>
      <c r="D18" s="113" t="s">
        <v>49</v>
      </c>
      <c r="E18" s="114" t="s">
        <v>50</v>
      </c>
      <c r="F18" s="115" t="s">
        <v>51</v>
      </c>
      <c r="G18" s="115">
        <v>0</v>
      </c>
      <c r="H18" s="115">
        <v>0</v>
      </c>
      <c r="I18" s="115">
        <v>0</v>
      </c>
      <c r="J18" s="312">
        <v>92.201443756039339</v>
      </c>
      <c r="K18" s="312">
        <v>4.5927357471721706</v>
      </c>
      <c r="L18" s="313">
        <v>0</v>
      </c>
      <c r="M18" s="101"/>
      <c r="O18" s="316">
        <f>J18+(F18*K18)</f>
        <v>112.86875461831411</v>
      </c>
      <c r="P18" s="12"/>
      <c r="X18" s="195"/>
    </row>
    <row r="19" spans="1:25" ht="18" x14ac:dyDescent="0.3">
      <c r="A19" s="33"/>
      <c r="C19" s="113" t="s">
        <v>362</v>
      </c>
      <c r="D19" s="113" t="s">
        <v>132</v>
      </c>
      <c r="E19" s="114" t="s">
        <v>133</v>
      </c>
      <c r="F19" s="115" t="s">
        <v>134</v>
      </c>
      <c r="G19" s="115">
        <v>2.5</v>
      </c>
      <c r="H19" s="115"/>
      <c r="I19" s="115"/>
      <c r="J19" s="312">
        <v>398.51266602247108</v>
      </c>
      <c r="K19" s="312">
        <v>4.5927357471721706</v>
      </c>
      <c r="L19" s="312">
        <v>5.9853350764508617</v>
      </c>
      <c r="M19" s="101"/>
      <c r="O19" s="316">
        <f>J19+K19*F19+L19*G19</f>
        <v>998.5905379033328</v>
      </c>
      <c r="P19" s="12"/>
      <c r="X19" s="195"/>
    </row>
    <row r="20" spans="1:25" ht="18" x14ac:dyDescent="0.3">
      <c r="A20" s="33"/>
      <c r="C20" s="113" t="s">
        <v>363</v>
      </c>
      <c r="D20" s="113" t="s">
        <v>54</v>
      </c>
      <c r="E20" s="114" t="s">
        <v>55</v>
      </c>
      <c r="F20" s="114">
        <v>0</v>
      </c>
      <c r="G20" s="114">
        <v>0</v>
      </c>
      <c r="H20" s="115">
        <v>1</v>
      </c>
      <c r="I20" s="116" t="s">
        <v>56</v>
      </c>
      <c r="J20" s="312">
        <v>565.59048106254386</v>
      </c>
      <c r="K20" s="314">
        <v>0</v>
      </c>
      <c r="L20" s="309">
        <v>0</v>
      </c>
      <c r="M20" s="191">
        <v>0.6</v>
      </c>
      <c r="N20" s="315">
        <v>231.4348509823983</v>
      </c>
      <c r="O20" s="316">
        <f>J20+(M20*J20)+N20</f>
        <v>1136.3796206824684</v>
      </c>
      <c r="P20" s="12"/>
      <c r="W20" s="194" t="s">
        <v>77</v>
      </c>
      <c r="X20" s="194"/>
    </row>
    <row r="21" spans="1:25" ht="18" x14ac:dyDescent="0.3">
      <c r="A21" s="33"/>
      <c r="C21" s="113" t="s">
        <v>364</v>
      </c>
      <c r="D21" s="113" t="s">
        <v>57</v>
      </c>
      <c r="E21" s="114" t="s">
        <v>28</v>
      </c>
      <c r="F21" s="114">
        <v>0</v>
      </c>
      <c r="G21" s="114">
        <v>0</v>
      </c>
      <c r="H21" s="114">
        <v>0</v>
      </c>
      <c r="I21" s="114">
        <v>0</v>
      </c>
      <c r="J21" s="312">
        <v>175.74224596904071</v>
      </c>
      <c r="K21" s="314">
        <v>0</v>
      </c>
      <c r="L21" s="313">
        <v>0</v>
      </c>
      <c r="M21" s="101"/>
      <c r="O21" s="316">
        <f>J21</f>
        <v>175.74224596904071</v>
      </c>
      <c r="P21" s="12"/>
      <c r="W21" s="194" t="s">
        <v>78</v>
      </c>
      <c r="X21" s="196">
        <v>5118.95</v>
      </c>
      <c r="Y21" s="197">
        <f>X21/100</f>
        <v>51.189499999999995</v>
      </c>
    </row>
    <row r="22" spans="1:25" ht="18" x14ac:dyDescent="0.3">
      <c r="A22" s="33"/>
      <c r="C22" s="118" t="s">
        <v>365</v>
      </c>
      <c r="D22" s="113" t="s">
        <v>58</v>
      </c>
      <c r="E22" s="114" t="s">
        <v>59</v>
      </c>
      <c r="F22" s="114">
        <v>0</v>
      </c>
      <c r="G22" s="114">
        <v>0</v>
      </c>
      <c r="H22" s="114">
        <v>0</v>
      </c>
      <c r="I22" s="114">
        <v>0</v>
      </c>
      <c r="J22" s="312">
        <v>20.241004945148639</v>
      </c>
      <c r="K22" s="314">
        <v>0</v>
      </c>
      <c r="L22" s="313">
        <v>0</v>
      </c>
      <c r="M22" s="101"/>
      <c r="O22" s="316">
        <f t="shared" ref="O22:O23" si="1">J22</f>
        <v>20.241004945148639</v>
      </c>
      <c r="P22" s="12"/>
      <c r="W22" s="194" t="s">
        <v>485</v>
      </c>
      <c r="X22" s="194">
        <f>6*7</f>
        <v>42</v>
      </c>
      <c r="Y22" s="197">
        <f>X22*Y21</f>
        <v>2149.9589999999998</v>
      </c>
    </row>
    <row r="23" spans="1:25" ht="18" x14ac:dyDescent="0.3">
      <c r="A23" s="33"/>
      <c r="C23" s="113" t="s">
        <v>366</v>
      </c>
      <c r="D23" s="113">
        <v>10102027</v>
      </c>
      <c r="E23" s="114" t="s">
        <v>50</v>
      </c>
      <c r="F23" s="114">
        <v>0</v>
      </c>
      <c r="G23" s="114">
        <v>0</v>
      </c>
      <c r="H23" s="114">
        <v>0</v>
      </c>
      <c r="I23" s="114">
        <v>0</v>
      </c>
      <c r="J23" s="312">
        <v>92.201443756039339</v>
      </c>
      <c r="K23" s="314">
        <v>0</v>
      </c>
      <c r="L23" s="313">
        <v>0</v>
      </c>
      <c r="M23" s="101"/>
      <c r="O23" s="316">
        <f t="shared" si="1"/>
        <v>92.201443756039339</v>
      </c>
      <c r="P23" s="12"/>
      <c r="X23" s="195"/>
    </row>
    <row r="24" spans="1:25" ht="18" x14ac:dyDescent="0.3">
      <c r="A24" s="33"/>
      <c r="C24" s="113" t="s">
        <v>367</v>
      </c>
      <c r="D24" s="113">
        <v>40304361</v>
      </c>
      <c r="E24" s="114" t="s">
        <v>60</v>
      </c>
      <c r="F24" s="192">
        <v>0.87</v>
      </c>
      <c r="G24" s="114">
        <v>0</v>
      </c>
      <c r="H24" s="114">
        <v>0</v>
      </c>
      <c r="I24" s="114">
        <v>0</v>
      </c>
      <c r="J24" s="312">
        <v>5.1156710055135566</v>
      </c>
      <c r="K24" s="315">
        <v>4.5927357471721706</v>
      </c>
      <c r="L24" s="313">
        <v>0</v>
      </c>
      <c r="M24" s="101"/>
      <c r="O24" s="316">
        <f>(0.01*J24)+(K24*F24)</f>
        <v>4.0468368100949244</v>
      </c>
      <c r="P24" s="12"/>
      <c r="X24" s="195"/>
    </row>
    <row r="25" spans="1:25" ht="18" x14ac:dyDescent="0.3">
      <c r="A25" s="33"/>
      <c r="C25" s="113" t="s">
        <v>368</v>
      </c>
      <c r="D25" s="113">
        <v>40304000</v>
      </c>
      <c r="E25" s="114" t="s">
        <v>60</v>
      </c>
      <c r="F25" s="192">
        <v>2.484</v>
      </c>
      <c r="G25" s="114">
        <v>0</v>
      </c>
      <c r="H25" s="114">
        <v>0</v>
      </c>
      <c r="I25" s="114">
        <v>0</v>
      </c>
      <c r="J25" s="312">
        <v>5.1156710055135566</v>
      </c>
      <c r="K25" s="315">
        <v>4.5927357471721706</v>
      </c>
      <c r="L25" s="313">
        <v>0</v>
      </c>
      <c r="M25" s="101"/>
      <c r="O25" s="316">
        <f t="shared" ref="O25:O28" si="2">(0.01*J25)+(K25*F25)</f>
        <v>11.459512306030806</v>
      </c>
      <c r="P25" s="12"/>
      <c r="W25" s="194" t="s">
        <v>71</v>
      </c>
      <c r="X25" s="155" t="s">
        <v>336</v>
      </c>
    </row>
    <row r="26" spans="1:25" ht="18" x14ac:dyDescent="0.3">
      <c r="A26" s="33"/>
      <c r="C26" s="113" t="s">
        <v>369</v>
      </c>
      <c r="D26" s="113">
        <v>40304370</v>
      </c>
      <c r="E26" s="114" t="s">
        <v>60</v>
      </c>
      <c r="F26" s="192">
        <v>0.38700000000000001</v>
      </c>
      <c r="G26" s="114">
        <v>0</v>
      </c>
      <c r="H26" s="114">
        <v>0</v>
      </c>
      <c r="I26" s="114">
        <v>0</v>
      </c>
      <c r="J26" s="312">
        <v>5.1156710055135566</v>
      </c>
      <c r="K26" s="315">
        <v>4.5927357471721706</v>
      </c>
      <c r="L26" s="313">
        <v>0</v>
      </c>
      <c r="M26" s="101"/>
      <c r="O26" s="316">
        <f t="shared" si="2"/>
        <v>1.8285454442107656</v>
      </c>
      <c r="P26" s="12"/>
      <c r="W26" s="194" t="s">
        <v>79</v>
      </c>
      <c r="X26" s="155">
        <v>1209.31</v>
      </c>
    </row>
    <row r="27" spans="1:25" ht="18" x14ac:dyDescent="0.3">
      <c r="A27" s="33"/>
      <c r="C27" s="113" t="s">
        <v>370</v>
      </c>
      <c r="D27" s="113">
        <v>40308383</v>
      </c>
      <c r="E27" s="114" t="s">
        <v>60</v>
      </c>
      <c r="F27" s="192">
        <v>1.827</v>
      </c>
      <c r="G27" s="114">
        <v>0</v>
      </c>
      <c r="H27" s="114">
        <v>0</v>
      </c>
      <c r="I27" s="114">
        <v>0</v>
      </c>
      <c r="J27" s="312">
        <v>5.1156710055135566</v>
      </c>
      <c r="K27" s="315">
        <v>4.5927357471721706</v>
      </c>
      <c r="L27" s="313">
        <v>0</v>
      </c>
      <c r="M27" s="101"/>
      <c r="O27" s="316">
        <f t="shared" si="2"/>
        <v>8.4420849201386901</v>
      </c>
      <c r="P27" s="12"/>
      <c r="W27" s="194" t="s">
        <v>484</v>
      </c>
      <c r="X27" s="155">
        <f>X26/20</f>
        <v>60.465499999999999</v>
      </c>
    </row>
    <row r="28" spans="1:25" ht="18" x14ac:dyDescent="0.3">
      <c r="A28" s="33"/>
      <c r="C28" s="113" t="s">
        <v>371</v>
      </c>
      <c r="D28" s="113">
        <v>40310248</v>
      </c>
      <c r="E28" s="114" t="s">
        <v>60</v>
      </c>
      <c r="F28" s="192">
        <v>2.214</v>
      </c>
      <c r="G28" s="114">
        <v>0</v>
      </c>
      <c r="H28" s="114">
        <v>0</v>
      </c>
      <c r="I28" s="114">
        <v>0</v>
      </c>
      <c r="J28" s="312">
        <v>5.1156710055135566</v>
      </c>
      <c r="K28" s="315">
        <v>4.5927357471721706</v>
      </c>
      <c r="L28" s="313">
        <v>0</v>
      </c>
      <c r="M28" s="101"/>
      <c r="O28" s="316">
        <f t="shared" si="2"/>
        <v>10.219473654294321</v>
      </c>
      <c r="P28" s="12"/>
    </row>
    <row r="29" spans="1:25" ht="18" x14ac:dyDescent="0.3">
      <c r="A29" s="33"/>
      <c r="C29" s="113" t="s">
        <v>372</v>
      </c>
      <c r="D29" s="113" t="s">
        <v>61</v>
      </c>
      <c r="E29" s="114" t="s">
        <v>62</v>
      </c>
      <c r="F29" s="114" t="s">
        <v>63</v>
      </c>
      <c r="G29" s="192">
        <v>0.154</v>
      </c>
      <c r="H29" s="114"/>
      <c r="I29" s="114"/>
      <c r="J29" s="312">
        <v>14.130620133007445</v>
      </c>
      <c r="K29" s="315">
        <v>4.5927357471721706</v>
      </c>
      <c r="L29" s="312">
        <v>5.9853350764508617</v>
      </c>
      <c r="M29" s="101"/>
      <c r="O29" s="316">
        <f t="shared" ref="O29:O30" si="3">(J29)+(K29*F29)+(L29*G29)</f>
        <v>18.86433240493378</v>
      </c>
      <c r="P29" s="12"/>
      <c r="X29" s="195"/>
    </row>
    <row r="30" spans="1:25" ht="18" x14ac:dyDescent="0.3">
      <c r="A30" s="33"/>
      <c r="C30" s="118" t="s">
        <v>373</v>
      </c>
      <c r="D30" s="113" t="s">
        <v>64</v>
      </c>
      <c r="E30" s="114" t="s">
        <v>29</v>
      </c>
      <c r="F30" s="114" t="s">
        <v>65</v>
      </c>
      <c r="G30" s="192">
        <v>2.5</v>
      </c>
      <c r="H30" s="114"/>
      <c r="I30" s="114"/>
      <c r="J30" s="312">
        <v>147.89594346236194</v>
      </c>
      <c r="K30" s="315">
        <v>4.5927357471721706</v>
      </c>
      <c r="L30" s="312">
        <v>5.9853350764508617</v>
      </c>
      <c r="M30" s="101"/>
      <c r="O30" s="316">
        <f t="shared" si="3"/>
        <v>334.85723488508688</v>
      </c>
      <c r="P30" s="12"/>
      <c r="W30" s="198" t="s">
        <v>486</v>
      </c>
      <c r="X30" s="155" t="s">
        <v>336</v>
      </c>
    </row>
    <row r="31" spans="1:25" ht="18" x14ac:dyDescent="0.3">
      <c r="A31" s="33"/>
      <c r="C31" s="118" t="s">
        <v>374</v>
      </c>
      <c r="D31" s="113" t="s">
        <v>66</v>
      </c>
      <c r="E31" s="114" t="s">
        <v>67</v>
      </c>
      <c r="F31" s="114">
        <v>20</v>
      </c>
      <c r="G31" s="114">
        <v>0.34</v>
      </c>
      <c r="H31" s="114"/>
      <c r="I31" s="114"/>
      <c r="J31" s="312">
        <v>30.008147179749521</v>
      </c>
      <c r="K31" s="315">
        <v>4.5927357471721706</v>
      </c>
      <c r="L31" s="312">
        <v>5.9853350764508617</v>
      </c>
      <c r="M31" s="101"/>
      <c r="O31" s="316">
        <f>(J31)+(K31*F31)+(L31*G31)</f>
        <v>123.89787604918624</v>
      </c>
      <c r="P31" s="12"/>
      <c r="W31" t="s">
        <v>80</v>
      </c>
      <c r="X31" s="198">
        <v>112.21</v>
      </c>
    </row>
    <row r="32" spans="1:25" ht="18" x14ac:dyDescent="0.3">
      <c r="A32" s="33"/>
      <c r="C32" s="118" t="s">
        <v>375</v>
      </c>
      <c r="D32" s="113">
        <v>10102027</v>
      </c>
      <c r="E32" s="114" t="s">
        <v>50</v>
      </c>
      <c r="F32" s="114">
        <v>0</v>
      </c>
      <c r="G32" s="114">
        <v>0</v>
      </c>
      <c r="H32" s="114">
        <v>0</v>
      </c>
      <c r="I32" s="114">
        <v>0</v>
      </c>
      <c r="J32" s="312">
        <v>92.201443756039339</v>
      </c>
      <c r="K32" s="314">
        <v>0</v>
      </c>
      <c r="L32" s="313">
        <v>0</v>
      </c>
      <c r="M32" s="101"/>
      <c r="O32" s="316">
        <f t="shared" ref="O32:O33" si="4">J32</f>
        <v>92.201443756039339</v>
      </c>
      <c r="P32" s="12"/>
      <c r="W32" s="194" t="s">
        <v>487</v>
      </c>
      <c r="X32" s="199">
        <f>X31/30</f>
        <v>3.7403333333333331</v>
      </c>
    </row>
    <row r="33" spans="1:24" ht="18" x14ac:dyDescent="0.3">
      <c r="A33" s="33"/>
      <c r="C33" s="118" t="s">
        <v>376</v>
      </c>
      <c r="D33" s="113" t="s">
        <v>68</v>
      </c>
      <c r="E33" s="114" t="s">
        <v>69</v>
      </c>
      <c r="F33" s="114">
        <v>0</v>
      </c>
      <c r="G33" s="114">
        <v>0</v>
      </c>
      <c r="H33" s="114">
        <v>0</v>
      </c>
      <c r="I33" s="114">
        <v>0</v>
      </c>
      <c r="J33" s="312">
        <v>5.1156710055135566</v>
      </c>
      <c r="K33" s="309">
        <v>0</v>
      </c>
      <c r="L33" s="313">
        <v>0</v>
      </c>
      <c r="M33" s="101"/>
      <c r="O33" s="316">
        <f t="shared" si="4"/>
        <v>5.1156710055135566</v>
      </c>
      <c r="P33" s="12"/>
      <c r="W33" s="194" t="s">
        <v>488</v>
      </c>
      <c r="X33" s="199">
        <f>365/2</f>
        <v>182.5</v>
      </c>
    </row>
    <row r="34" spans="1:24" ht="18" x14ac:dyDescent="0.3">
      <c r="A34" s="33"/>
      <c r="C34" s="113" t="s">
        <v>377</v>
      </c>
      <c r="D34" s="113" t="s">
        <v>101</v>
      </c>
      <c r="E34" s="114" t="s">
        <v>102</v>
      </c>
      <c r="F34" s="115">
        <v>0</v>
      </c>
      <c r="G34" s="115">
        <v>0</v>
      </c>
      <c r="H34" s="115">
        <v>1</v>
      </c>
      <c r="I34" s="115">
        <v>3</v>
      </c>
      <c r="J34" s="312">
        <v>621.28498076886638</v>
      </c>
      <c r="K34" s="314">
        <v>0</v>
      </c>
      <c r="L34" s="313">
        <v>0</v>
      </c>
      <c r="M34" s="191">
        <v>0.6</v>
      </c>
      <c r="N34" s="315">
        <v>231.4348509823983</v>
      </c>
      <c r="O34" s="316">
        <f>J34+J34*M34+N34</f>
        <v>1225.4908202125844</v>
      </c>
      <c r="P34" s="12"/>
      <c r="X34" s="195"/>
    </row>
    <row r="35" spans="1:24" ht="18" x14ac:dyDescent="0.3">
      <c r="A35" s="33"/>
      <c r="C35" s="113" t="s">
        <v>378</v>
      </c>
      <c r="D35" s="113" t="s">
        <v>156</v>
      </c>
      <c r="E35" s="114" t="s">
        <v>157</v>
      </c>
      <c r="F35" s="115"/>
      <c r="G35" s="115"/>
      <c r="H35" s="115">
        <v>1</v>
      </c>
      <c r="I35" s="115">
        <v>3</v>
      </c>
      <c r="J35" s="312">
        <v>509.89977074215119</v>
      </c>
      <c r="K35" s="314">
        <v>0</v>
      </c>
      <c r="L35" s="313">
        <v>0</v>
      </c>
      <c r="M35" s="312">
        <v>305.93986244529071</v>
      </c>
      <c r="N35" s="315">
        <v>231.4348509823983</v>
      </c>
      <c r="O35" s="316">
        <f>SUM(J35:N35)</f>
        <v>1047.2744841698402</v>
      </c>
      <c r="P35" s="12"/>
      <c r="X35" s="195"/>
    </row>
    <row r="36" spans="1:24" ht="18" x14ac:dyDescent="0.3">
      <c r="A36" s="33"/>
      <c r="C36" s="113" t="s">
        <v>379</v>
      </c>
      <c r="D36" s="113" t="s">
        <v>155</v>
      </c>
      <c r="E36" s="114" t="s">
        <v>102</v>
      </c>
      <c r="F36" s="115"/>
      <c r="G36" s="115"/>
      <c r="H36" s="115">
        <v>2</v>
      </c>
      <c r="I36" s="115">
        <v>4</v>
      </c>
      <c r="J36" s="312">
        <v>649.13128327554523</v>
      </c>
      <c r="K36" s="314">
        <v>0</v>
      </c>
      <c r="L36" s="313">
        <v>0</v>
      </c>
      <c r="M36" s="312">
        <v>649.13128327554523</v>
      </c>
      <c r="N36" s="315">
        <v>370.66636351579228</v>
      </c>
      <c r="O36" s="316">
        <f t="shared" ref="O36" si="5">SUM(J36:N36)</f>
        <v>1668.9289300668827</v>
      </c>
      <c r="P36" s="12"/>
      <c r="X36" s="195"/>
    </row>
    <row r="37" spans="1:24" ht="18" x14ac:dyDescent="0.3">
      <c r="A37" s="33"/>
      <c r="C37" s="113" t="s">
        <v>380</v>
      </c>
      <c r="D37" s="113" t="s">
        <v>153</v>
      </c>
      <c r="E37" s="114" t="s">
        <v>29</v>
      </c>
      <c r="F37" s="115" t="s">
        <v>154</v>
      </c>
      <c r="G37" s="115"/>
      <c r="H37" s="115"/>
      <c r="I37" s="115"/>
      <c r="J37" s="312">
        <v>147.89594346236194</v>
      </c>
      <c r="K37" s="315">
        <v>4.5927357471721706</v>
      </c>
      <c r="L37" s="313">
        <v>0</v>
      </c>
      <c r="M37" s="101"/>
      <c r="N37" s="101"/>
      <c r="O37" s="316">
        <f>K37*F37+J37</f>
        <v>235.75497830576558</v>
      </c>
      <c r="P37" s="12"/>
      <c r="X37" s="195"/>
    </row>
    <row r="38" spans="1:24" ht="18.600000000000001" thickBot="1" x14ac:dyDescent="0.35">
      <c r="A38" s="33"/>
      <c r="B38" s="117"/>
      <c r="C38" s="117"/>
      <c r="D38" s="117"/>
      <c r="E38" s="117"/>
      <c r="F38" s="117"/>
      <c r="G38" s="117"/>
      <c r="H38" s="117"/>
      <c r="I38" s="117"/>
      <c r="J38" s="117"/>
      <c r="K38" s="117"/>
      <c r="L38" s="101"/>
      <c r="M38" s="101"/>
      <c r="N38" s="101"/>
      <c r="O38" s="101"/>
      <c r="P38" s="12"/>
      <c r="X38" s="195"/>
    </row>
    <row r="39" spans="1:24" ht="18" x14ac:dyDescent="0.3">
      <c r="A39" s="33"/>
      <c r="P39" s="12"/>
      <c r="W39" s="200" t="s">
        <v>81</v>
      </c>
      <c r="X39" s="201"/>
    </row>
    <row r="40" spans="1:24" ht="18.600000000000001" thickBot="1" x14ac:dyDescent="0.35">
      <c r="A40" s="33"/>
      <c r="B40" s="33"/>
      <c r="C40" s="33"/>
      <c r="D40" s="33"/>
      <c r="E40" s="33"/>
      <c r="F40" s="33"/>
      <c r="G40" s="33"/>
      <c r="H40" s="33"/>
      <c r="I40" s="33"/>
      <c r="J40" s="33"/>
      <c r="K40" s="33"/>
      <c r="L40" s="33"/>
      <c r="M40" s="33"/>
      <c r="N40" s="33"/>
      <c r="O40" s="33"/>
      <c r="P40" s="12"/>
      <c r="W40" s="202" t="s">
        <v>82</v>
      </c>
      <c r="X40" s="203">
        <v>16569.259999999998</v>
      </c>
    </row>
    <row r="41" spans="1:24" ht="18.600000000000001" thickBot="1" x14ac:dyDescent="0.35">
      <c r="A41" s="33"/>
      <c r="C41" s="123"/>
      <c r="D41" s="120"/>
      <c r="E41" s="119"/>
      <c r="F41" s="121"/>
      <c r="G41" s="122"/>
      <c r="H41" s="126"/>
      <c r="I41" s="126"/>
      <c r="P41" s="12"/>
    </row>
    <row r="42" spans="1:24" ht="18.600000000000001" thickBot="1" x14ac:dyDescent="0.35">
      <c r="A42" s="33"/>
      <c r="C42" s="126" t="s">
        <v>453</v>
      </c>
      <c r="D42" s="126"/>
      <c r="E42" s="126" t="s">
        <v>38</v>
      </c>
      <c r="F42" s="126" t="s">
        <v>454</v>
      </c>
      <c r="G42" s="126" t="s">
        <v>429</v>
      </c>
      <c r="H42" s="126"/>
      <c r="I42" s="126"/>
      <c r="P42" s="12"/>
      <c r="W42" s="200" t="s">
        <v>83</v>
      </c>
      <c r="X42" s="201"/>
    </row>
    <row r="43" spans="1:24" ht="18.600000000000001" thickBot="1" x14ac:dyDescent="0.35">
      <c r="A43" s="33"/>
      <c r="C43" s="119" t="s">
        <v>455</v>
      </c>
      <c r="D43" s="120"/>
      <c r="E43" s="127">
        <v>1</v>
      </c>
      <c r="F43" s="351">
        <f>O16</f>
        <v>64.946550711457206</v>
      </c>
      <c r="G43" s="352">
        <f>F43*E43</f>
        <v>64.946550711457206</v>
      </c>
      <c r="H43" s="126"/>
      <c r="I43" s="126"/>
      <c r="P43" s="12"/>
      <c r="W43" s="202" t="s">
        <v>84</v>
      </c>
      <c r="X43" s="203">
        <v>578.29999999999995</v>
      </c>
    </row>
    <row r="44" spans="1:24" ht="18" x14ac:dyDescent="0.3">
      <c r="A44" s="33"/>
      <c r="C44" s="119"/>
      <c r="D44" s="120"/>
      <c r="E44" s="119"/>
      <c r="F44" s="121"/>
      <c r="G44" s="353"/>
      <c r="H44" s="126"/>
      <c r="I44" s="126"/>
      <c r="P44" s="12"/>
      <c r="X44" s="195"/>
    </row>
    <row r="45" spans="1:24" ht="18" x14ac:dyDescent="0.3">
      <c r="A45" s="33"/>
      <c r="C45" s="123"/>
      <c r="D45" s="120"/>
      <c r="E45" s="119"/>
      <c r="F45" s="121"/>
      <c r="G45" s="353"/>
      <c r="H45" s="126"/>
      <c r="I45" s="126"/>
      <c r="P45" s="12"/>
      <c r="W45" t="s">
        <v>85</v>
      </c>
      <c r="X45" s="195"/>
    </row>
    <row r="46" spans="1:24" ht="18.600000000000001" thickBot="1" x14ac:dyDescent="0.35">
      <c r="A46" s="33"/>
      <c r="C46" s="126" t="s">
        <v>456</v>
      </c>
      <c r="D46" s="126"/>
      <c r="E46" s="126" t="s">
        <v>38</v>
      </c>
      <c r="F46" s="126" t="s">
        <v>454</v>
      </c>
      <c r="G46" s="354" t="s">
        <v>429</v>
      </c>
      <c r="H46" s="126"/>
      <c r="I46" s="126"/>
      <c r="P46" s="12"/>
      <c r="X46" s="195"/>
    </row>
    <row r="47" spans="1:24" ht="18" x14ac:dyDescent="0.3">
      <c r="A47" s="33"/>
      <c r="C47" s="124" t="s">
        <v>457</v>
      </c>
      <c r="D47" s="125"/>
      <c r="E47" s="130">
        <v>1</v>
      </c>
      <c r="F47" s="351">
        <f>O17</f>
        <v>217.27209685670437</v>
      </c>
      <c r="G47" s="353">
        <f>F47*E47</f>
        <v>217.27209685670437</v>
      </c>
      <c r="H47" s="126"/>
      <c r="I47" s="126"/>
      <c r="P47" s="12"/>
      <c r="W47" s="200" t="s">
        <v>86</v>
      </c>
      <c r="X47" s="201"/>
    </row>
    <row r="48" spans="1:24" ht="18.600000000000001" thickBot="1" x14ac:dyDescent="0.35">
      <c r="A48" s="33"/>
      <c r="C48" s="123" t="s">
        <v>458</v>
      </c>
      <c r="D48" s="120"/>
      <c r="E48" s="130">
        <v>1</v>
      </c>
      <c r="F48" s="351">
        <f>O18</f>
        <v>112.86875461831411</v>
      </c>
      <c r="G48" s="353">
        <f>F48*E48</f>
        <v>112.86875461831411</v>
      </c>
      <c r="H48" s="126"/>
      <c r="I48" s="126"/>
      <c r="P48" s="12"/>
      <c r="W48" s="202" t="s">
        <v>87</v>
      </c>
      <c r="X48" s="204">
        <v>575.6</v>
      </c>
    </row>
    <row r="49" spans="1:24" ht="18.600000000000001" thickBot="1" x14ac:dyDescent="0.35">
      <c r="A49" s="33"/>
      <c r="G49" s="355">
        <f>SUM(G47:G48)</f>
        <v>330.14085147501851</v>
      </c>
      <c r="H49" s="126"/>
      <c r="I49" s="126"/>
      <c r="P49" s="12"/>
    </row>
    <row r="50" spans="1:24" ht="18" x14ac:dyDescent="0.3">
      <c r="A50" s="33"/>
      <c r="G50" s="309"/>
      <c r="P50" s="12"/>
    </row>
    <row r="51" spans="1:24" ht="18" x14ac:dyDescent="0.3">
      <c r="A51" s="33"/>
      <c r="C51" s="126" t="s">
        <v>459</v>
      </c>
      <c r="E51" s="126" t="s">
        <v>38</v>
      </c>
      <c r="F51" s="126" t="s">
        <v>454</v>
      </c>
      <c r="G51" s="354" t="s">
        <v>460</v>
      </c>
      <c r="P51" s="12"/>
      <c r="W51" s="194" t="s">
        <v>489</v>
      </c>
      <c r="X51" s="155" t="s">
        <v>336</v>
      </c>
    </row>
    <row r="52" spans="1:24" ht="18" x14ac:dyDescent="0.3">
      <c r="A52" s="33"/>
      <c r="C52" s="101" t="s">
        <v>461</v>
      </c>
      <c r="E52" s="193">
        <v>1</v>
      </c>
      <c r="F52" s="309">
        <f>O23</f>
        <v>92.201443756039339</v>
      </c>
      <c r="G52" s="309">
        <f>F52*E52*4</f>
        <v>368.80577502415736</v>
      </c>
      <c r="P52" s="12"/>
      <c r="W52" s="194" t="s">
        <v>88</v>
      </c>
      <c r="X52" s="155">
        <v>89.87</v>
      </c>
    </row>
    <row r="53" spans="1:24" ht="18" x14ac:dyDescent="0.3">
      <c r="A53" s="33"/>
      <c r="C53" s="101" t="s">
        <v>378</v>
      </c>
      <c r="E53" s="249">
        <v>0.5</v>
      </c>
      <c r="F53" s="309">
        <f>O35</f>
        <v>1047.2744841698402</v>
      </c>
      <c r="G53" s="309">
        <f>F53*E53</f>
        <v>523.6372420849201</v>
      </c>
      <c r="P53" s="12"/>
      <c r="W53" s="194"/>
      <c r="X53" s="155"/>
    </row>
    <row r="54" spans="1:24" ht="18" x14ac:dyDescent="0.3">
      <c r="A54" s="33"/>
      <c r="C54" s="101" t="s">
        <v>379</v>
      </c>
      <c r="E54" s="249">
        <v>0.5</v>
      </c>
      <c r="F54" s="309">
        <f t="shared" ref="F54:F55" si="6">O36</f>
        <v>1668.9289300668827</v>
      </c>
      <c r="G54" s="309">
        <f t="shared" ref="G54:G56" si="7">F54*E54</f>
        <v>834.46446503344134</v>
      </c>
      <c r="P54" s="12"/>
      <c r="W54" s="194"/>
      <c r="X54" s="155"/>
    </row>
    <row r="55" spans="1:24" ht="18" x14ac:dyDescent="0.3">
      <c r="A55" s="33"/>
      <c r="C55" s="101" t="s">
        <v>217</v>
      </c>
      <c r="E55" s="249">
        <v>0.5</v>
      </c>
      <c r="F55" s="309">
        <f t="shared" si="6"/>
        <v>235.75497830576558</v>
      </c>
      <c r="G55" s="309">
        <f>F55*E55*5*5</f>
        <v>2946.9372288220702</v>
      </c>
      <c r="P55" s="12"/>
      <c r="W55" s="194"/>
      <c r="X55" s="155"/>
    </row>
    <row r="56" spans="1:24" ht="18.600000000000001" thickBot="1" x14ac:dyDescent="0.35">
      <c r="A56" s="33"/>
      <c r="C56" s="101" t="s">
        <v>462</v>
      </c>
      <c r="E56" s="249">
        <v>0.5</v>
      </c>
      <c r="F56" s="309">
        <f>O34</f>
        <v>1225.4908202125844</v>
      </c>
      <c r="G56" s="309">
        <f t="shared" si="7"/>
        <v>612.74541010629218</v>
      </c>
      <c r="P56" s="12"/>
      <c r="W56" s="194" t="s">
        <v>484</v>
      </c>
      <c r="X56" s="155">
        <f>X52/10</f>
        <v>8.9870000000000001</v>
      </c>
    </row>
    <row r="57" spans="1:24" ht="18.600000000000001" thickBot="1" x14ac:dyDescent="0.35">
      <c r="A57" s="33"/>
      <c r="G57" s="355">
        <f>SUM(G52:G56)</f>
        <v>5286.5901210708817</v>
      </c>
      <c r="P57" s="12"/>
      <c r="W57" s="40"/>
      <c r="X57" s="195"/>
    </row>
    <row r="58" spans="1:24" ht="18" x14ac:dyDescent="0.3">
      <c r="A58" s="33"/>
      <c r="G58" s="309"/>
      <c r="P58" s="12"/>
      <c r="W58" s="40"/>
      <c r="X58" s="195"/>
    </row>
    <row r="59" spans="1:24" ht="18" x14ac:dyDescent="0.3">
      <c r="A59" s="33"/>
      <c r="C59" s="126" t="s">
        <v>463</v>
      </c>
      <c r="E59" s="126" t="s">
        <v>38</v>
      </c>
      <c r="F59" s="126" t="s">
        <v>454</v>
      </c>
      <c r="G59" s="354" t="s">
        <v>460</v>
      </c>
      <c r="P59" s="12"/>
      <c r="W59" s="40" t="s">
        <v>491</v>
      </c>
      <c r="X59" s="195"/>
    </row>
    <row r="60" spans="1:24" ht="18" x14ac:dyDescent="0.3">
      <c r="A60" s="33"/>
      <c r="C60" s="101" t="s">
        <v>319</v>
      </c>
      <c r="E60" s="193">
        <v>1</v>
      </c>
      <c r="F60" s="309">
        <f>O15</f>
        <v>101.29847098277725</v>
      </c>
      <c r="G60" s="309">
        <f>F60*E60</f>
        <v>101.29847098277725</v>
      </c>
      <c r="P60" s="12"/>
      <c r="W60" t="s">
        <v>89</v>
      </c>
      <c r="X60">
        <v>54.77</v>
      </c>
    </row>
    <row r="61" spans="1:24" ht="18.600000000000001" thickBot="1" x14ac:dyDescent="0.35">
      <c r="A61" s="33"/>
      <c r="C61" s="137" t="s">
        <v>461</v>
      </c>
      <c r="D61" s="205"/>
      <c r="E61" s="242">
        <v>1</v>
      </c>
      <c r="F61" s="350">
        <f>O23</f>
        <v>92.201443756039339</v>
      </c>
      <c r="G61" s="350">
        <f>F61*E61</f>
        <v>92.201443756039339</v>
      </c>
      <c r="P61" s="12"/>
    </row>
    <row r="62" spans="1:24" ht="18.600000000000001" thickBot="1" x14ac:dyDescent="0.35">
      <c r="A62" s="33"/>
      <c r="G62" s="355">
        <f>SUM(G60:G61)</f>
        <v>193.49991473881659</v>
      </c>
      <c r="P62" s="12"/>
      <c r="W62" s="194" t="s">
        <v>490</v>
      </c>
      <c r="X62" s="155">
        <f>X60/10*2</f>
        <v>10.954000000000001</v>
      </c>
    </row>
    <row r="63" spans="1:24" ht="18" x14ac:dyDescent="0.3">
      <c r="A63" s="33"/>
      <c r="P63" s="12"/>
      <c r="W63" s="194"/>
      <c r="X63" s="155"/>
    </row>
    <row r="64" spans="1:24" ht="18" x14ac:dyDescent="0.3">
      <c r="A64" s="33"/>
      <c r="C64" s="126" t="s">
        <v>464</v>
      </c>
      <c r="D64" s="126" t="s">
        <v>465</v>
      </c>
      <c r="E64" s="126" t="s">
        <v>38</v>
      </c>
      <c r="F64" s="126" t="s">
        <v>454</v>
      </c>
      <c r="G64" s="126" t="s">
        <v>460</v>
      </c>
      <c r="P64" s="12"/>
      <c r="W64" s="194" t="s">
        <v>90</v>
      </c>
      <c r="X64" s="155" t="s">
        <v>336</v>
      </c>
    </row>
    <row r="65" spans="1:24" ht="18" x14ac:dyDescent="0.3">
      <c r="A65" s="33"/>
      <c r="B65" s="443" t="s">
        <v>466</v>
      </c>
      <c r="C65" s="397" t="s">
        <v>366</v>
      </c>
      <c r="D65" s="250">
        <v>4</v>
      </c>
      <c r="E65" s="251">
        <v>1</v>
      </c>
      <c r="F65" s="345">
        <f>O23</f>
        <v>92.201443756039339</v>
      </c>
      <c r="G65" s="345">
        <f>F65*D65*E65</f>
        <v>368.80577502415736</v>
      </c>
      <c r="H65" s="309"/>
      <c r="I65" s="309"/>
      <c r="P65" s="12"/>
      <c r="W65" s="194" t="s">
        <v>91</v>
      </c>
      <c r="X65" s="155">
        <v>5512.35</v>
      </c>
    </row>
    <row r="66" spans="1:24" ht="18" x14ac:dyDescent="0.3">
      <c r="A66" s="33"/>
      <c r="B66" s="443"/>
      <c r="C66" s="397" t="s">
        <v>367</v>
      </c>
      <c r="D66" s="250">
        <v>2</v>
      </c>
      <c r="E66" s="251">
        <v>1</v>
      </c>
      <c r="F66" s="345">
        <f>O24</f>
        <v>4.0468368100949244</v>
      </c>
      <c r="G66" s="345">
        <f t="shared" ref="G66:G78" si="8">F66*D66*E66</f>
        <v>8.0936736201898487</v>
      </c>
      <c r="H66" s="309"/>
      <c r="I66" s="309"/>
      <c r="P66" s="12"/>
      <c r="W66" s="194" t="s">
        <v>492</v>
      </c>
      <c r="X66" s="155">
        <f>X65</f>
        <v>5512.35</v>
      </c>
    </row>
    <row r="67" spans="1:24" ht="18" x14ac:dyDescent="0.3">
      <c r="A67" s="33"/>
      <c r="B67" s="443"/>
      <c r="C67" s="397" t="s">
        <v>368</v>
      </c>
      <c r="D67" s="250">
        <v>2</v>
      </c>
      <c r="E67" s="251">
        <v>1</v>
      </c>
      <c r="F67" s="345">
        <f>O25</f>
        <v>11.459512306030806</v>
      </c>
      <c r="G67" s="345">
        <f t="shared" si="8"/>
        <v>22.919024612061612</v>
      </c>
      <c r="H67" s="309"/>
      <c r="I67" s="309"/>
      <c r="P67" s="12"/>
      <c r="W67" s="194" t="s">
        <v>493</v>
      </c>
      <c r="X67" s="195">
        <f>5*70*14</f>
        <v>4900</v>
      </c>
    </row>
    <row r="68" spans="1:24" ht="18" x14ac:dyDescent="0.3">
      <c r="A68" s="33"/>
      <c r="B68" s="443"/>
      <c r="C68" s="397" t="s">
        <v>467</v>
      </c>
      <c r="D68" s="250">
        <v>2</v>
      </c>
      <c r="E68" s="251">
        <v>1</v>
      </c>
      <c r="F68" s="345">
        <f>O26</f>
        <v>1.8285454442107656</v>
      </c>
      <c r="G68" s="345">
        <f t="shared" si="8"/>
        <v>3.6570908884215312</v>
      </c>
      <c r="H68" s="309"/>
      <c r="I68" s="309"/>
      <c r="P68" s="12"/>
      <c r="W68" s="40"/>
      <c r="X68" s="195"/>
    </row>
    <row r="69" spans="1:24" ht="18" x14ac:dyDescent="0.3">
      <c r="A69" s="33"/>
      <c r="B69" s="443"/>
      <c r="C69" s="397" t="s">
        <v>370</v>
      </c>
      <c r="D69" s="250">
        <v>2</v>
      </c>
      <c r="E69" s="251">
        <v>1</v>
      </c>
      <c r="F69" s="346">
        <f>O27</f>
        <v>8.4420849201386901</v>
      </c>
      <c r="G69" s="345">
        <f t="shared" si="8"/>
        <v>16.88416984027738</v>
      </c>
      <c r="H69" s="309"/>
      <c r="I69" s="309"/>
      <c r="P69" s="12"/>
      <c r="W69" s="40" t="s">
        <v>92</v>
      </c>
      <c r="X69" s="195"/>
    </row>
    <row r="70" spans="1:24" ht="18" x14ac:dyDescent="0.3">
      <c r="A70" s="33"/>
      <c r="B70" s="443"/>
      <c r="C70" s="397" t="s">
        <v>372</v>
      </c>
      <c r="D70" s="250">
        <v>2</v>
      </c>
      <c r="E70" s="251">
        <v>1</v>
      </c>
      <c r="F70" s="346">
        <f>O29</f>
        <v>18.86433240493378</v>
      </c>
      <c r="G70" s="345">
        <f t="shared" si="8"/>
        <v>37.72866480986756</v>
      </c>
      <c r="H70" s="309"/>
      <c r="I70" s="309"/>
      <c r="P70" s="12"/>
      <c r="W70" s="40" t="s">
        <v>93</v>
      </c>
      <c r="X70" s="195">
        <v>35.67</v>
      </c>
    </row>
    <row r="71" spans="1:24" ht="18" x14ac:dyDescent="0.3">
      <c r="A71" s="33"/>
      <c r="B71" s="443"/>
      <c r="C71" s="397" t="s">
        <v>373</v>
      </c>
      <c r="D71" s="250">
        <v>2</v>
      </c>
      <c r="E71" s="251">
        <v>1</v>
      </c>
      <c r="F71" s="346">
        <f>O30</f>
        <v>334.85723488508688</v>
      </c>
      <c r="G71" s="345">
        <f t="shared" si="8"/>
        <v>669.71446977017376</v>
      </c>
      <c r="H71" s="309"/>
      <c r="I71" s="309"/>
      <c r="P71" s="12"/>
      <c r="W71" s="40" t="s">
        <v>494</v>
      </c>
      <c r="X71" s="195">
        <f>X70/14</f>
        <v>2.547857142857143</v>
      </c>
    </row>
    <row r="72" spans="1:24" ht="18" x14ac:dyDescent="0.3">
      <c r="A72" s="33"/>
      <c r="B72" s="443"/>
      <c r="C72" s="398" t="s">
        <v>362</v>
      </c>
      <c r="D72" s="278">
        <v>1</v>
      </c>
      <c r="E72" s="279">
        <v>0.2</v>
      </c>
      <c r="F72" s="347">
        <f>O19</f>
        <v>998.5905379033328</v>
      </c>
      <c r="G72" s="356">
        <f t="shared" si="8"/>
        <v>199.71810758066658</v>
      </c>
      <c r="H72" s="309" t="s">
        <v>468</v>
      </c>
      <c r="I72" s="309" t="s">
        <v>469</v>
      </c>
      <c r="P72" s="12"/>
      <c r="W72" s="40"/>
      <c r="X72" s="195"/>
    </row>
    <row r="73" spans="1:24" ht="18" x14ac:dyDescent="0.3">
      <c r="A73" s="33"/>
      <c r="B73" s="449" t="s">
        <v>220</v>
      </c>
      <c r="C73" s="394" t="s">
        <v>470</v>
      </c>
      <c r="D73" s="252">
        <v>18</v>
      </c>
      <c r="E73" s="253">
        <f>Presentation!G56</f>
        <v>0.2</v>
      </c>
      <c r="F73" s="357">
        <f>cmed!I22</f>
        <v>6.0978121709662663</v>
      </c>
      <c r="G73" s="358">
        <f>F73*D73*E73</f>
        <v>21.952123815478558</v>
      </c>
      <c r="H73" s="309"/>
      <c r="I73" s="337">
        <f>SUM(G73:G75)</f>
        <v>9470.0207874885309</v>
      </c>
      <c r="P73" s="12"/>
      <c r="W73" s="40" t="s">
        <v>94</v>
      </c>
    </row>
    <row r="74" spans="1:24" ht="18" x14ac:dyDescent="0.3">
      <c r="A74" s="33"/>
      <c r="B74" s="449"/>
      <c r="C74" s="394" t="s">
        <v>471</v>
      </c>
      <c r="D74" s="252">
        <f>2*70*52</f>
        <v>7280</v>
      </c>
      <c r="E74" s="253">
        <f>E73</f>
        <v>0.2</v>
      </c>
      <c r="F74" s="357">
        <f>cmed!I21</f>
        <v>6.4890581481270964</v>
      </c>
      <c r="G74" s="358">
        <f t="shared" si="8"/>
        <v>9448.0686636730516</v>
      </c>
      <c r="H74" s="309"/>
      <c r="I74" s="309"/>
      <c r="P74" s="12"/>
      <c r="W74" s="40" t="s">
        <v>95</v>
      </c>
      <c r="X74" s="195">
        <v>123.67</v>
      </c>
    </row>
    <row r="75" spans="1:24" ht="18" x14ac:dyDescent="0.3">
      <c r="A75" s="33"/>
      <c r="B75" s="449"/>
      <c r="C75" s="395" t="s">
        <v>159</v>
      </c>
      <c r="D75" s="276">
        <v>0</v>
      </c>
      <c r="E75" s="277">
        <f>E73</f>
        <v>0.2</v>
      </c>
      <c r="F75" s="359">
        <f>cmed!I15</f>
        <v>10.300687773546297</v>
      </c>
      <c r="G75" s="359">
        <f t="shared" ref="G75" si="9">D75*E75*F75</f>
        <v>0</v>
      </c>
      <c r="H75" s="309"/>
      <c r="I75" s="309"/>
      <c r="P75" s="12"/>
      <c r="W75" s="40"/>
      <c r="X75" s="195"/>
    </row>
    <row r="76" spans="1:24" ht="18" x14ac:dyDescent="0.3">
      <c r="A76" s="33"/>
      <c r="B76" s="452" t="s">
        <v>218</v>
      </c>
      <c r="C76" s="393" t="s">
        <v>384</v>
      </c>
      <c r="D76" s="256">
        <v>12</v>
      </c>
      <c r="E76" s="257">
        <f>Presentation!G54</f>
        <v>0.6</v>
      </c>
      <c r="F76" s="348">
        <f>cmed!H18</f>
        <v>2766.2233085128555</v>
      </c>
      <c r="G76" s="360">
        <f t="shared" si="8"/>
        <v>19916.807821292557</v>
      </c>
      <c r="H76" s="309"/>
      <c r="I76" s="337">
        <f>SUM(G78:G81)</f>
        <v>30501.330545427969</v>
      </c>
      <c r="P76" s="12"/>
      <c r="W76" s="40" t="s">
        <v>494</v>
      </c>
      <c r="X76" s="195">
        <f>X74/14*3</f>
        <v>26.500714285714285</v>
      </c>
    </row>
    <row r="77" spans="1:24" ht="18" x14ac:dyDescent="0.3">
      <c r="A77" s="33"/>
      <c r="B77" s="453"/>
      <c r="C77" s="393" t="s">
        <v>385</v>
      </c>
      <c r="D77" s="256">
        <v>12</v>
      </c>
      <c r="E77" s="257">
        <f>E76</f>
        <v>0.6</v>
      </c>
      <c r="F77" s="348">
        <f>cmed!J19</f>
        <v>1081.1042270600049</v>
      </c>
      <c r="G77" s="360">
        <f t="shared" si="8"/>
        <v>7783.9504348320352</v>
      </c>
      <c r="H77" s="309"/>
      <c r="I77" s="337"/>
      <c r="P77" s="12"/>
      <c r="W77" s="40"/>
      <c r="X77" s="195"/>
    </row>
    <row r="78" spans="1:24" ht="18" x14ac:dyDescent="0.3">
      <c r="A78" s="33"/>
      <c r="B78" s="450" t="s">
        <v>229</v>
      </c>
      <c r="C78" s="390" t="s">
        <v>71</v>
      </c>
      <c r="D78" s="399">
        <f>100*1.8*(365/21)</f>
        <v>3128.5714285714284</v>
      </c>
      <c r="E78" s="260">
        <f>Presentation!G55</f>
        <v>0.9</v>
      </c>
      <c r="F78" s="361">
        <f>F94</f>
        <v>10.300687773546297</v>
      </c>
      <c r="G78" s="362">
        <f t="shared" si="8"/>
        <v>29003.793716656786</v>
      </c>
      <c r="H78" s="309"/>
      <c r="I78" s="309"/>
      <c r="P78" s="12"/>
      <c r="W78" s="40"/>
      <c r="X78" s="195"/>
    </row>
    <row r="79" spans="1:24" ht="18" x14ac:dyDescent="0.3">
      <c r="A79" s="33"/>
      <c r="B79" s="450"/>
      <c r="C79" s="390" t="s">
        <v>472</v>
      </c>
      <c r="D79" s="260">
        <v>1</v>
      </c>
      <c r="E79" s="260">
        <f>E78</f>
        <v>0.9</v>
      </c>
      <c r="F79" s="362">
        <f>F90</f>
        <v>1136.3796206824684</v>
      </c>
      <c r="G79" s="362">
        <f t="shared" ref="G79:G84" si="10">D79*E79*F79</f>
        <v>1022.7416586142216</v>
      </c>
      <c r="H79" s="309"/>
      <c r="I79" s="309"/>
      <c r="P79" s="12"/>
      <c r="W79" s="40"/>
      <c r="X79" s="195"/>
    </row>
    <row r="80" spans="1:24" ht="18" x14ac:dyDescent="0.3">
      <c r="A80" s="33"/>
      <c r="B80" s="450"/>
      <c r="C80" s="390" t="s">
        <v>364</v>
      </c>
      <c r="D80" s="260">
        <v>1</v>
      </c>
      <c r="E80" s="260">
        <f t="shared" ref="E80:E81" si="11">E79</f>
        <v>0.9</v>
      </c>
      <c r="F80" s="362">
        <f t="shared" ref="F80:F81" si="12">F91</f>
        <v>175.74224596904071</v>
      </c>
      <c r="G80" s="362">
        <f t="shared" si="10"/>
        <v>158.16802137213665</v>
      </c>
      <c r="H80" s="309"/>
      <c r="I80" s="309"/>
      <c r="P80" s="12"/>
      <c r="W80" s="40"/>
      <c r="X80" s="195"/>
    </row>
    <row r="81" spans="1:24" ht="18" x14ac:dyDescent="0.3">
      <c r="A81" s="33"/>
      <c r="B81" s="450"/>
      <c r="C81" s="390" t="s">
        <v>473</v>
      </c>
      <c r="D81" s="400">
        <f>365/21</f>
        <v>17.38095238095238</v>
      </c>
      <c r="E81" s="260">
        <f t="shared" si="11"/>
        <v>0.9</v>
      </c>
      <c r="F81" s="362">
        <f t="shared" si="12"/>
        <v>20.241004945148639</v>
      </c>
      <c r="G81" s="362">
        <f t="shared" si="10"/>
        <v>316.62714878482512</v>
      </c>
      <c r="H81" s="309"/>
      <c r="I81" s="309"/>
      <c r="P81" s="12"/>
      <c r="W81" s="40"/>
      <c r="X81" s="195"/>
    </row>
    <row r="82" spans="1:24" ht="18" x14ac:dyDescent="0.3">
      <c r="A82" s="33"/>
      <c r="B82" s="447" t="s">
        <v>216</v>
      </c>
      <c r="C82" s="392" t="s">
        <v>378</v>
      </c>
      <c r="D82" s="263">
        <v>1</v>
      </c>
      <c r="E82" s="264">
        <f>Presentation!G52</f>
        <v>0.1</v>
      </c>
      <c r="F82" s="349">
        <f>O35</f>
        <v>1047.2744841698402</v>
      </c>
      <c r="G82" s="363">
        <f t="shared" si="10"/>
        <v>104.72744841698403</v>
      </c>
      <c r="H82" s="309"/>
      <c r="I82" s="309"/>
      <c r="P82" s="12"/>
    </row>
    <row r="83" spans="1:24" ht="18" x14ac:dyDescent="0.3">
      <c r="A83" s="33"/>
      <c r="B83" s="448"/>
      <c r="C83" s="392" t="s">
        <v>379</v>
      </c>
      <c r="D83" s="263">
        <v>1</v>
      </c>
      <c r="E83" s="264">
        <f>E82</f>
        <v>0.1</v>
      </c>
      <c r="F83" s="349">
        <f>O36</f>
        <v>1668.9289300668827</v>
      </c>
      <c r="G83" s="363">
        <f t="shared" si="10"/>
        <v>166.89289300668827</v>
      </c>
      <c r="H83" s="309"/>
      <c r="I83" s="309"/>
      <c r="P83" s="12"/>
    </row>
    <row r="84" spans="1:24" ht="18" x14ac:dyDescent="0.3">
      <c r="A84" s="33"/>
      <c r="B84" s="262" t="s">
        <v>217</v>
      </c>
      <c r="C84" s="392" t="s">
        <v>474</v>
      </c>
      <c r="D84" s="263">
        <v>25</v>
      </c>
      <c r="E84" s="264">
        <f>Presentation!G53</f>
        <v>0.1</v>
      </c>
      <c r="F84" s="349">
        <f>O37</f>
        <v>235.75497830576558</v>
      </c>
      <c r="G84" s="363">
        <f t="shared" si="10"/>
        <v>589.387445764414</v>
      </c>
      <c r="H84" s="309"/>
      <c r="I84" s="309"/>
      <c r="P84" s="12"/>
    </row>
    <row r="85" spans="1:24" ht="18" x14ac:dyDescent="0.3">
      <c r="A85" s="33"/>
      <c r="B85" s="281" t="s">
        <v>221</v>
      </c>
      <c r="C85" s="396" t="s">
        <v>475</v>
      </c>
      <c r="D85" s="282">
        <f>200*18</f>
        <v>3600</v>
      </c>
      <c r="E85" s="283">
        <f>Presentation!G57</f>
        <v>0.1</v>
      </c>
      <c r="F85" s="364">
        <f>cmed!$I$23</f>
        <v>30.460277761988667</v>
      </c>
      <c r="G85" s="365">
        <f t="shared" ref="G85" si="13">F85*D85*E85</f>
        <v>10965.699994315921</v>
      </c>
      <c r="H85" s="309"/>
      <c r="I85" s="309"/>
      <c r="P85" s="12"/>
      <c r="W85" s="40"/>
      <c r="X85" s="195"/>
    </row>
    <row r="86" spans="1:24" ht="18.600000000000001" thickBot="1" x14ac:dyDescent="0.35">
      <c r="A86" s="33"/>
      <c r="C86" s="101"/>
      <c r="F86" s="314"/>
      <c r="G86" s="366">
        <f>SUM(G65:G85)</f>
        <v>80826.338346690929</v>
      </c>
      <c r="H86" s="309"/>
      <c r="I86" s="309"/>
      <c r="P86" s="12"/>
    </row>
    <row r="87" spans="1:24" ht="18" x14ac:dyDescent="0.3">
      <c r="A87" s="33"/>
      <c r="C87" s="101"/>
      <c r="F87" s="309"/>
      <c r="G87" s="309"/>
      <c r="H87" s="309"/>
      <c r="I87" s="309"/>
      <c r="P87" s="12"/>
    </row>
    <row r="88" spans="1:24" ht="18" x14ac:dyDescent="0.3">
      <c r="A88" s="33"/>
      <c r="C88" s="101"/>
      <c r="P88" s="12"/>
    </row>
    <row r="89" spans="1:24" ht="18" x14ac:dyDescent="0.3">
      <c r="A89" s="33"/>
      <c r="C89" s="126" t="s">
        <v>476</v>
      </c>
      <c r="D89" s="126" t="s">
        <v>465</v>
      </c>
      <c r="E89" s="126" t="s">
        <v>38</v>
      </c>
      <c r="F89" s="126" t="s">
        <v>454</v>
      </c>
      <c r="G89" s="126" t="s">
        <v>460</v>
      </c>
      <c r="P89" s="12"/>
    </row>
    <row r="90" spans="1:24" ht="18" x14ac:dyDescent="0.3">
      <c r="A90" s="33"/>
      <c r="B90" s="444" t="s">
        <v>229</v>
      </c>
      <c r="C90" s="390" t="s">
        <v>472</v>
      </c>
      <c r="D90" s="261">
        <v>1</v>
      </c>
      <c r="E90" s="260">
        <f>Presentation!$H$55</f>
        <v>0.9</v>
      </c>
      <c r="F90" s="362">
        <f>O20</f>
        <v>1136.3796206824684</v>
      </c>
      <c r="G90" s="362">
        <f>D90*E90*F90</f>
        <v>1022.7416586142216</v>
      </c>
      <c r="H90" t="s">
        <v>96</v>
      </c>
      <c r="I90" t="s">
        <v>97</v>
      </c>
      <c r="P90" s="12"/>
    </row>
    <row r="91" spans="1:24" ht="18" x14ac:dyDescent="0.3">
      <c r="A91" s="33"/>
      <c r="B91" s="445"/>
      <c r="C91" s="390" t="s">
        <v>364</v>
      </c>
      <c r="D91" s="261">
        <v>1</v>
      </c>
      <c r="E91" s="260">
        <f>Presentation!$H$55</f>
        <v>0.9</v>
      </c>
      <c r="F91" s="362">
        <f>O21</f>
        <v>175.74224596904071</v>
      </c>
      <c r="G91" s="362">
        <f t="shared" ref="G91:G92" si="14">D91*E91*F91</f>
        <v>158.16802137213665</v>
      </c>
      <c r="H91" t="s">
        <v>96</v>
      </c>
      <c r="I91" t="s">
        <v>98</v>
      </c>
      <c r="P91" s="12"/>
    </row>
    <row r="92" spans="1:24" ht="18" x14ac:dyDescent="0.3">
      <c r="A92" s="33"/>
      <c r="B92" s="445"/>
      <c r="C92" s="390" t="s">
        <v>473</v>
      </c>
      <c r="D92" s="261">
        <v>20</v>
      </c>
      <c r="E92" s="260">
        <f>Presentation!$H$55</f>
        <v>0.9</v>
      </c>
      <c r="F92" s="362">
        <f>O22</f>
        <v>20.241004945148639</v>
      </c>
      <c r="G92" s="362">
        <f t="shared" si="14"/>
        <v>364.33808901267548</v>
      </c>
      <c r="H92" t="s">
        <v>96</v>
      </c>
      <c r="I92" t="s">
        <v>99</v>
      </c>
      <c r="P92" s="12"/>
    </row>
    <row r="93" spans="1:24" ht="18" x14ac:dyDescent="0.3">
      <c r="A93" s="33"/>
      <c r="B93" s="445"/>
      <c r="C93" s="390" t="s">
        <v>382</v>
      </c>
      <c r="D93" s="259">
        <f>600*1.8*4</f>
        <v>4320</v>
      </c>
      <c r="E93" s="260">
        <f>Presentation!$H$55</f>
        <v>0.9</v>
      </c>
      <c r="F93" s="362">
        <f>cmed!I13</f>
        <v>1.6749085810644385E-2</v>
      </c>
      <c r="G93" s="362">
        <f t="shared" ref="G93:G95" si="15">D93*E93*F93</f>
        <v>65.120445631785373</v>
      </c>
      <c r="P93" s="12"/>
    </row>
    <row r="94" spans="1:24" ht="18" x14ac:dyDescent="0.3">
      <c r="A94" s="33"/>
      <c r="B94" s="445"/>
      <c r="C94" s="390" t="s">
        <v>100</v>
      </c>
      <c r="D94" s="259">
        <f>75*1.8*4</f>
        <v>540</v>
      </c>
      <c r="E94" s="260">
        <f>Presentation!$H$55</f>
        <v>0.9</v>
      </c>
      <c r="F94" s="362">
        <f>cmed!I15</f>
        <v>10.300687773546297</v>
      </c>
      <c r="G94" s="362">
        <f t="shared" si="15"/>
        <v>5006.1342579435004</v>
      </c>
      <c r="P94" s="12"/>
    </row>
    <row r="95" spans="1:24" ht="18" x14ac:dyDescent="0.3">
      <c r="A95" s="33"/>
      <c r="B95" s="446"/>
      <c r="C95" s="390" t="s">
        <v>103</v>
      </c>
      <c r="D95" s="259">
        <v>4</v>
      </c>
      <c r="E95" s="260">
        <f>Presentation!$H$55</f>
        <v>0.9</v>
      </c>
      <c r="F95" s="361">
        <f>cmed!J16</f>
        <v>912.86307053941914</v>
      </c>
      <c r="G95" s="362">
        <f t="shared" si="15"/>
        <v>3286.3070539419091</v>
      </c>
      <c r="H95" t="s">
        <v>70</v>
      </c>
      <c r="P95" s="12"/>
    </row>
    <row r="96" spans="1:24" ht="18" x14ac:dyDescent="0.3">
      <c r="A96" s="33"/>
      <c r="B96" s="443" t="s">
        <v>466</v>
      </c>
      <c r="C96" s="391" t="s">
        <v>366</v>
      </c>
      <c r="D96" s="266">
        <v>2</v>
      </c>
      <c r="E96" s="267">
        <v>1</v>
      </c>
      <c r="F96" s="367">
        <f t="shared" ref="F96:F102" si="16">F65</f>
        <v>92.201443756039339</v>
      </c>
      <c r="G96" s="369">
        <f>D96*E96*F96</f>
        <v>184.40288751207868</v>
      </c>
      <c r="P96" s="12"/>
    </row>
    <row r="97" spans="1:24" ht="18" x14ac:dyDescent="0.3">
      <c r="A97" s="33"/>
      <c r="B97" s="443"/>
      <c r="C97" s="391" t="s">
        <v>367</v>
      </c>
      <c r="D97" s="266">
        <v>2</v>
      </c>
      <c r="E97" s="267">
        <v>1</v>
      </c>
      <c r="F97" s="367">
        <f t="shared" si="16"/>
        <v>4.0468368100949244</v>
      </c>
      <c r="G97" s="369">
        <f t="shared" ref="G97:G105" si="17">D97*E97*F97</f>
        <v>8.0936736201898487</v>
      </c>
      <c r="P97" s="12"/>
    </row>
    <row r="98" spans="1:24" ht="18" x14ac:dyDescent="0.3">
      <c r="A98" s="33"/>
      <c r="B98" s="443"/>
      <c r="C98" s="391" t="s">
        <v>368</v>
      </c>
      <c r="D98" s="266">
        <v>2</v>
      </c>
      <c r="E98" s="267">
        <v>1</v>
      </c>
      <c r="F98" s="367">
        <f t="shared" si="16"/>
        <v>11.459512306030806</v>
      </c>
      <c r="G98" s="369">
        <f t="shared" si="17"/>
        <v>22.919024612061612</v>
      </c>
      <c r="P98" s="12"/>
    </row>
    <row r="99" spans="1:24" ht="18" x14ac:dyDescent="0.3">
      <c r="A99" s="33"/>
      <c r="B99" s="443"/>
      <c r="C99" s="391" t="s">
        <v>467</v>
      </c>
      <c r="D99" s="266">
        <v>1</v>
      </c>
      <c r="E99" s="267">
        <v>1</v>
      </c>
      <c r="F99" s="367">
        <f t="shared" si="16"/>
        <v>1.8285454442107656</v>
      </c>
      <c r="G99" s="369">
        <f t="shared" si="17"/>
        <v>1.8285454442107656</v>
      </c>
      <c r="P99" s="12"/>
    </row>
    <row r="100" spans="1:24" ht="18" x14ac:dyDescent="0.3">
      <c r="A100" s="33"/>
      <c r="B100" s="443"/>
      <c r="C100" s="391" t="s">
        <v>370</v>
      </c>
      <c r="D100" s="266">
        <v>1</v>
      </c>
      <c r="E100" s="267">
        <v>1</v>
      </c>
      <c r="F100" s="367">
        <f t="shared" si="16"/>
        <v>8.4420849201386901</v>
      </c>
      <c r="G100" s="369">
        <f t="shared" si="17"/>
        <v>8.4420849201386901</v>
      </c>
      <c r="P100" s="12"/>
    </row>
    <row r="101" spans="1:24" ht="18" x14ac:dyDescent="0.3">
      <c r="A101" s="33"/>
      <c r="B101" s="443"/>
      <c r="C101" s="391" t="s">
        <v>372</v>
      </c>
      <c r="D101" s="266">
        <v>1</v>
      </c>
      <c r="E101" s="267">
        <v>1</v>
      </c>
      <c r="F101" s="367">
        <f t="shared" si="16"/>
        <v>18.86433240493378</v>
      </c>
      <c r="G101" s="369">
        <f t="shared" si="17"/>
        <v>18.86433240493378</v>
      </c>
      <c r="I101" s="309"/>
      <c r="J101" s="309"/>
      <c r="P101" s="12"/>
    </row>
    <row r="102" spans="1:24" ht="18" x14ac:dyDescent="0.3">
      <c r="A102" s="33"/>
      <c r="B102" s="443"/>
      <c r="C102" s="391" t="s">
        <v>373</v>
      </c>
      <c r="D102" s="266">
        <v>1</v>
      </c>
      <c r="E102" s="267">
        <v>1</v>
      </c>
      <c r="F102" s="367">
        <f t="shared" si="16"/>
        <v>334.85723488508688</v>
      </c>
      <c r="G102" s="369">
        <f t="shared" si="17"/>
        <v>334.85723488508688</v>
      </c>
      <c r="I102" s="309"/>
      <c r="J102" s="309"/>
      <c r="P102" s="12"/>
    </row>
    <row r="103" spans="1:24" ht="18" x14ac:dyDescent="0.3">
      <c r="A103" s="33"/>
      <c r="B103" s="447" t="s">
        <v>216</v>
      </c>
      <c r="C103" s="392" t="s">
        <v>378</v>
      </c>
      <c r="D103" s="263">
        <v>1</v>
      </c>
      <c r="E103" s="264">
        <f>Presentation!H52</f>
        <v>0.5</v>
      </c>
      <c r="F103" s="349">
        <f>F53</f>
        <v>1047.2744841698402</v>
      </c>
      <c r="G103" s="363">
        <f t="shared" si="17"/>
        <v>523.6372420849201</v>
      </c>
      <c r="I103" s="309"/>
      <c r="J103" s="309"/>
      <c r="P103" s="12"/>
    </row>
    <row r="104" spans="1:24" ht="18" x14ac:dyDescent="0.3">
      <c r="A104" s="33"/>
      <c r="B104" s="448"/>
      <c r="C104" s="392" t="s">
        <v>379</v>
      </c>
      <c r="D104" s="263">
        <v>1</v>
      </c>
      <c r="E104" s="264">
        <f>E103</f>
        <v>0.5</v>
      </c>
      <c r="F104" s="349">
        <f>F54</f>
        <v>1668.9289300668827</v>
      </c>
      <c r="G104" s="363">
        <f t="shared" si="17"/>
        <v>834.46446503344134</v>
      </c>
      <c r="I104" s="309"/>
      <c r="J104" s="309"/>
      <c r="P104" s="12"/>
    </row>
    <row r="105" spans="1:24" ht="18" x14ac:dyDescent="0.3">
      <c r="A105" s="33"/>
      <c r="B105" s="262" t="s">
        <v>217</v>
      </c>
      <c r="C105" s="392" t="s">
        <v>474</v>
      </c>
      <c r="D105" s="263">
        <v>25</v>
      </c>
      <c r="E105" s="264">
        <f>Presentation!H53</f>
        <v>0.5</v>
      </c>
      <c r="F105" s="349">
        <f>F55</f>
        <v>235.75497830576558</v>
      </c>
      <c r="G105" s="363">
        <f t="shared" si="17"/>
        <v>2946.9372288220698</v>
      </c>
      <c r="I105" s="309"/>
      <c r="J105" s="309"/>
      <c r="P105" s="12"/>
    </row>
    <row r="106" spans="1:24" ht="18" x14ac:dyDescent="0.3">
      <c r="A106" s="33"/>
      <c r="B106" s="451" t="s">
        <v>218</v>
      </c>
      <c r="C106" s="393" t="s">
        <v>384</v>
      </c>
      <c r="D106" s="256">
        <v>12</v>
      </c>
      <c r="E106" s="257">
        <f>Presentation!H54</f>
        <v>0.6</v>
      </c>
      <c r="F106" s="348">
        <f>F76</f>
        <v>2766.2233085128555</v>
      </c>
      <c r="G106" s="360">
        <f t="shared" ref="G106:G108" si="18">F106*D106*E106</f>
        <v>19916.807821292557</v>
      </c>
      <c r="H106" t="s">
        <v>70</v>
      </c>
      <c r="I106" s="337">
        <f>SUM(G106:G107)</f>
        <v>28998.0833285966</v>
      </c>
      <c r="J106" s="309"/>
      <c r="P106" s="12"/>
      <c r="W106" s="40" t="s">
        <v>94</v>
      </c>
    </row>
    <row r="107" spans="1:24" ht="18" x14ac:dyDescent="0.3">
      <c r="A107" s="33"/>
      <c r="B107" s="451"/>
      <c r="C107" s="393" t="s">
        <v>385</v>
      </c>
      <c r="D107" s="256">
        <v>14</v>
      </c>
      <c r="E107" s="257">
        <f>E106</f>
        <v>0.6</v>
      </c>
      <c r="F107" s="348">
        <f>F77</f>
        <v>1081.1042270600049</v>
      </c>
      <c r="G107" s="360">
        <f t="shared" si="18"/>
        <v>9081.2755073040407</v>
      </c>
      <c r="H107" t="s">
        <v>70</v>
      </c>
      <c r="I107" s="309"/>
      <c r="J107" s="309"/>
      <c r="P107" s="12"/>
      <c r="W107" s="40" t="s">
        <v>95</v>
      </c>
      <c r="X107" s="195">
        <v>123.67</v>
      </c>
    </row>
    <row r="108" spans="1:24" ht="18" x14ac:dyDescent="0.3">
      <c r="A108" s="33"/>
      <c r="B108" s="449" t="s">
        <v>220</v>
      </c>
      <c r="C108" s="394" t="s">
        <v>470</v>
      </c>
      <c r="D108" s="252">
        <v>18</v>
      </c>
      <c r="E108" s="253">
        <f>Presentation!H56</f>
        <v>0.2</v>
      </c>
      <c r="F108" s="357">
        <f>F73</f>
        <v>6.0978121709662663</v>
      </c>
      <c r="G108" s="358">
        <f t="shared" si="18"/>
        <v>21.952123815478558</v>
      </c>
      <c r="I108" s="337">
        <f>SUM(G108:G110)</f>
        <v>9470.0207874885309</v>
      </c>
      <c r="J108" s="309"/>
      <c r="P108" s="12"/>
      <c r="W108" s="40" t="s">
        <v>94</v>
      </c>
    </row>
    <row r="109" spans="1:24" ht="18" x14ac:dyDescent="0.3">
      <c r="A109" s="33"/>
      <c r="B109" s="449"/>
      <c r="C109" s="394" t="s">
        <v>471</v>
      </c>
      <c r="D109" s="252">
        <f>2*70*52</f>
        <v>7280</v>
      </c>
      <c r="E109" s="253">
        <f>E108</f>
        <v>0.2</v>
      </c>
      <c r="F109" s="357">
        <f>F74</f>
        <v>6.4890581481270964</v>
      </c>
      <c r="G109" s="358">
        <f>F109*D109*E109</f>
        <v>9448.0686636730516</v>
      </c>
      <c r="I109" s="309"/>
      <c r="J109" s="309"/>
      <c r="P109" s="12"/>
      <c r="W109" s="40" t="s">
        <v>95</v>
      </c>
      <c r="X109" s="195">
        <v>123.67</v>
      </c>
    </row>
    <row r="110" spans="1:24" ht="18" x14ac:dyDescent="0.3">
      <c r="A110" s="33"/>
      <c r="B110" s="449"/>
      <c r="C110" s="395" t="s">
        <v>159</v>
      </c>
      <c r="D110" s="276">
        <v>0</v>
      </c>
      <c r="E110" s="277">
        <f>E108</f>
        <v>0.2</v>
      </c>
      <c r="F110" s="368">
        <f>F75</f>
        <v>10.300687773546297</v>
      </c>
      <c r="G110" s="359">
        <f t="shared" ref="G110" si="19">D110*E110*F110</f>
        <v>0</v>
      </c>
      <c r="I110" s="309"/>
      <c r="J110" s="309"/>
      <c r="P110" s="12"/>
      <c r="W110" s="40"/>
      <c r="X110" s="195"/>
    </row>
    <row r="111" spans="1:24" ht="18.600000000000001" thickBot="1" x14ac:dyDescent="0.35">
      <c r="A111" s="33"/>
      <c r="B111" s="281" t="s">
        <v>221</v>
      </c>
      <c r="C111" s="396" t="s">
        <v>475</v>
      </c>
      <c r="D111" s="282">
        <f>200*18</f>
        <v>3600</v>
      </c>
      <c r="E111" s="283">
        <f>Presentation!H57</f>
        <v>0.1</v>
      </c>
      <c r="F111" s="364">
        <f>cmed!$I$23</f>
        <v>30.460277761988667</v>
      </c>
      <c r="G111" s="365">
        <f t="shared" ref="G111" si="20">F111*D111*E111</f>
        <v>10965.699994315921</v>
      </c>
      <c r="P111" s="12"/>
      <c r="W111" s="40"/>
      <c r="X111" s="195"/>
    </row>
    <row r="112" spans="1:24" ht="18.600000000000001" thickBot="1" x14ac:dyDescent="0.35">
      <c r="A112" s="33"/>
      <c r="C112" s="101"/>
      <c r="G112" s="355">
        <f>SUM(G90:G111)</f>
        <v>64221.060356256407</v>
      </c>
      <c r="P112" s="12"/>
    </row>
    <row r="113" spans="1:16" ht="18" x14ac:dyDescent="0.3">
      <c r="A113" s="33"/>
      <c r="C113" s="101"/>
      <c r="G113" s="181"/>
      <c r="P113" s="12"/>
    </row>
    <row r="114" spans="1:16" ht="18" x14ac:dyDescent="0.3">
      <c r="A114" s="33"/>
      <c r="C114" s="126" t="s">
        <v>477</v>
      </c>
      <c r="D114" s="126" t="s">
        <v>465</v>
      </c>
      <c r="E114" s="126" t="s">
        <v>38</v>
      </c>
      <c r="F114" s="126" t="s">
        <v>454</v>
      </c>
      <c r="G114" s="126" t="s">
        <v>460</v>
      </c>
      <c r="P114" s="12"/>
    </row>
    <row r="115" spans="1:16" ht="18" x14ac:dyDescent="0.3">
      <c r="A115" s="33"/>
      <c r="B115" s="443" t="s">
        <v>466</v>
      </c>
      <c r="C115" s="397" t="s">
        <v>366</v>
      </c>
      <c r="D115" s="250">
        <v>2</v>
      </c>
      <c r="E115" s="251">
        <v>1</v>
      </c>
      <c r="F115" s="345">
        <f>O23</f>
        <v>92.201443756039339</v>
      </c>
      <c r="G115" s="345">
        <f>F115*D115*E115</f>
        <v>184.40288751207868</v>
      </c>
      <c r="H115" s="309"/>
      <c r="I115" s="309"/>
      <c r="J115" s="309"/>
      <c r="P115" s="12"/>
    </row>
    <row r="116" spans="1:16" ht="18" x14ac:dyDescent="0.3">
      <c r="A116" s="33"/>
      <c r="B116" s="443"/>
      <c r="C116" s="397" t="s">
        <v>367</v>
      </c>
      <c r="D116" s="250">
        <v>2</v>
      </c>
      <c r="E116" s="251">
        <v>1</v>
      </c>
      <c r="F116" s="345">
        <f>O24</f>
        <v>4.0468368100949244</v>
      </c>
      <c r="G116" s="345">
        <f t="shared" ref="G116:G121" si="21">F116*D116*E116</f>
        <v>8.0936736201898487</v>
      </c>
      <c r="H116" s="309"/>
      <c r="I116" s="309"/>
      <c r="J116" s="309"/>
      <c r="P116" s="12"/>
    </row>
    <row r="117" spans="1:16" ht="18" x14ac:dyDescent="0.3">
      <c r="A117" s="33"/>
      <c r="B117" s="443"/>
      <c r="C117" s="397" t="s">
        <v>368</v>
      </c>
      <c r="D117" s="250">
        <v>2</v>
      </c>
      <c r="E117" s="251">
        <v>1</v>
      </c>
      <c r="F117" s="345">
        <f>O25</f>
        <v>11.459512306030806</v>
      </c>
      <c r="G117" s="345">
        <f t="shared" si="21"/>
        <v>22.919024612061612</v>
      </c>
      <c r="H117" s="309"/>
      <c r="I117" s="309"/>
      <c r="J117" s="309"/>
      <c r="P117" s="12"/>
    </row>
    <row r="118" spans="1:16" ht="18" x14ac:dyDescent="0.3">
      <c r="A118" s="33"/>
      <c r="B118" s="443"/>
      <c r="C118" s="397" t="s">
        <v>467</v>
      </c>
      <c r="D118" s="250">
        <v>1</v>
      </c>
      <c r="E118" s="251">
        <v>1</v>
      </c>
      <c r="F118" s="345">
        <f>O26</f>
        <v>1.8285454442107656</v>
      </c>
      <c r="G118" s="345">
        <f t="shared" si="21"/>
        <v>1.8285454442107656</v>
      </c>
      <c r="H118" s="309"/>
      <c r="I118" s="309"/>
      <c r="J118" s="309"/>
      <c r="P118" s="12"/>
    </row>
    <row r="119" spans="1:16" ht="18" x14ac:dyDescent="0.3">
      <c r="A119" s="33"/>
      <c r="B119" s="443"/>
      <c r="C119" s="397" t="s">
        <v>370</v>
      </c>
      <c r="D119" s="250">
        <v>1</v>
      </c>
      <c r="E119" s="251">
        <v>1</v>
      </c>
      <c r="F119" s="345">
        <f>O27</f>
        <v>8.4420849201386901</v>
      </c>
      <c r="G119" s="345">
        <f t="shared" si="21"/>
        <v>8.4420849201386901</v>
      </c>
      <c r="H119" s="309"/>
      <c r="I119" s="309"/>
      <c r="J119" s="309"/>
      <c r="P119" s="12"/>
    </row>
    <row r="120" spans="1:16" ht="18" x14ac:dyDescent="0.3">
      <c r="A120" s="33"/>
      <c r="B120" s="443"/>
      <c r="C120" s="397" t="s">
        <v>372</v>
      </c>
      <c r="D120" s="250">
        <v>1</v>
      </c>
      <c r="E120" s="251">
        <v>1</v>
      </c>
      <c r="F120" s="346">
        <f>O29</f>
        <v>18.86433240493378</v>
      </c>
      <c r="G120" s="345">
        <f t="shared" si="21"/>
        <v>18.86433240493378</v>
      </c>
      <c r="H120" s="309"/>
      <c r="I120" s="309"/>
      <c r="J120" s="309"/>
      <c r="P120" s="12"/>
    </row>
    <row r="121" spans="1:16" ht="18" x14ac:dyDescent="0.3">
      <c r="A121" s="33"/>
      <c r="B121" s="443"/>
      <c r="C121" s="397" t="s">
        <v>373</v>
      </c>
      <c r="D121" s="250">
        <v>1</v>
      </c>
      <c r="E121" s="251">
        <v>1</v>
      </c>
      <c r="F121" s="346">
        <f>O30</f>
        <v>334.85723488508688</v>
      </c>
      <c r="G121" s="345">
        <f t="shared" si="21"/>
        <v>334.85723488508688</v>
      </c>
      <c r="H121" s="309"/>
      <c r="I121" s="309"/>
      <c r="J121" s="309"/>
      <c r="P121" s="12"/>
    </row>
    <row r="122" spans="1:16" ht="18" x14ac:dyDescent="0.3">
      <c r="A122" s="33"/>
      <c r="B122" s="447" t="s">
        <v>216</v>
      </c>
      <c r="C122" s="392" t="s">
        <v>378</v>
      </c>
      <c r="D122" s="263">
        <v>1</v>
      </c>
      <c r="E122" s="264">
        <f>Presentation!H67</f>
        <v>0</v>
      </c>
      <c r="F122" s="349">
        <f>F103</f>
        <v>1047.2744841698402</v>
      </c>
      <c r="G122" s="363">
        <f t="shared" ref="G122:G130" si="22">D122*E122*F122</f>
        <v>0</v>
      </c>
      <c r="H122" s="309"/>
      <c r="I122" s="309"/>
      <c r="J122" s="309"/>
      <c r="P122" s="12"/>
    </row>
    <row r="123" spans="1:16" ht="18" x14ac:dyDescent="0.3">
      <c r="A123" s="33"/>
      <c r="B123" s="448"/>
      <c r="C123" s="392" t="s">
        <v>379</v>
      </c>
      <c r="D123" s="263">
        <v>1</v>
      </c>
      <c r="E123" s="264">
        <f>E122</f>
        <v>0</v>
      </c>
      <c r="F123" s="349">
        <f>F104</f>
        <v>1668.9289300668827</v>
      </c>
      <c r="G123" s="363">
        <f t="shared" si="22"/>
        <v>0</v>
      </c>
      <c r="H123" s="309"/>
      <c r="I123" s="309"/>
      <c r="J123" s="309"/>
      <c r="P123" s="12"/>
    </row>
    <row r="124" spans="1:16" ht="18" x14ac:dyDescent="0.3">
      <c r="A124" s="33"/>
      <c r="B124" s="262" t="s">
        <v>217</v>
      </c>
      <c r="C124" s="392" t="s">
        <v>474</v>
      </c>
      <c r="D124" s="263">
        <v>25</v>
      </c>
      <c r="E124" s="264">
        <f>Presentation!H68</f>
        <v>0</v>
      </c>
      <c r="F124" s="349">
        <f>F105</f>
        <v>235.75497830576558</v>
      </c>
      <c r="G124" s="363">
        <f t="shared" si="22"/>
        <v>0</v>
      </c>
      <c r="H124" s="309"/>
      <c r="I124" s="309"/>
      <c r="J124" s="309"/>
      <c r="P124" s="12"/>
    </row>
    <row r="125" spans="1:16" ht="18" x14ac:dyDescent="0.3">
      <c r="A125" s="33"/>
      <c r="B125" s="444" t="s">
        <v>229</v>
      </c>
      <c r="C125" s="390" t="s">
        <v>472</v>
      </c>
      <c r="D125" s="261">
        <v>1</v>
      </c>
      <c r="E125" s="260">
        <f>Presentation!H70</f>
        <v>0</v>
      </c>
      <c r="F125" s="362">
        <f t="shared" ref="F125:F130" si="23">F90</f>
        <v>1136.3796206824684</v>
      </c>
      <c r="G125" s="362">
        <f t="shared" si="22"/>
        <v>0</v>
      </c>
      <c r="H125" s="309" t="s">
        <v>96</v>
      </c>
      <c r="I125" s="309" t="s">
        <v>97</v>
      </c>
      <c r="J125" s="309"/>
      <c r="P125" s="12"/>
    </row>
    <row r="126" spans="1:16" ht="18" x14ac:dyDescent="0.3">
      <c r="A126" s="33"/>
      <c r="B126" s="445"/>
      <c r="C126" s="390" t="s">
        <v>364</v>
      </c>
      <c r="D126" s="261">
        <v>1</v>
      </c>
      <c r="E126" s="260">
        <f>E125</f>
        <v>0</v>
      </c>
      <c r="F126" s="362">
        <f t="shared" si="23"/>
        <v>175.74224596904071</v>
      </c>
      <c r="G126" s="362">
        <f t="shared" si="22"/>
        <v>0</v>
      </c>
      <c r="H126" s="309" t="s">
        <v>96</v>
      </c>
      <c r="I126" s="309" t="s">
        <v>98</v>
      </c>
      <c r="J126" s="309"/>
      <c r="P126" s="12"/>
    </row>
    <row r="127" spans="1:16" ht="18" x14ac:dyDescent="0.3">
      <c r="A127" s="33"/>
      <c r="B127" s="445"/>
      <c r="C127" s="390" t="s">
        <v>473</v>
      </c>
      <c r="D127" s="261">
        <v>20</v>
      </c>
      <c r="E127" s="260">
        <f t="shared" ref="E127:E130" si="24">E126</f>
        <v>0</v>
      </c>
      <c r="F127" s="362">
        <f t="shared" si="23"/>
        <v>20.241004945148639</v>
      </c>
      <c r="G127" s="362">
        <f t="shared" si="22"/>
        <v>0</v>
      </c>
      <c r="H127" s="309" t="s">
        <v>96</v>
      </c>
      <c r="I127" s="309" t="s">
        <v>99</v>
      </c>
      <c r="J127" s="309"/>
      <c r="P127" s="12"/>
    </row>
    <row r="128" spans="1:16" ht="18" x14ac:dyDescent="0.3">
      <c r="A128" s="33"/>
      <c r="B128" s="445"/>
      <c r="C128" s="390" t="s">
        <v>382</v>
      </c>
      <c r="D128" s="259">
        <f>600*1.8*4</f>
        <v>4320</v>
      </c>
      <c r="E128" s="260">
        <f t="shared" si="24"/>
        <v>0</v>
      </c>
      <c r="F128" s="362">
        <f t="shared" si="23"/>
        <v>1.6749085810644385E-2</v>
      </c>
      <c r="G128" s="362">
        <f t="shared" si="22"/>
        <v>0</v>
      </c>
      <c r="H128" s="309"/>
      <c r="I128" s="309"/>
      <c r="J128" s="309"/>
      <c r="P128" s="12"/>
    </row>
    <row r="129" spans="1:24" ht="18" x14ac:dyDescent="0.3">
      <c r="A129" s="33"/>
      <c r="B129" s="445"/>
      <c r="C129" s="390" t="s">
        <v>100</v>
      </c>
      <c r="D129" s="259">
        <f>75*1.8*4</f>
        <v>540</v>
      </c>
      <c r="E129" s="260">
        <f t="shared" si="24"/>
        <v>0</v>
      </c>
      <c r="F129" s="362">
        <f t="shared" si="23"/>
        <v>10.300687773546297</v>
      </c>
      <c r="G129" s="362">
        <f t="shared" si="22"/>
        <v>0</v>
      </c>
      <c r="H129" s="309"/>
      <c r="I129" s="309"/>
      <c r="J129" s="309"/>
      <c r="P129" s="12"/>
    </row>
    <row r="130" spans="1:24" ht="18" x14ac:dyDescent="0.3">
      <c r="A130" s="33"/>
      <c r="B130" s="446"/>
      <c r="C130" s="390" t="s">
        <v>103</v>
      </c>
      <c r="D130" s="259">
        <v>4</v>
      </c>
      <c r="E130" s="260">
        <f t="shared" si="24"/>
        <v>0</v>
      </c>
      <c r="F130" s="362">
        <f t="shared" si="23"/>
        <v>912.86307053941914</v>
      </c>
      <c r="G130" s="362">
        <f t="shared" si="22"/>
        <v>0</v>
      </c>
      <c r="H130" s="309" t="s">
        <v>70</v>
      </c>
      <c r="I130" s="309"/>
      <c r="J130" s="309"/>
      <c r="P130" s="12"/>
    </row>
    <row r="131" spans="1:24" ht="18" x14ac:dyDescent="0.3">
      <c r="A131" s="33"/>
      <c r="B131" s="451" t="s">
        <v>218</v>
      </c>
      <c r="C131" s="393" t="s">
        <v>384</v>
      </c>
      <c r="D131" s="256">
        <v>12</v>
      </c>
      <c r="E131" s="257">
        <f>Presentation!H69</f>
        <v>0.6</v>
      </c>
      <c r="F131" s="348">
        <f>$F$106</f>
        <v>2766.2233085128555</v>
      </c>
      <c r="G131" s="360">
        <f t="shared" ref="G131:G134" si="25">F131*D131*E131</f>
        <v>19916.807821292557</v>
      </c>
      <c r="H131" s="309" t="s">
        <v>70</v>
      </c>
      <c r="I131" s="337">
        <f>SUM(G131:G132)</f>
        <v>28998.0833285966</v>
      </c>
      <c r="J131" s="309"/>
      <c r="P131" s="12"/>
      <c r="W131" s="40" t="s">
        <v>94</v>
      </c>
    </row>
    <row r="132" spans="1:24" ht="18" x14ac:dyDescent="0.3">
      <c r="A132" s="33"/>
      <c r="B132" s="451"/>
      <c r="C132" s="393" t="s">
        <v>385</v>
      </c>
      <c r="D132" s="256">
        <v>14</v>
      </c>
      <c r="E132" s="257">
        <f>E131</f>
        <v>0.6</v>
      </c>
      <c r="F132" s="348">
        <f>$F$107</f>
        <v>1081.1042270600049</v>
      </c>
      <c r="G132" s="360">
        <f t="shared" si="25"/>
        <v>9081.2755073040407</v>
      </c>
      <c r="H132" s="309" t="s">
        <v>70</v>
      </c>
      <c r="I132" s="309"/>
      <c r="J132" s="309"/>
      <c r="P132" s="12"/>
      <c r="W132" s="40" t="s">
        <v>95</v>
      </c>
      <c r="X132" s="195">
        <v>123.67</v>
      </c>
    </row>
    <row r="133" spans="1:24" ht="18" x14ac:dyDescent="0.3">
      <c r="A133" s="33"/>
      <c r="B133" s="449" t="s">
        <v>220</v>
      </c>
      <c r="C133" s="394" t="s">
        <v>470</v>
      </c>
      <c r="D133" s="252">
        <v>18</v>
      </c>
      <c r="E133" s="253">
        <f>Presentation!H71</f>
        <v>0</v>
      </c>
      <c r="F133" s="357">
        <f>$F$108</f>
        <v>6.0978121709662663</v>
      </c>
      <c r="G133" s="358">
        <f t="shared" si="25"/>
        <v>0</v>
      </c>
      <c r="H133" s="309"/>
      <c r="I133" s="337">
        <f>SUM(G133:G135)</f>
        <v>0</v>
      </c>
      <c r="J133" s="309"/>
      <c r="P133" s="12"/>
      <c r="W133" s="40" t="s">
        <v>94</v>
      </c>
    </row>
    <row r="134" spans="1:24" ht="18" x14ac:dyDescent="0.3">
      <c r="A134" s="33"/>
      <c r="B134" s="449"/>
      <c r="C134" s="394" t="s">
        <v>471</v>
      </c>
      <c r="D134" s="252">
        <f>2*70*52</f>
        <v>7280</v>
      </c>
      <c r="E134" s="253">
        <f>E133</f>
        <v>0</v>
      </c>
      <c r="F134" s="357">
        <f>$F$109</f>
        <v>6.4890581481270964</v>
      </c>
      <c r="G134" s="358">
        <f t="shared" si="25"/>
        <v>0</v>
      </c>
      <c r="H134" s="309"/>
      <c r="I134" s="309"/>
      <c r="J134" s="309"/>
      <c r="P134" s="12"/>
      <c r="W134" s="40" t="s">
        <v>95</v>
      </c>
      <c r="X134" s="195">
        <v>123.67</v>
      </c>
    </row>
    <row r="135" spans="1:24" ht="18" x14ac:dyDescent="0.3">
      <c r="A135" s="33"/>
      <c r="B135" s="449"/>
      <c r="C135" s="395" t="s">
        <v>159</v>
      </c>
      <c r="D135" s="276">
        <v>0</v>
      </c>
      <c r="E135" s="277">
        <f>E134</f>
        <v>0</v>
      </c>
      <c r="F135" s="368">
        <f>$F$110</f>
        <v>10.300687773546297</v>
      </c>
      <c r="G135" s="359">
        <f t="shared" ref="G135" si="26">D135*E135*F135</f>
        <v>0</v>
      </c>
      <c r="H135" s="309"/>
      <c r="I135" s="309"/>
      <c r="J135" s="309"/>
      <c r="P135" s="12"/>
      <c r="W135" s="40"/>
      <c r="X135" s="195"/>
    </row>
    <row r="136" spans="1:24" ht="18" x14ac:dyDescent="0.3">
      <c r="A136" s="33"/>
      <c r="B136" s="281" t="s">
        <v>221</v>
      </c>
      <c r="C136" s="396" t="s">
        <v>475</v>
      </c>
      <c r="D136" s="282">
        <f>200*18</f>
        <v>3600</v>
      </c>
      <c r="E136" s="283">
        <f>Presentation!H72</f>
        <v>0</v>
      </c>
      <c r="F136" s="364">
        <f>cmed!$I$23</f>
        <v>30.460277761988667</v>
      </c>
      <c r="G136" s="365">
        <f t="shared" ref="G136" si="27">F136*D136*E136</f>
        <v>0</v>
      </c>
      <c r="H136" s="309"/>
      <c r="I136" s="309"/>
      <c r="J136" s="309"/>
      <c r="P136" s="12"/>
      <c r="W136" s="40"/>
      <c r="X136" s="195"/>
    </row>
    <row r="137" spans="1:24" ht="18.600000000000001" thickBot="1" x14ac:dyDescent="0.35">
      <c r="A137" s="33"/>
      <c r="G137" s="366">
        <f>SUM(G115:G136)</f>
        <v>29577.491111995296</v>
      </c>
      <c r="H137" s="309"/>
      <c r="I137" s="309"/>
      <c r="J137" s="309"/>
      <c r="P137" s="12"/>
    </row>
    <row r="138" spans="1:24" ht="18" x14ac:dyDescent="0.3">
      <c r="A138" s="33"/>
      <c r="P138" s="12"/>
    </row>
    <row r="139" spans="1:24" ht="18" x14ac:dyDescent="0.3">
      <c r="A139" s="33"/>
      <c r="P139" s="12"/>
    </row>
    <row r="140" spans="1:24" ht="18" x14ac:dyDescent="0.3">
      <c r="A140" s="33"/>
      <c r="C140" s="126" t="s">
        <v>478</v>
      </c>
      <c r="D140" s="126" t="s">
        <v>465</v>
      </c>
      <c r="E140" s="126" t="s">
        <v>38</v>
      </c>
      <c r="F140" s="126" t="s">
        <v>454</v>
      </c>
      <c r="G140" s="126" t="s">
        <v>460</v>
      </c>
      <c r="P140" s="12"/>
    </row>
    <row r="141" spans="1:24" ht="18" x14ac:dyDescent="0.3">
      <c r="A141" s="33"/>
      <c r="B141" s="443" t="s">
        <v>466</v>
      </c>
      <c r="C141" s="265" t="s">
        <v>366</v>
      </c>
      <c r="D141" s="266">
        <v>2</v>
      </c>
      <c r="E141" s="267">
        <v>1</v>
      </c>
      <c r="F141" s="367">
        <f t="shared" ref="F141:F147" si="28">F115</f>
        <v>92.201443756039339</v>
      </c>
      <c r="G141" s="369">
        <f>D141*E141*F141</f>
        <v>184.40288751207868</v>
      </c>
      <c r="P141" s="12"/>
    </row>
    <row r="142" spans="1:24" ht="18" x14ac:dyDescent="0.3">
      <c r="A142" s="33"/>
      <c r="B142" s="443"/>
      <c r="C142" s="265" t="s">
        <v>367</v>
      </c>
      <c r="D142" s="266">
        <v>2</v>
      </c>
      <c r="E142" s="267">
        <v>1</v>
      </c>
      <c r="F142" s="367">
        <f t="shared" si="28"/>
        <v>4.0468368100949244</v>
      </c>
      <c r="G142" s="369">
        <f t="shared" ref="G142:G157" si="29">D142*E142*F142</f>
        <v>8.0936736201898487</v>
      </c>
      <c r="P142" s="12"/>
    </row>
    <row r="143" spans="1:24" ht="18" x14ac:dyDescent="0.3">
      <c r="A143" s="33"/>
      <c r="B143" s="443"/>
      <c r="C143" s="265" t="s">
        <v>368</v>
      </c>
      <c r="D143" s="266">
        <v>2</v>
      </c>
      <c r="E143" s="267">
        <v>1</v>
      </c>
      <c r="F143" s="367">
        <f t="shared" si="28"/>
        <v>11.459512306030806</v>
      </c>
      <c r="G143" s="369">
        <f t="shared" si="29"/>
        <v>22.919024612061612</v>
      </c>
      <c r="P143" s="12"/>
    </row>
    <row r="144" spans="1:24" ht="18" x14ac:dyDescent="0.3">
      <c r="A144" s="33"/>
      <c r="B144" s="443"/>
      <c r="C144" s="265" t="s">
        <v>467</v>
      </c>
      <c r="D144" s="266">
        <v>1</v>
      </c>
      <c r="E144" s="267">
        <v>1</v>
      </c>
      <c r="F144" s="367">
        <f t="shared" si="28"/>
        <v>1.8285454442107656</v>
      </c>
      <c r="G144" s="369">
        <f t="shared" si="29"/>
        <v>1.8285454442107656</v>
      </c>
      <c r="P144" s="12"/>
    </row>
    <row r="145" spans="1:24" ht="18" x14ac:dyDescent="0.3">
      <c r="A145" s="33"/>
      <c r="B145" s="443"/>
      <c r="C145" s="265" t="s">
        <v>370</v>
      </c>
      <c r="D145" s="266">
        <v>1</v>
      </c>
      <c r="E145" s="267">
        <v>1</v>
      </c>
      <c r="F145" s="367">
        <f t="shared" si="28"/>
        <v>8.4420849201386901</v>
      </c>
      <c r="G145" s="369">
        <f t="shared" si="29"/>
        <v>8.4420849201386901</v>
      </c>
      <c r="P145" s="12"/>
    </row>
    <row r="146" spans="1:24" ht="18" x14ac:dyDescent="0.3">
      <c r="A146" s="33"/>
      <c r="B146" s="443"/>
      <c r="C146" s="265" t="s">
        <v>372</v>
      </c>
      <c r="D146" s="266">
        <v>1</v>
      </c>
      <c r="E146" s="267">
        <v>1</v>
      </c>
      <c r="F146" s="367">
        <f t="shared" si="28"/>
        <v>18.86433240493378</v>
      </c>
      <c r="G146" s="369">
        <f t="shared" si="29"/>
        <v>18.86433240493378</v>
      </c>
      <c r="P146" s="12"/>
    </row>
    <row r="147" spans="1:24" ht="18" x14ac:dyDescent="0.3">
      <c r="A147" s="33"/>
      <c r="B147" s="443"/>
      <c r="C147" s="265" t="s">
        <v>373</v>
      </c>
      <c r="D147" s="266">
        <v>1</v>
      </c>
      <c r="E147" s="267">
        <v>1</v>
      </c>
      <c r="F147" s="367">
        <f t="shared" si="28"/>
        <v>334.85723488508688</v>
      </c>
      <c r="G147" s="369">
        <f t="shared" si="29"/>
        <v>334.85723488508688</v>
      </c>
      <c r="P147" s="12"/>
    </row>
    <row r="148" spans="1:24" ht="18" x14ac:dyDescent="0.3">
      <c r="A148" s="33"/>
      <c r="B148" s="254" t="s">
        <v>218</v>
      </c>
      <c r="C148" s="254" t="s">
        <v>383</v>
      </c>
      <c r="D148" s="268">
        <v>365</v>
      </c>
      <c r="E148" s="269">
        <f>Presentation!$D$54</f>
        <v>0.6</v>
      </c>
      <c r="F148" s="370">
        <f>cmed!J17</f>
        <v>0.8540644321920966</v>
      </c>
      <c r="G148" s="371">
        <f t="shared" si="29"/>
        <v>187.04011065006915</v>
      </c>
      <c r="P148" s="12"/>
    </row>
    <row r="149" spans="1:24" ht="18" x14ac:dyDescent="0.3">
      <c r="A149" s="33"/>
      <c r="B149" s="444" t="s">
        <v>229</v>
      </c>
      <c r="C149" s="270" t="s">
        <v>382</v>
      </c>
      <c r="D149" s="271">
        <f>600*1.8*4</f>
        <v>4320</v>
      </c>
      <c r="E149" s="272">
        <f>Presentation!$D$55</f>
        <v>0.4</v>
      </c>
      <c r="F149" s="372">
        <f>F93</f>
        <v>1.6749085810644385E-2</v>
      </c>
      <c r="G149" s="373">
        <f t="shared" si="29"/>
        <v>28.942420280793499</v>
      </c>
      <c r="P149" s="12"/>
    </row>
    <row r="150" spans="1:24" ht="18" x14ac:dyDescent="0.3">
      <c r="A150" s="33"/>
      <c r="B150" s="445"/>
      <c r="C150" s="270" t="s">
        <v>100</v>
      </c>
      <c r="D150" s="271">
        <f>75*1.8*4</f>
        <v>540</v>
      </c>
      <c r="E150" s="272">
        <f>Presentation!$D$55</f>
        <v>0.4</v>
      </c>
      <c r="F150" s="372">
        <f>F94</f>
        <v>10.300687773546297</v>
      </c>
      <c r="G150" s="373">
        <f t="shared" si="29"/>
        <v>2224.9485590860004</v>
      </c>
      <c r="P150" s="12"/>
    </row>
    <row r="151" spans="1:24" ht="18" x14ac:dyDescent="0.3">
      <c r="A151" s="33"/>
      <c r="B151" s="445"/>
      <c r="C151" s="258" t="s">
        <v>363</v>
      </c>
      <c r="D151" s="271">
        <v>1</v>
      </c>
      <c r="E151" s="272">
        <f>Presentation!$D$55</f>
        <v>0.4</v>
      </c>
      <c r="F151" s="372">
        <f>F95</f>
        <v>912.86307053941914</v>
      </c>
      <c r="G151" s="373">
        <f t="shared" si="29"/>
        <v>365.1452282157677</v>
      </c>
      <c r="P151" s="12"/>
    </row>
    <row r="152" spans="1:24" ht="18" x14ac:dyDescent="0.3">
      <c r="A152" s="33"/>
      <c r="B152" s="445"/>
      <c r="C152" s="258" t="s">
        <v>364</v>
      </c>
      <c r="D152" s="271">
        <v>1</v>
      </c>
      <c r="E152" s="272">
        <f>Presentation!$D$55</f>
        <v>0.4</v>
      </c>
      <c r="F152" s="372">
        <f>F91</f>
        <v>175.74224596904071</v>
      </c>
      <c r="G152" s="373">
        <f t="shared" si="29"/>
        <v>70.296898387616281</v>
      </c>
      <c r="P152" s="12"/>
    </row>
    <row r="153" spans="1:24" ht="18" x14ac:dyDescent="0.3">
      <c r="A153" s="33"/>
      <c r="B153" s="445"/>
      <c r="C153" s="258" t="s">
        <v>365</v>
      </c>
      <c r="D153" s="271">
        <v>20</v>
      </c>
      <c r="E153" s="272">
        <f>Presentation!$D$55</f>
        <v>0.4</v>
      </c>
      <c r="F153" s="372">
        <f>F92</f>
        <v>20.241004945148639</v>
      </c>
      <c r="G153" s="373">
        <f t="shared" si="29"/>
        <v>161.92803956118911</v>
      </c>
      <c r="P153" s="12"/>
    </row>
    <row r="154" spans="1:24" ht="18" x14ac:dyDescent="0.3">
      <c r="A154" s="33"/>
      <c r="B154" s="446"/>
      <c r="C154" s="270" t="s">
        <v>103</v>
      </c>
      <c r="D154" s="271">
        <v>4</v>
      </c>
      <c r="E154" s="272">
        <f>E153</f>
        <v>0.4</v>
      </c>
      <c r="F154" s="372">
        <f>F95</f>
        <v>912.86307053941914</v>
      </c>
      <c r="G154" s="373">
        <f t="shared" si="29"/>
        <v>1460.5809128630708</v>
      </c>
      <c r="P154" s="12"/>
    </row>
    <row r="155" spans="1:24" ht="18" x14ac:dyDescent="0.3">
      <c r="A155" s="33"/>
      <c r="B155" s="447" t="s">
        <v>216</v>
      </c>
      <c r="C155" s="262" t="s">
        <v>378</v>
      </c>
      <c r="D155" s="263">
        <v>1</v>
      </c>
      <c r="E155" s="264">
        <f>Presentation!$D$52</f>
        <v>1</v>
      </c>
      <c r="F155" s="349">
        <f>F53</f>
        <v>1047.2744841698402</v>
      </c>
      <c r="G155" s="363">
        <f t="shared" si="29"/>
        <v>1047.2744841698402</v>
      </c>
      <c r="P155" s="12"/>
    </row>
    <row r="156" spans="1:24" ht="18" x14ac:dyDescent="0.3">
      <c r="A156" s="33"/>
      <c r="B156" s="448"/>
      <c r="C156" s="262" t="s">
        <v>379</v>
      </c>
      <c r="D156" s="263">
        <v>1</v>
      </c>
      <c r="E156" s="264">
        <f>Presentation!$D$52</f>
        <v>1</v>
      </c>
      <c r="F156" s="349">
        <f>F54</f>
        <v>1668.9289300668827</v>
      </c>
      <c r="G156" s="363">
        <f t="shared" si="29"/>
        <v>1668.9289300668827</v>
      </c>
      <c r="P156" s="12"/>
    </row>
    <row r="157" spans="1:24" ht="18" x14ac:dyDescent="0.3">
      <c r="A157" s="33"/>
      <c r="B157" s="262" t="s">
        <v>217</v>
      </c>
      <c r="C157" s="262" t="s">
        <v>474</v>
      </c>
      <c r="D157" s="263">
        <v>25</v>
      </c>
      <c r="E157" s="264">
        <f>Presentation!D53</f>
        <v>0.5</v>
      </c>
      <c r="F157" s="349">
        <f>F55</f>
        <v>235.75497830576558</v>
      </c>
      <c r="G157" s="363">
        <f t="shared" si="29"/>
        <v>2946.9372288220698</v>
      </c>
      <c r="P157" s="12"/>
    </row>
    <row r="158" spans="1:24" ht="18" x14ac:dyDescent="0.3">
      <c r="A158" s="33"/>
      <c r="B158" s="449" t="s">
        <v>220</v>
      </c>
      <c r="C158" s="273" t="s">
        <v>470</v>
      </c>
      <c r="D158" s="280">
        <v>0</v>
      </c>
      <c r="E158" s="277">
        <f>Presentation!D56</f>
        <v>0.05</v>
      </c>
      <c r="F158" s="368">
        <f>$F$108</f>
        <v>6.0978121709662663</v>
      </c>
      <c r="G158" s="359">
        <f t="shared" ref="G158:G159" si="30">F158*D158*E158</f>
        <v>0</v>
      </c>
      <c r="I158" s="244">
        <f>SUM(G158:G160)</f>
        <v>2362.0171659182629</v>
      </c>
      <c r="P158" s="12"/>
      <c r="W158" s="40" t="s">
        <v>94</v>
      </c>
    </row>
    <row r="159" spans="1:24" ht="18" x14ac:dyDescent="0.3">
      <c r="A159" s="33"/>
      <c r="B159" s="449"/>
      <c r="C159" s="274" t="s">
        <v>471</v>
      </c>
      <c r="D159" s="252">
        <f>2*70*52</f>
        <v>7280</v>
      </c>
      <c r="E159" s="253">
        <f>E158</f>
        <v>0.05</v>
      </c>
      <c r="F159" s="357">
        <f>$F$109</f>
        <v>6.4890581481270964</v>
      </c>
      <c r="G159" s="358">
        <f t="shared" si="30"/>
        <v>2362.0171659182629</v>
      </c>
      <c r="P159" s="12"/>
      <c r="W159" s="40" t="s">
        <v>95</v>
      </c>
      <c r="X159" s="195">
        <v>123.67</v>
      </c>
    </row>
    <row r="160" spans="1:24" ht="18" x14ac:dyDescent="0.3">
      <c r="A160" s="33"/>
      <c r="B160" s="449"/>
      <c r="C160" s="273" t="s">
        <v>159</v>
      </c>
      <c r="D160" s="276">
        <v>0</v>
      </c>
      <c r="E160" s="277">
        <f>E159</f>
        <v>0.05</v>
      </c>
      <c r="F160" s="368">
        <f>$F$110</f>
        <v>10.300687773546297</v>
      </c>
      <c r="G160" s="359">
        <f t="shared" ref="G160" si="31">D160*E160*F160</f>
        <v>0</v>
      </c>
      <c r="P160" s="12"/>
      <c r="W160" s="40"/>
      <c r="X160" s="195"/>
    </row>
    <row r="161" spans="1:24" ht="18.600000000000001" thickBot="1" x14ac:dyDescent="0.35">
      <c r="A161" s="33"/>
      <c r="B161" s="281" t="s">
        <v>221</v>
      </c>
      <c r="C161" s="281" t="s">
        <v>475</v>
      </c>
      <c r="D161" s="282">
        <f>200*18</f>
        <v>3600</v>
      </c>
      <c r="E161" s="283">
        <f>Presentation!D57</f>
        <v>0</v>
      </c>
      <c r="F161" s="364">
        <f>cmed!$I$23</f>
        <v>30.460277761988667</v>
      </c>
      <c r="G161" s="365">
        <f t="shared" ref="G161" si="32">F161*D161*E161</f>
        <v>0</v>
      </c>
      <c r="P161" s="12"/>
      <c r="W161" s="40"/>
      <c r="X161" s="195"/>
    </row>
    <row r="162" spans="1:24" ht="18.600000000000001" thickBot="1" x14ac:dyDescent="0.35">
      <c r="A162" s="33"/>
      <c r="F162" s="309"/>
      <c r="G162" s="355">
        <f>SUM(G141:G161)</f>
        <v>13103.447761420262</v>
      </c>
      <c r="P162" s="12"/>
    </row>
    <row r="163" spans="1:24" ht="18" x14ac:dyDescent="0.3">
      <c r="A163" s="33"/>
      <c r="G163" s="181"/>
      <c r="P163" s="12"/>
    </row>
    <row r="164" spans="1:24" ht="18" x14ac:dyDescent="0.3">
      <c r="A164" s="33"/>
      <c r="C164" s="126" t="s">
        <v>479</v>
      </c>
      <c r="D164" s="126" t="s">
        <v>465</v>
      </c>
      <c r="E164" s="126" t="s">
        <v>38</v>
      </c>
      <c r="F164" s="126" t="s">
        <v>454</v>
      </c>
      <c r="G164" s="126" t="s">
        <v>460</v>
      </c>
      <c r="P164" s="12"/>
    </row>
    <row r="165" spans="1:24" ht="18" x14ac:dyDescent="0.3">
      <c r="A165" s="33"/>
      <c r="B165" s="443" t="s">
        <v>466</v>
      </c>
      <c r="C165" s="265" t="s">
        <v>366</v>
      </c>
      <c r="D165" s="266">
        <v>2</v>
      </c>
      <c r="E165" s="267">
        <v>1</v>
      </c>
      <c r="F165" s="367">
        <f t="shared" ref="F165:F181" si="33">F141</f>
        <v>92.201443756039339</v>
      </c>
      <c r="G165" s="369">
        <f>D165*E165*F165</f>
        <v>184.40288751207868</v>
      </c>
      <c r="P165" s="12"/>
    </row>
    <row r="166" spans="1:24" ht="18" x14ac:dyDescent="0.3">
      <c r="A166" s="33"/>
      <c r="B166" s="443"/>
      <c r="C166" s="265" t="s">
        <v>367</v>
      </c>
      <c r="D166" s="266">
        <v>2</v>
      </c>
      <c r="E166" s="267">
        <v>1</v>
      </c>
      <c r="F166" s="367">
        <f t="shared" si="33"/>
        <v>4.0468368100949244</v>
      </c>
      <c r="G166" s="369">
        <f t="shared" ref="G166:G181" si="34">D166*E166*F166</f>
        <v>8.0936736201898487</v>
      </c>
      <c r="P166" s="12"/>
    </row>
    <row r="167" spans="1:24" ht="18" x14ac:dyDescent="0.3">
      <c r="A167" s="33"/>
      <c r="B167" s="443"/>
      <c r="C167" s="265" t="s">
        <v>368</v>
      </c>
      <c r="D167" s="266">
        <v>2</v>
      </c>
      <c r="E167" s="267">
        <v>1</v>
      </c>
      <c r="F167" s="367">
        <f t="shared" si="33"/>
        <v>11.459512306030806</v>
      </c>
      <c r="G167" s="369">
        <f t="shared" si="34"/>
        <v>22.919024612061612</v>
      </c>
      <c r="P167" s="12"/>
    </row>
    <row r="168" spans="1:24" ht="18" x14ac:dyDescent="0.3">
      <c r="A168" s="33"/>
      <c r="B168" s="443"/>
      <c r="C168" s="265" t="s">
        <v>467</v>
      </c>
      <c r="D168" s="266">
        <v>1</v>
      </c>
      <c r="E168" s="267">
        <v>1</v>
      </c>
      <c r="F168" s="367">
        <f t="shared" si="33"/>
        <v>1.8285454442107656</v>
      </c>
      <c r="G168" s="369">
        <f t="shared" si="34"/>
        <v>1.8285454442107656</v>
      </c>
      <c r="P168" s="12"/>
    </row>
    <row r="169" spans="1:24" ht="18" x14ac:dyDescent="0.3">
      <c r="A169" s="33"/>
      <c r="B169" s="443"/>
      <c r="C169" s="265" t="s">
        <v>370</v>
      </c>
      <c r="D169" s="266">
        <v>1</v>
      </c>
      <c r="E169" s="267">
        <v>1</v>
      </c>
      <c r="F169" s="367">
        <f t="shared" si="33"/>
        <v>8.4420849201386901</v>
      </c>
      <c r="G169" s="369">
        <f t="shared" si="34"/>
        <v>8.4420849201386901</v>
      </c>
      <c r="P169" s="12"/>
    </row>
    <row r="170" spans="1:24" ht="18" x14ac:dyDescent="0.3">
      <c r="A170" s="33"/>
      <c r="B170" s="443"/>
      <c r="C170" s="265" t="s">
        <v>372</v>
      </c>
      <c r="D170" s="266">
        <v>1</v>
      </c>
      <c r="E170" s="267">
        <v>1</v>
      </c>
      <c r="F170" s="367">
        <f t="shared" si="33"/>
        <v>18.86433240493378</v>
      </c>
      <c r="G170" s="369">
        <f t="shared" si="34"/>
        <v>18.86433240493378</v>
      </c>
      <c r="P170" s="12"/>
    </row>
    <row r="171" spans="1:24" ht="18" x14ac:dyDescent="0.3">
      <c r="A171" s="33"/>
      <c r="B171" s="443"/>
      <c r="C171" s="265" t="s">
        <v>373</v>
      </c>
      <c r="D171" s="266">
        <v>1</v>
      </c>
      <c r="E171" s="267">
        <v>1</v>
      </c>
      <c r="F171" s="367">
        <f t="shared" si="33"/>
        <v>334.85723488508688</v>
      </c>
      <c r="G171" s="369">
        <f t="shared" si="34"/>
        <v>334.85723488508688</v>
      </c>
      <c r="P171" s="12"/>
    </row>
    <row r="172" spans="1:24" ht="18" x14ac:dyDescent="0.3">
      <c r="A172" s="33"/>
      <c r="B172" s="254" t="s">
        <v>218</v>
      </c>
      <c r="C172" s="254" t="s">
        <v>383</v>
      </c>
      <c r="D172" s="268">
        <f>D148</f>
        <v>365</v>
      </c>
      <c r="E172" s="269">
        <f>Presentation!$D$54</f>
        <v>0.6</v>
      </c>
      <c r="F172" s="370">
        <f t="shared" si="33"/>
        <v>0.8540644321920966</v>
      </c>
      <c r="G172" s="371">
        <f t="shared" si="34"/>
        <v>187.04011065006915</v>
      </c>
      <c r="P172" s="12"/>
    </row>
    <row r="173" spans="1:24" ht="18" x14ac:dyDescent="0.3">
      <c r="A173" s="33"/>
      <c r="B173" s="444" t="s">
        <v>229</v>
      </c>
      <c r="C173" s="270" t="s">
        <v>382</v>
      </c>
      <c r="D173" s="271">
        <f>600*1.8*4</f>
        <v>4320</v>
      </c>
      <c r="E173" s="272">
        <f>Presentation!$E$55</f>
        <v>0.7</v>
      </c>
      <c r="F173" s="372">
        <f t="shared" si="33"/>
        <v>1.6749085810644385E-2</v>
      </c>
      <c r="G173" s="373">
        <f t="shared" si="34"/>
        <v>50.649235491388623</v>
      </c>
      <c r="P173" s="12"/>
    </row>
    <row r="174" spans="1:24" ht="18" x14ac:dyDescent="0.3">
      <c r="A174" s="33"/>
      <c r="B174" s="445"/>
      <c r="C174" s="270" t="s">
        <v>100</v>
      </c>
      <c r="D174" s="271">
        <f>75*1.8*4</f>
        <v>540</v>
      </c>
      <c r="E174" s="272">
        <f>Presentation!$E$55</f>
        <v>0.7</v>
      </c>
      <c r="F174" s="372">
        <f t="shared" si="33"/>
        <v>10.300687773546297</v>
      </c>
      <c r="G174" s="373">
        <f t="shared" si="34"/>
        <v>3893.6599784005002</v>
      </c>
      <c r="P174" s="12"/>
    </row>
    <row r="175" spans="1:24" ht="18" x14ac:dyDescent="0.3">
      <c r="A175" s="33"/>
      <c r="B175" s="445"/>
      <c r="C175" s="258" t="s">
        <v>363</v>
      </c>
      <c r="D175" s="271">
        <v>1</v>
      </c>
      <c r="E175" s="272">
        <f>Presentation!$E$55</f>
        <v>0.7</v>
      </c>
      <c r="F175" s="372">
        <f t="shared" si="33"/>
        <v>912.86307053941914</v>
      </c>
      <c r="G175" s="373">
        <f t="shared" si="34"/>
        <v>639.00414937759331</v>
      </c>
      <c r="P175" s="12"/>
    </row>
    <row r="176" spans="1:24" ht="18" x14ac:dyDescent="0.3">
      <c r="A176" s="33"/>
      <c r="B176" s="445"/>
      <c r="C176" s="258" t="s">
        <v>364</v>
      </c>
      <c r="D176" s="271">
        <v>1</v>
      </c>
      <c r="E176" s="272">
        <f>Presentation!$E$55</f>
        <v>0.7</v>
      </c>
      <c r="F176" s="372">
        <f t="shared" si="33"/>
        <v>175.74224596904071</v>
      </c>
      <c r="G176" s="373">
        <f t="shared" si="34"/>
        <v>123.01957217832849</v>
      </c>
      <c r="I176" s="309"/>
      <c r="J176" s="309"/>
      <c r="K176" s="309"/>
      <c r="P176" s="12"/>
    </row>
    <row r="177" spans="1:24" ht="18" x14ac:dyDescent="0.3">
      <c r="A177" s="33"/>
      <c r="B177" s="445"/>
      <c r="C177" s="258" t="s">
        <v>365</v>
      </c>
      <c r="D177" s="271">
        <v>20</v>
      </c>
      <c r="E177" s="272">
        <f>Presentation!$E$55</f>
        <v>0.7</v>
      </c>
      <c r="F177" s="372">
        <f t="shared" si="33"/>
        <v>20.241004945148639</v>
      </c>
      <c r="G177" s="373">
        <f t="shared" si="34"/>
        <v>283.37406923208096</v>
      </c>
      <c r="I177" s="309"/>
      <c r="J177" s="309"/>
      <c r="K177" s="309"/>
      <c r="P177" s="12"/>
    </row>
    <row r="178" spans="1:24" ht="18" x14ac:dyDescent="0.3">
      <c r="A178" s="33"/>
      <c r="B178" s="446"/>
      <c r="C178" s="270" t="s">
        <v>103</v>
      </c>
      <c r="D178" s="271">
        <v>4</v>
      </c>
      <c r="E178" s="272">
        <f>Presentation!$E$55</f>
        <v>0.7</v>
      </c>
      <c r="F178" s="372">
        <f t="shared" si="33"/>
        <v>912.86307053941914</v>
      </c>
      <c r="G178" s="373">
        <f t="shared" si="34"/>
        <v>2556.0165975103732</v>
      </c>
      <c r="I178" s="309"/>
      <c r="J178" s="309"/>
      <c r="K178" s="309"/>
      <c r="P178" s="12"/>
    </row>
    <row r="179" spans="1:24" ht="18" x14ac:dyDescent="0.3">
      <c r="A179" s="33"/>
      <c r="B179" s="447" t="s">
        <v>216</v>
      </c>
      <c r="C179" s="262" t="s">
        <v>378</v>
      </c>
      <c r="D179" s="263">
        <v>1</v>
      </c>
      <c r="E179" s="264">
        <f>Presentation!$E$52</f>
        <v>1</v>
      </c>
      <c r="F179" s="349">
        <f t="shared" si="33"/>
        <v>1047.2744841698402</v>
      </c>
      <c r="G179" s="363">
        <f t="shared" si="34"/>
        <v>1047.2744841698402</v>
      </c>
      <c r="I179" s="309"/>
      <c r="J179" s="309"/>
      <c r="K179" s="309"/>
      <c r="P179" s="12"/>
    </row>
    <row r="180" spans="1:24" ht="18" x14ac:dyDescent="0.3">
      <c r="A180" s="33"/>
      <c r="B180" s="448"/>
      <c r="C180" s="262" t="s">
        <v>379</v>
      </c>
      <c r="D180" s="263">
        <v>1</v>
      </c>
      <c r="E180" s="264">
        <f>Presentation!$E$52</f>
        <v>1</v>
      </c>
      <c r="F180" s="349">
        <f t="shared" si="33"/>
        <v>1668.9289300668827</v>
      </c>
      <c r="G180" s="363">
        <f t="shared" si="34"/>
        <v>1668.9289300668827</v>
      </c>
      <c r="I180" s="309"/>
      <c r="J180" s="309"/>
      <c r="K180" s="309"/>
      <c r="P180" s="12"/>
    </row>
    <row r="181" spans="1:24" ht="18" x14ac:dyDescent="0.3">
      <c r="A181" s="33"/>
      <c r="B181" s="262" t="s">
        <v>217</v>
      </c>
      <c r="C181" s="262" t="s">
        <v>474</v>
      </c>
      <c r="D181" s="263">
        <v>25</v>
      </c>
      <c r="E181" s="264">
        <f>Presentation!E53</f>
        <v>0.7</v>
      </c>
      <c r="F181" s="349">
        <f t="shared" si="33"/>
        <v>235.75497830576558</v>
      </c>
      <c r="G181" s="363">
        <f t="shared" si="34"/>
        <v>4125.7121203508977</v>
      </c>
      <c r="I181" s="309"/>
      <c r="J181" s="309"/>
      <c r="K181" s="309"/>
      <c r="P181" s="12"/>
    </row>
    <row r="182" spans="1:24" ht="18" x14ac:dyDescent="0.3">
      <c r="A182" s="33"/>
      <c r="B182" s="449" t="s">
        <v>220</v>
      </c>
      <c r="C182" s="273" t="s">
        <v>470</v>
      </c>
      <c r="D182" s="280">
        <v>0</v>
      </c>
      <c r="E182" s="277">
        <f>Presentation!E56</f>
        <v>0.2</v>
      </c>
      <c r="F182" s="368">
        <f>$F$108</f>
        <v>6.0978121709662663</v>
      </c>
      <c r="G182" s="359">
        <f t="shared" ref="G182:G183" si="35">F182*D182*E182</f>
        <v>0</v>
      </c>
      <c r="I182" s="337">
        <f>SUM(G182:G184)</f>
        <v>9448.0686636730516</v>
      </c>
      <c r="J182" s="309"/>
      <c r="K182" s="309"/>
      <c r="P182" s="12"/>
      <c r="W182" s="40" t="s">
        <v>94</v>
      </c>
    </row>
    <row r="183" spans="1:24" ht="18" x14ac:dyDescent="0.3">
      <c r="A183" s="33"/>
      <c r="B183" s="449"/>
      <c r="C183" s="274" t="s">
        <v>471</v>
      </c>
      <c r="D183" s="252">
        <f>2*70*52</f>
        <v>7280</v>
      </c>
      <c r="E183" s="253">
        <f>E182</f>
        <v>0.2</v>
      </c>
      <c r="F183" s="357">
        <f>$F$109</f>
        <v>6.4890581481270964</v>
      </c>
      <c r="G183" s="358">
        <f t="shared" si="35"/>
        <v>9448.0686636730516</v>
      </c>
      <c r="I183" s="309"/>
      <c r="J183" s="309"/>
      <c r="K183" s="309"/>
      <c r="P183" s="12"/>
      <c r="W183" s="40" t="s">
        <v>95</v>
      </c>
      <c r="X183" s="195">
        <v>123.67</v>
      </c>
    </row>
    <row r="184" spans="1:24" ht="18" x14ac:dyDescent="0.3">
      <c r="A184" s="33"/>
      <c r="B184" s="449"/>
      <c r="C184" s="273" t="s">
        <v>159</v>
      </c>
      <c r="D184" s="276">
        <v>0</v>
      </c>
      <c r="E184" s="277">
        <f>E183</f>
        <v>0.2</v>
      </c>
      <c r="F184" s="368">
        <f>$F$110</f>
        <v>10.300687773546297</v>
      </c>
      <c r="G184" s="359">
        <f t="shared" ref="G184" si="36">D184*E184*F184</f>
        <v>0</v>
      </c>
      <c r="I184" s="309"/>
      <c r="J184" s="309"/>
      <c r="K184" s="309"/>
      <c r="P184" s="12"/>
      <c r="W184" s="40"/>
      <c r="X184" s="195"/>
    </row>
    <row r="185" spans="1:24" ht="18.600000000000001" thickBot="1" x14ac:dyDescent="0.35">
      <c r="A185" s="33"/>
      <c r="B185" s="281" t="s">
        <v>221</v>
      </c>
      <c r="C185" s="281" t="s">
        <v>475</v>
      </c>
      <c r="D185" s="282">
        <f>200*18</f>
        <v>3600</v>
      </c>
      <c r="E185" s="283">
        <f>Presentation!E57</f>
        <v>0.1</v>
      </c>
      <c r="F185" s="364">
        <f>cmed!$I$23</f>
        <v>30.460277761988667</v>
      </c>
      <c r="G185" s="365">
        <f t="shared" ref="G185" si="37">F185*D185*E185</f>
        <v>10965.699994315921</v>
      </c>
      <c r="I185" s="309"/>
      <c r="J185" s="309"/>
      <c r="K185" s="309"/>
      <c r="P185" s="12"/>
      <c r="W185" s="40"/>
      <c r="X185" s="195"/>
    </row>
    <row r="186" spans="1:24" ht="18.600000000000001" thickBot="1" x14ac:dyDescent="0.35">
      <c r="A186" s="33"/>
      <c r="F186" s="309"/>
      <c r="G186" s="355">
        <f>SUM(G165:G185)</f>
        <v>35567.855688815631</v>
      </c>
      <c r="I186" s="309"/>
      <c r="J186" s="309"/>
      <c r="K186" s="309"/>
      <c r="P186" s="12"/>
    </row>
    <row r="187" spans="1:24" ht="18" x14ac:dyDescent="0.3">
      <c r="A187" s="33"/>
      <c r="I187" s="309"/>
      <c r="J187" s="309"/>
      <c r="K187" s="309"/>
      <c r="P187" s="12"/>
    </row>
    <row r="188" spans="1:24" ht="18" x14ac:dyDescent="0.3">
      <c r="A188" s="33"/>
      <c r="C188" s="126" t="s">
        <v>480</v>
      </c>
      <c r="D188" s="126" t="s">
        <v>465</v>
      </c>
      <c r="E188" s="126" t="s">
        <v>38</v>
      </c>
      <c r="F188" s="126" t="s">
        <v>454</v>
      </c>
      <c r="G188" s="126" t="s">
        <v>460</v>
      </c>
      <c r="I188" s="309"/>
      <c r="J188" s="309"/>
      <c r="K188" s="309"/>
      <c r="P188" s="12"/>
    </row>
    <row r="189" spans="1:24" ht="18" x14ac:dyDescent="0.3">
      <c r="A189" s="33"/>
      <c r="B189" s="443" t="s">
        <v>466</v>
      </c>
      <c r="C189" s="265" t="s">
        <v>366</v>
      </c>
      <c r="D189" s="266">
        <v>2</v>
      </c>
      <c r="E189" s="267">
        <v>1</v>
      </c>
      <c r="F189" s="367">
        <f t="shared" ref="F189:F195" si="38">F165</f>
        <v>92.201443756039339</v>
      </c>
      <c r="G189" s="369">
        <f>D189*E189*F189</f>
        <v>184.40288751207868</v>
      </c>
      <c r="H189" s="309"/>
      <c r="I189" s="309"/>
      <c r="J189" s="309"/>
      <c r="K189" s="309"/>
      <c r="P189" s="12"/>
    </row>
    <row r="190" spans="1:24" ht="18" x14ac:dyDescent="0.3">
      <c r="A190" s="33"/>
      <c r="B190" s="443"/>
      <c r="C190" s="265" t="s">
        <v>367</v>
      </c>
      <c r="D190" s="266">
        <v>2</v>
      </c>
      <c r="E190" s="267">
        <v>1</v>
      </c>
      <c r="F190" s="367">
        <f t="shared" si="38"/>
        <v>4.0468368100949244</v>
      </c>
      <c r="G190" s="369">
        <f t="shared" ref="G190:G204" si="39">D190*E190*F190</f>
        <v>8.0936736201898487</v>
      </c>
      <c r="H190" s="309"/>
      <c r="I190" s="309"/>
      <c r="J190" s="309"/>
      <c r="K190" s="309"/>
      <c r="P190" s="12"/>
    </row>
    <row r="191" spans="1:24" ht="18" x14ac:dyDescent="0.3">
      <c r="A191" s="33"/>
      <c r="B191" s="443"/>
      <c r="C191" s="265" t="s">
        <v>368</v>
      </c>
      <c r="D191" s="266">
        <v>2</v>
      </c>
      <c r="E191" s="267">
        <v>1</v>
      </c>
      <c r="F191" s="367">
        <f t="shared" si="38"/>
        <v>11.459512306030806</v>
      </c>
      <c r="G191" s="369">
        <f t="shared" si="39"/>
        <v>22.919024612061612</v>
      </c>
      <c r="H191" s="309"/>
      <c r="I191" s="309"/>
      <c r="J191" s="309"/>
      <c r="K191" s="309"/>
      <c r="P191" s="12"/>
    </row>
    <row r="192" spans="1:24" ht="18" x14ac:dyDescent="0.3">
      <c r="A192" s="33"/>
      <c r="B192" s="443"/>
      <c r="C192" s="265" t="s">
        <v>467</v>
      </c>
      <c r="D192" s="266">
        <v>1</v>
      </c>
      <c r="E192" s="267">
        <v>1</v>
      </c>
      <c r="F192" s="367">
        <f t="shared" si="38"/>
        <v>1.8285454442107656</v>
      </c>
      <c r="G192" s="369">
        <f t="shared" si="39"/>
        <v>1.8285454442107656</v>
      </c>
      <c r="H192" s="309"/>
      <c r="I192" s="309"/>
      <c r="J192" s="309"/>
      <c r="K192" s="309"/>
      <c r="P192" s="12"/>
    </row>
    <row r="193" spans="1:24" ht="18" x14ac:dyDescent="0.3">
      <c r="A193" s="33"/>
      <c r="B193" s="443"/>
      <c r="C193" s="265" t="s">
        <v>370</v>
      </c>
      <c r="D193" s="266">
        <v>1</v>
      </c>
      <c r="E193" s="267">
        <v>1</v>
      </c>
      <c r="F193" s="367">
        <f t="shared" si="38"/>
        <v>8.4420849201386901</v>
      </c>
      <c r="G193" s="369">
        <f t="shared" si="39"/>
        <v>8.4420849201386901</v>
      </c>
      <c r="H193" s="309"/>
      <c r="I193" s="309"/>
      <c r="J193" s="309"/>
      <c r="K193" s="309"/>
      <c r="P193" s="12"/>
    </row>
    <row r="194" spans="1:24" ht="18" x14ac:dyDescent="0.3">
      <c r="A194" s="33"/>
      <c r="B194" s="443"/>
      <c r="C194" s="265" t="s">
        <v>372</v>
      </c>
      <c r="D194" s="266">
        <v>1</v>
      </c>
      <c r="E194" s="267">
        <v>1</v>
      </c>
      <c r="F194" s="367">
        <f t="shared" si="38"/>
        <v>18.86433240493378</v>
      </c>
      <c r="G194" s="369">
        <f t="shared" si="39"/>
        <v>18.86433240493378</v>
      </c>
      <c r="H194" s="309"/>
      <c r="I194" s="309"/>
      <c r="J194" s="309"/>
      <c r="K194" s="309"/>
      <c r="P194" s="12"/>
    </row>
    <row r="195" spans="1:24" ht="18" x14ac:dyDescent="0.3">
      <c r="A195" s="33"/>
      <c r="B195" s="443"/>
      <c r="C195" s="265" t="s">
        <v>373</v>
      </c>
      <c r="D195" s="266">
        <v>1</v>
      </c>
      <c r="E195" s="267">
        <v>1</v>
      </c>
      <c r="F195" s="367">
        <f t="shared" si="38"/>
        <v>334.85723488508688</v>
      </c>
      <c r="G195" s="369">
        <f t="shared" si="39"/>
        <v>334.85723488508688</v>
      </c>
      <c r="H195" s="309"/>
      <c r="I195" s="309"/>
      <c r="J195" s="309"/>
      <c r="K195" s="309"/>
      <c r="P195" s="12"/>
    </row>
    <row r="196" spans="1:24" ht="18" x14ac:dyDescent="0.3">
      <c r="A196" s="33"/>
      <c r="B196" s="444" t="s">
        <v>229</v>
      </c>
      <c r="C196" s="270" t="s">
        <v>382</v>
      </c>
      <c r="D196" s="271">
        <f>600*1.8*4</f>
        <v>4320</v>
      </c>
      <c r="E196" s="272">
        <f>Presentation!$F$55</f>
        <v>0.9</v>
      </c>
      <c r="F196" s="372">
        <f t="shared" ref="F196:F204" si="40">F173</f>
        <v>1.6749085810644385E-2</v>
      </c>
      <c r="G196" s="373">
        <f t="shared" si="39"/>
        <v>65.120445631785373</v>
      </c>
      <c r="H196" s="309"/>
      <c r="I196" s="309"/>
      <c r="J196" s="309"/>
      <c r="K196" s="309"/>
      <c r="P196" s="12"/>
    </row>
    <row r="197" spans="1:24" ht="18" x14ac:dyDescent="0.3">
      <c r="A197" s="33"/>
      <c r="B197" s="445"/>
      <c r="C197" s="270" t="s">
        <v>100</v>
      </c>
      <c r="D197" s="271">
        <f>75*1.8*4</f>
        <v>540</v>
      </c>
      <c r="E197" s="272">
        <f>Presentation!$F$55</f>
        <v>0.9</v>
      </c>
      <c r="F197" s="372">
        <f t="shared" si="40"/>
        <v>10.300687773546297</v>
      </c>
      <c r="G197" s="373">
        <f t="shared" si="39"/>
        <v>5006.1342579435004</v>
      </c>
      <c r="H197" s="309"/>
      <c r="I197" s="309"/>
      <c r="J197" s="309"/>
      <c r="K197" s="309"/>
      <c r="P197" s="12"/>
    </row>
    <row r="198" spans="1:24" ht="18" x14ac:dyDescent="0.3">
      <c r="A198" s="33"/>
      <c r="B198" s="445"/>
      <c r="C198" s="258" t="s">
        <v>363</v>
      </c>
      <c r="D198" s="271">
        <v>1</v>
      </c>
      <c r="E198" s="272">
        <f>Presentation!$F$55</f>
        <v>0.9</v>
      </c>
      <c r="F198" s="372">
        <f t="shared" si="40"/>
        <v>912.86307053941914</v>
      </c>
      <c r="G198" s="373">
        <f t="shared" si="39"/>
        <v>821.57676348547727</v>
      </c>
      <c r="H198" s="309"/>
      <c r="I198" s="309"/>
      <c r="J198" s="309"/>
      <c r="K198" s="309"/>
      <c r="P198" s="12"/>
    </row>
    <row r="199" spans="1:24" ht="18" x14ac:dyDescent="0.3">
      <c r="A199" s="33"/>
      <c r="B199" s="445"/>
      <c r="C199" s="258" t="s">
        <v>364</v>
      </c>
      <c r="D199" s="271">
        <v>1</v>
      </c>
      <c r="E199" s="272">
        <f>Presentation!$F$55</f>
        <v>0.9</v>
      </c>
      <c r="F199" s="372">
        <f t="shared" si="40"/>
        <v>175.74224596904071</v>
      </c>
      <c r="G199" s="373">
        <f t="shared" si="39"/>
        <v>158.16802137213665</v>
      </c>
      <c r="H199" s="309"/>
      <c r="I199" s="309"/>
      <c r="J199" s="309"/>
      <c r="K199" s="309"/>
      <c r="P199" s="12"/>
    </row>
    <row r="200" spans="1:24" ht="18" x14ac:dyDescent="0.3">
      <c r="A200" s="33"/>
      <c r="B200" s="445"/>
      <c r="C200" s="258" t="s">
        <v>365</v>
      </c>
      <c r="D200" s="271">
        <v>20</v>
      </c>
      <c r="E200" s="272">
        <f>Presentation!$F$55</f>
        <v>0.9</v>
      </c>
      <c r="F200" s="372">
        <f t="shared" si="40"/>
        <v>20.241004945148639</v>
      </c>
      <c r="G200" s="373">
        <f t="shared" si="39"/>
        <v>364.33808901267548</v>
      </c>
      <c r="H200" s="309"/>
      <c r="I200" s="309"/>
      <c r="J200" s="309"/>
      <c r="K200" s="309"/>
      <c r="P200" s="12"/>
    </row>
    <row r="201" spans="1:24" ht="18" x14ac:dyDescent="0.3">
      <c r="A201" s="33"/>
      <c r="B201" s="446"/>
      <c r="C201" s="270" t="s">
        <v>103</v>
      </c>
      <c r="D201" s="271">
        <v>4</v>
      </c>
      <c r="E201" s="272">
        <f>Presentation!$F$55</f>
        <v>0.9</v>
      </c>
      <c r="F201" s="372">
        <f t="shared" si="40"/>
        <v>912.86307053941914</v>
      </c>
      <c r="G201" s="373">
        <f t="shared" si="39"/>
        <v>3286.3070539419091</v>
      </c>
      <c r="H201" s="309"/>
      <c r="I201" s="309"/>
      <c r="J201" s="309"/>
      <c r="K201" s="309"/>
      <c r="P201" s="12"/>
    </row>
    <row r="202" spans="1:24" ht="18" x14ac:dyDescent="0.3">
      <c r="A202" s="33"/>
      <c r="B202" s="447" t="s">
        <v>216</v>
      </c>
      <c r="C202" s="262" t="s">
        <v>378</v>
      </c>
      <c r="D202" s="263">
        <v>1</v>
      </c>
      <c r="E202" s="264">
        <f>Presentation!F52</f>
        <v>1</v>
      </c>
      <c r="F202" s="349">
        <f t="shared" si="40"/>
        <v>1047.2744841698402</v>
      </c>
      <c r="G202" s="363">
        <f t="shared" si="39"/>
        <v>1047.2744841698402</v>
      </c>
      <c r="H202" s="309"/>
      <c r="I202" s="309"/>
      <c r="J202" s="309"/>
      <c r="K202" s="309"/>
      <c r="P202" s="12"/>
    </row>
    <row r="203" spans="1:24" ht="18" x14ac:dyDescent="0.3">
      <c r="A203" s="33"/>
      <c r="B203" s="448"/>
      <c r="C203" s="262" t="s">
        <v>379</v>
      </c>
      <c r="D203" s="263">
        <v>1</v>
      </c>
      <c r="E203" s="264">
        <f>Presentation!F52</f>
        <v>1</v>
      </c>
      <c r="F203" s="349">
        <f t="shared" si="40"/>
        <v>1668.9289300668827</v>
      </c>
      <c r="G203" s="363">
        <f t="shared" si="39"/>
        <v>1668.9289300668827</v>
      </c>
      <c r="H203" s="309"/>
      <c r="I203" s="309"/>
      <c r="J203" s="309"/>
      <c r="K203" s="309"/>
      <c r="P203" s="12"/>
    </row>
    <row r="204" spans="1:24" ht="18" x14ac:dyDescent="0.3">
      <c r="A204" s="33"/>
      <c r="B204" s="262" t="s">
        <v>217</v>
      </c>
      <c r="C204" s="262" t="s">
        <v>474</v>
      </c>
      <c r="D204" s="263">
        <v>25</v>
      </c>
      <c r="E204" s="264">
        <f>Presentation!F53</f>
        <v>1</v>
      </c>
      <c r="F204" s="349">
        <f t="shared" si="40"/>
        <v>235.75497830576558</v>
      </c>
      <c r="G204" s="363">
        <f t="shared" si="39"/>
        <v>5893.8744576441395</v>
      </c>
      <c r="H204" s="309"/>
      <c r="I204" s="309"/>
      <c r="J204" s="309"/>
      <c r="K204" s="309"/>
      <c r="P204" s="12"/>
    </row>
    <row r="205" spans="1:24" ht="18" x14ac:dyDescent="0.3">
      <c r="A205" s="33"/>
      <c r="B205" s="449" t="s">
        <v>220</v>
      </c>
      <c r="C205" s="274" t="s">
        <v>470</v>
      </c>
      <c r="D205" s="252">
        <v>18</v>
      </c>
      <c r="E205" s="253">
        <f>Presentation!F56</f>
        <v>0.2</v>
      </c>
      <c r="F205" s="357">
        <f>$F$108</f>
        <v>6.0978121709662663</v>
      </c>
      <c r="G205" s="358">
        <f t="shared" ref="G205:G206" si="41">F205*D205*E205</f>
        <v>21.952123815478558</v>
      </c>
      <c r="H205" s="309"/>
      <c r="I205" s="337">
        <f>SUM(G205:G207)</f>
        <v>9470.0207874885309</v>
      </c>
      <c r="J205" s="309"/>
      <c r="K205" s="309"/>
      <c r="P205" s="12"/>
      <c r="W205" s="40" t="s">
        <v>94</v>
      </c>
    </row>
    <row r="206" spans="1:24" ht="18" x14ac:dyDescent="0.3">
      <c r="A206" s="33"/>
      <c r="B206" s="449"/>
      <c r="C206" s="274" t="s">
        <v>471</v>
      </c>
      <c r="D206" s="252">
        <f>2*70*52</f>
        <v>7280</v>
      </c>
      <c r="E206" s="253">
        <f>E205</f>
        <v>0.2</v>
      </c>
      <c r="F206" s="357">
        <f>$F$109</f>
        <v>6.4890581481270964</v>
      </c>
      <c r="G206" s="358">
        <f t="shared" si="41"/>
        <v>9448.0686636730516</v>
      </c>
      <c r="H206" s="309"/>
      <c r="I206" s="309"/>
      <c r="J206" s="309"/>
      <c r="K206" s="309"/>
      <c r="P206" s="12"/>
      <c r="W206" s="40" t="s">
        <v>95</v>
      </c>
      <c r="X206" s="195">
        <v>123.67</v>
      </c>
    </row>
    <row r="207" spans="1:24" ht="18" x14ac:dyDescent="0.3">
      <c r="A207" s="33"/>
      <c r="B207" s="449"/>
      <c r="C207" s="273" t="s">
        <v>159</v>
      </c>
      <c r="D207" s="276">
        <v>0</v>
      </c>
      <c r="E207" s="277">
        <f>E206</f>
        <v>0.2</v>
      </c>
      <c r="F207" s="368">
        <f>$F$110</f>
        <v>10.300687773546297</v>
      </c>
      <c r="G207" s="359">
        <f t="shared" ref="G207" si="42">D207*E207*F207</f>
        <v>0</v>
      </c>
      <c r="H207" s="309"/>
      <c r="I207" s="309"/>
      <c r="J207" s="309"/>
      <c r="K207" s="309"/>
      <c r="P207" s="12"/>
      <c r="W207" s="40"/>
      <c r="X207" s="195"/>
    </row>
    <row r="208" spans="1:24" ht="18" x14ac:dyDescent="0.3">
      <c r="A208" s="33"/>
      <c r="B208" s="451" t="s">
        <v>218</v>
      </c>
      <c r="C208" s="255" t="s">
        <v>384</v>
      </c>
      <c r="D208" s="256">
        <v>12</v>
      </c>
      <c r="E208" s="257">
        <f>Presentation!F54</f>
        <v>0.6</v>
      </c>
      <c r="F208" s="348">
        <f>$F$106</f>
        <v>2766.2233085128555</v>
      </c>
      <c r="G208" s="360">
        <f t="shared" ref="G208:G210" si="43">F208*D208*E208</f>
        <v>19916.807821292557</v>
      </c>
      <c r="H208" s="309" t="s">
        <v>70</v>
      </c>
      <c r="I208" s="337">
        <f>SUM(G208:G209)</f>
        <v>28998.0833285966</v>
      </c>
      <c r="J208" s="309"/>
      <c r="K208" s="309"/>
      <c r="P208" s="12"/>
      <c r="W208" s="40" t="s">
        <v>94</v>
      </c>
    </row>
    <row r="209" spans="1:24" ht="18" x14ac:dyDescent="0.3">
      <c r="A209" s="33"/>
      <c r="B209" s="451"/>
      <c r="C209" s="255" t="s">
        <v>385</v>
      </c>
      <c r="D209" s="256">
        <v>14</v>
      </c>
      <c r="E209" s="257">
        <f>E208</f>
        <v>0.6</v>
      </c>
      <c r="F209" s="348">
        <f>$F$107</f>
        <v>1081.1042270600049</v>
      </c>
      <c r="G209" s="360">
        <f t="shared" si="43"/>
        <v>9081.2755073040407</v>
      </c>
      <c r="H209" s="309" t="s">
        <v>70</v>
      </c>
      <c r="I209" s="309"/>
      <c r="J209" s="309"/>
      <c r="K209" s="309"/>
      <c r="P209" s="12"/>
      <c r="W209" s="40" t="s">
        <v>95</v>
      </c>
      <c r="X209" s="195">
        <v>123.67</v>
      </c>
    </row>
    <row r="210" spans="1:24" ht="18.600000000000001" thickBot="1" x14ac:dyDescent="0.35">
      <c r="A210" s="33"/>
      <c r="B210" s="281" t="s">
        <v>221</v>
      </c>
      <c r="C210" s="281" t="s">
        <v>475</v>
      </c>
      <c r="D210" s="282">
        <f>200*18</f>
        <v>3600</v>
      </c>
      <c r="E210" s="283">
        <f>Presentation!F57</f>
        <v>0.1</v>
      </c>
      <c r="F210" s="364">
        <f>cmed!$I$23</f>
        <v>30.460277761988667</v>
      </c>
      <c r="G210" s="365">
        <f t="shared" si="43"/>
        <v>10965.699994315921</v>
      </c>
      <c r="H210" s="309"/>
      <c r="I210" s="309"/>
      <c r="J210" s="309"/>
      <c r="K210" s="309"/>
      <c r="P210" s="12"/>
      <c r="W210" s="40"/>
      <c r="X210" s="195"/>
    </row>
    <row r="211" spans="1:24" ht="18.600000000000001" thickBot="1" x14ac:dyDescent="0.35">
      <c r="A211" s="33"/>
      <c r="F211" s="309"/>
      <c r="G211" s="355">
        <f>SUM(G189:G210)</f>
        <v>68324.934397068093</v>
      </c>
      <c r="H211" s="309"/>
      <c r="I211" s="309"/>
      <c r="J211" s="309"/>
      <c r="K211" s="309"/>
      <c r="P211" s="12"/>
    </row>
    <row r="212" spans="1:24" ht="18" x14ac:dyDescent="0.3">
      <c r="A212" s="33"/>
      <c r="F212" s="309"/>
      <c r="G212" s="309"/>
      <c r="H212" s="309"/>
      <c r="I212" s="309"/>
      <c r="J212" s="309"/>
      <c r="K212" s="309"/>
      <c r="P212" s="12"/>
    </row>
    <row r="213" spans="1:24" ht="18" x14ac:dyDescent="0.3">
      <c r="A213" s="33"/>
      <c r="C213" s="126" t="s">
        <v>481</v>
      </c>
      <c r="D213" s="126" t="s">
        <v>465</v>
      </c>
      <c r="E213" s="126" t="s">
        <v>38</v>
      </c>
      <c r="F213" s="354" t="s">
        <v>454</v>
      </c>
      <c r="G213" s="354" t="s">
        <v>460</v>
      </c>
      <c r="H213" s="309"/>
      <c r="I213" s="309"/>
      <c r="J213" s="309"/>
      <c r="K213" s="309"/>
      <c r="P213" s="12"/>
    </row>
    <row r="214" spans="1:24" ht="18" x14ac:dyDescent="0.3">
      <c r="A214" s="33"/>
      <c r="B214" s="443" t="s">
        <v>466</v>
      </c>
      <c r="C214" s="265" t="s">
        <v>366</v>
      </c>
      <c r="D214" s="266">
        <v>2</v>
      </c>
      <c r="E214" s="267">
        <v>1</v>
      </c>
      <c r="F214" s="367">
        <f t="shared" ref="F214:F220" si="44">F189</f>
        <v>92.201443756039339</v>
      </c>
      <c r="G214" s="369">
        <f>D214*E214*F214</f>
        <v>184.40288751207868</v>
      </c>
      <c r="H214" s="309"/>
      <c r="I214" s="309"/>
      <c r="J214" s="309"/>
      <c r="K214" s="309"/>
      <c r="P214" s="12"/>
    </row>
    <row r="215" spans="1:24" ht="18" x14ac:dyDescent="0.3">
      <c r="A215" s="33"/>
      <c r="B215" s="443"/>
      <c r="C215" s="265" t="s">
        <v>367</v>
      </c>
      <c r="D215" s="266">
        <v>2</v>
      </c>
      <c r="E215" s="267">
        <v>1</v>
      </c>
      <c r="F215" s="367">
        <f t="shared" si="44"/>
        <v>4.0468368100949244</v>
      </c>
      <c r="G215" s="369">
        <f t="shared" ref="G215:G230" si="45">D215*E215*F215</f>
        <v>8.0936736201898487</v>
      </c>
      <c r="H215" s="309"/>
      <c r="I215" s="309"/>
      <c r="J215" s="309"/>
      <c r="K215" s="309"/>
      <c r="P215" s="12"/>
    </row>
    <row r="216" spans="1:24" ht="18" x14ac:dyDescent="0.3">
      <c r="A216" s="33"/>
      <c r="B216" s="443"/>
      <c r="C216" s="265" t="s">
        <v>368</v>
      </c>
      <c r="D216" s="266">
        <v>2</v>
      </c>
      <c r="E216" s="267">
        <v>1</v>
      </c>
      <c r="F216" s="367">
        <f t="shared" si="44"/>
        <v>11.459512306030806</v>
      </c>
      <c r="G216" s="369">
        <f t="shared" si="45"/>
        <v>22.919024612061612</v>
      </c>
      <c r="H216" s="309"/>
      <c r="I216" s="309"/>
      <c r="J216" s="309"/>
      <c r="K216" s="309"/>
      <c r="P216" s="12"/>
    </row>
    <row r="217" spans="1:24" ht="18" x14ac:dyDescent="0.3">
      <c r="A217" s="33"/>
      <c r="B217" s="443"/>
      <c r="C217" s="265" t="s">
        <v>467</v>
      </c>
      <c r="D217" s="266">
        <v>1</v>
      </c>
      <c r="E217" s="267">
        <v>1</v>
      </c>
      <c r="F217" s="367">
        <f t="shared" si="44"/>
        <v>1.8285454442107656</v>
      </c>
      <c r="G217" s="369">
        <f t="shared" si="45"/>
        <v>1.8285454442107656</v>
      </c>
      <c r="H217" s="309"/>
      <c r="I217" s="309"/>
      <c r="J217" s="309"/>
      <c r="K217" s="309"/>
      <c r="P217" s="12"/>
    </row>
    <row r="218" spans="1:24" ht="18" x14ac:dyDescent="0.3">
      <c r="A218" s="33"/>
      <c r="B218" s="443"/>
      <c r="C218" s="265" t="s">
        <v>370</v>
      </c>
      <c r="D218" s="266">
        <v>1</v>
      </c>
      <c r="E218" s="267">
        <v>1</v>
      </c>
      <c r="F218" s="367">
        <f t="shared" si="44"/>
        <v>8.4420849201386901</v>
      </c>
      <c r="G218" s="369">
        <f t="shared" si="45"/>
        <v>8.4420849201386901</v>
      </c>
      <c r="H218" s="309"/>
      <c r="I218" s="309"/>
      <c r="J218" s="309"/>
      <c r="K218" s="309"/>
      <c r="P218" s="12"/>
    </row>
    <row r="219" spans="1:24" ht="18" x14ac:dyDescent="0.3">
      <c r="A219" s="33"/>
      <c r="B219" s="443"/>
      <c r="C219" s="265" t="s">
        <v>372</v>
      </c>
      <c r="D219" s="266">
        <v>1</v>
      </c>
      <c r="E219" s="267">
        <v>1</v>
      </c>
      <c r="F219" s="367">
        <f t="shared" si="44"/>
        <v>18.86433240493378</v>
      </c>
      <c r="G219" s="369">
        <f t="shared" si="45"/>
        <v>18.86433240493378</v>
      </c>
      <c r="H219" s="309"/>
      <c r="I219" s="309"/>
      <c r="J219" s="309"/>
      <c r="K219" s="309"/>
      <c r="P219" s="12"/>
    </row>
    <row r="220" spans="1:24" ht="18" x14ac:dyDescent="0.3">
      <c r="A220" s="33"/>
      <c r="B220" s="443"/>
      <c r="C220" s="265" t="s">
        <v>373</v>
      </c>
      <c r="D220" s="266">
        <v>1</v>
      </c>
      <c r="E220" s="267">
        <v>1</v>
      </c>
      <c r="F220" s="367">
        <f t="shared" si="44"/>
        <v>334.85723488508688</v>
      </c>
      <c r="G220" s="369">
        <f t="shared" si="45"/>
        <v>334.85723488508688</v>
      </c>
      <c r="H220" s="309"/>
      <c r="I220" s="309"/>
      <c r="J220" s="309"/>
      <c r="K220" s="309"/>
      <c r="P220" s="12"/>
    </row>
    <row r="221" spans="1:24" ht="18" x14ac:dyDescent="0.3">
      <c r="A221" s="33"/>
      <c r="B221" s="254" t="s">
        <v>218</v>
      </c>
      <c r="C221" s="254" t="s">
        <v>383</v>
      </c>
      <c r="D221" s="268">
        <f>D172</f>
        <v>365</v>
      </c>
      <c r="E221" s="269">
        <f>Presentation!D69</f>
        <v>0.6</v>
      </c>
      <c r="F221" s="370">
        <f>F172</f>
        <v>0.8540644321920966</v>
      </c>
      <c r="G221" s="371">
        <f t="shared" si="45"/>
        <v>187.04011065006915</v>
      </c>
      <c r="H221" s="309"/>
      <c r="I221" s="309"/>
      <c r="J221" s="309"/>
      <c r="K221" s="309"/>
      <c r="P221" s="12"/>
    </row>
    <row r="222" spans="1:24" ht="18" x14ac:dyDescent="0.3">
      <c r="A222" s="33"/>
      <c r="B222" s="444" t="s">
        <v>229</v>
      </c>
      <c r="C222" s="270" t="s">
        <v>382</v>
      </c>
      <c r="D222" s="271">
        <f>600*1.8*4</f>
        <v>4320</v>
      </c>
      <c r="E222" s="272">
        <f>Presentation!$D$70</f>
        <v>0</v>
      </c>
      <c r="F222" s="372">
        <f t="shared" ref="F222:F230" si="46">F196</f>
        <v>1.6749085810644385E-2</v>
      </c>
      <c r="G222" s="373">
        <f t="shared" si="45"/>
        <v>0</v>
      </c>
      <c r="H222" s="309"/>
      <c r="I222" s="309"/>
      <c r="J222" s="309"/>
      <c r="K222" s="309"/>
      <c r="P222" s="12"/>
    </row>
    <row r="223" spans="1:24" ht="18" x14ac:dyDescent="0.3">
      <c r="A223" s="33"/>
      <c r="B223" s="445"/>
      <c r="C223" s="270" t="s">
        <v>100</v>
      </c>
      <c r="D223" s="271">
        <f>75*1.8*4</f>
        <v>540</v>
      </c>
      <c r="E223" s="272">
        <f>Presentation!$D$70</f>
        <v>0</v>
      </c>
      <c r="F223" s="372">
        <f t="shared" si="46"/>
        <v>10.300687773546297</v>
      </c>
      <c r="G223" s="373">
        <f t="shared" si="45"/>
        <v>0</v>
      </c>
      <c r="H223" s="309"/>
      <c r="I223" s="309"/>
      <c r="J223" s="309"/>
      <c r="K223" s="309"/>
      <c r="P223" s="12"/>
    </row>
    <row r="224" spans="1:24" ht="18" x14ac:dyDescent="0.3">
      <c r="A224" s="33"/>
      <c r="B224" s="445"/>
      <c r="C224" s="258" t="s">
        <v>363</v>
      </c>
      <c r="D224" s="271">
        <v>1</v>
      </c>
      <c r="E224" s="272">
        <f>Presentation!$D$70</f>
        <v>0</v>
      </c>
      <c r="F224" s="372">
        <f t="shared" si="46"/>
        <v>912.86307053941914</v>
      </c>
      <c r="G224" s="373">
        <f t="shared" si="45"/>
        <v>0</v>
      </c>
      <c r="H224" s="309"/>
      <c r="I224" s="309"/>
      <c r="J224" s="309"/>
      <c r="K224" s="309"/>
      <c r="P224" s="12"/>
    </row>
    <row r="225" spans="1:24" ht="18" x14ac:dyDescent="0.3">
      <c r="A225" s="33"/>
      <c r="B225" s="445"/>
      <c r="C225" s="258" t="s">
        <v>364</v>
      </c>
      <c r="D225" s="271">
        <v>1</v>
      </c>
      <c r="E225" s="272">
        <f>Presentation!$D$70</f>
        <v>0</v>
      </c>
      <c r="F225" s="372">
        <f t="shared" si="46"/>
        <v>175.74224596904071</v>
      </c>
      <c r="G225" s="373">
        <f t="shared" si="45"/>
        <v>0</v>
      </c>
      <c r="H225" s="309"/>
      <c r="I225" s="309"/>
      <c r="J225" s="309"/>
      <c r="K225" s="309"/>
      <c r="P225" s="12"/>
    </row>
    <row r="226" spans="1:24" ht="18" x14ac:dyDescent="0.3">
      <c r="A226" s="33"/>
      <c r="B226" s="445"/>
      <c r="C226" s="258" t="s">
        <v>365</v>
      </c>
      <c r="D226" s="271">
        <v>20</v>
      </c>
      <c r="E226" s="272">
        <f>Presentation!$D$70</f>
        <v>0</v>
      </c>
      <c r="F226" s="372">
        <f t="shared" si="46"/>
        <v>20.241004945148639</v>
      </c>
      <c r="G226" s="373">
        <f t="shared" si="45"/>
        <v>0</v>
      </c>
      <c r="H226" s="309"/>
      <c r="I226" s="309"/>
      <c r="J226" s="309"/>
      <c r="K226" s="309"/>
      <c r="P226" s="12"/>
    </row>
    <row r="227" spans="1:24" ht="18" x14ac:dyDescent="0.3">
      <c r="A227" s="33"/>
      <c r="B227" s="446"/>
      <c r="C227" s="270" t="s">
        <v>103</v>
      </c>
      <c r="D227" s="271">
        <v>4</v>
      </c>
      <c r="E227" s="272">
        <f>Presentation!$D$70</f>
        <v>0</v>
      </c>
      <c r="F227" s="372">
        <f t="shared" si="46"/>
        <v>912.86307053941914</v>
      </c>
      <c r="G227" s="373">
        <f t="shared" si="45"/>
        <v>0</v>
      </c>
      <c r="H227" s="309"/>
      <c r="I227" s="309"/>
      <c r="J227" s="309"/>
      <c r="K227" s="309"/>
      <c r="P227" s="12"/>
    </row>
    <row r="228" spans="1:24" ht="18" x14ac:dyDescent="0.3">
      <c r="A228" s="33"/>
      <c r="B228" s="447" t="s">
        <v>216</v>
      </c>
      <c r="C228" s="262" t="s">
        <v>378</v>
      </c>
      <c r="D228" s="263">
        <v>1</v>
      </c>
      <c r="E228" s="264">
        <f>Presentation!D67</f>
        <v>0</v>
      </c>
      <c r="F228" s="349">
        <f t="shared" si="46"/>
        <v>1047.2744841698402</v>
      </c>
      <c r="G228" s="363">
        <f t="shared" si="45"/>
        <v>0</v>
      </c>
      <c r="H228" s="309"/>
      <c r="I228" s="309"/>
      <c r="J228" s="309"/>
      <c r="K228" s="309"/>
      <c r="P228" s="12"/>
    </row>
    <row r="229" spans="1:24" ht="18" x14ac:dyDescent="0.3">
      <c r="A229" s="33"/>
      <c r="B229" s="448"/>
      <c r="C229" s="262" t="s">
        <v>379</v>
      </c>
      <c r="D229" s="263">
        <v>1</v>
      </c>
      <c r="E229" s="264">
        <f>Presentation!D67</f>
        <v>0</v>
      </c>
      <c r="F229" s="349">
        <f t="shared" si="46"/>
        <v>1668.9289300668827</v>
      </c>
      <c r="G229" s="363">
        <f t="shared" si="45"/>
        <v>0</v>
      </c>
      <c r="H229" s="309"/>
      <c r="I229" s="309"/>
      <c r="J229" s="309"/>
      <c r="K229" s="309"/>
      <c r="P229" s="12"/>
    </row>
    <row r="230" spans="1:24" ht="18" x14ac:dyDescent="0.3">
      <c r="A230" s="33"/>
      <c r="B230" s="262" t="s">
        <v>217</v>
      </c>
      <c r="C230" s="262" t="s">
        <v>474</v>
      </c>
      <c r="D230" s="263">
        <v>25</v>
      </c>
      <c r="E230" s="264">
        <f>Presentation!D68</f>
        <v>0</v>
      </c>
      <c r="F230" s="349">
        <f t="shared" si="46"/>
        <v>235.75497830576558</v>
      </c>
      <c r="G230" s="363">
        <f t="shared" si="45"/>
        <v>0</v>
      </c>
      <c r="H230" s="309"/>
      <c r="I230" s="309"/>
      <c r="J230" s="309"/>
      <c r="K230" s="309"/>
      <c r="P230" s="12"/>
    </row>
    <row r="231" spans="1:24" ht="18" x14ac:dyDescent="0.3">
      <c r="A231" s="33"/>
      <c r="B231" s="449" t="s">
        <v>220</v>
      </c>
      <c r="C231" s="273" t="s">
        <v>470</v>
      </c>
      <c r="D231" s="280">
        <v>0</v>
      </c>
      <c r="E231" s="277">
        <f>Presentation!D71</f>
        <v>0</v>
      </c>
      <c r="F231" s="368">
        <f>$F$108</f>
        <v>6.0978121709662663</v>
      </c>
      <c r="G231" s="359">
        <f t="shared" ref="G231:G232" si="47">F231*D231*E231</f>
        <v>0</v>
      </c>
      <c r="H231" s="309"/>
      <c r="I231" s="337">
        <f>SUM(G231:G233)</f>
        <v>0</v>
      </c>
      <c r="J231" s="309"/>
      <c r="K231" s="309"/>
      <c r="P231" s="12"/>
      <c r="W231" s="40" t="s">
        <v>94</v>
      </c>
    </row>
    <row r="232" spans="1:24" ht="18" x14ac:dyDescent="0.3">
      <c r="A232" s="33"/>
      <c r="B232" s="449"/>
      <c r="C232" s="274" t="s">
        <v>471</v>
      </c>
      <c r="D232" s="252">
        <f>2*70*52</f>
        <v>7280</v>
      </c>
      <c r="E232" s="253">
        <f>E231</f>
        <v>0</v>
      </c>
      <c r="F232" s="357">
        <f>$F$109</f>
        <v>6.4890581481270964</v>
      </c>
      <c r="G232" s="358">
        <f t="shared" si="47"/>
        <v>0</v>
      </c>
      <c r="H232" s="309"/>
      <c r="I232" s="309"/>
      <c r="J232" s="309"/>
      <c r="K232" s="309"/>
      <c r="P232" s="12"/>
      <c r="W232" s="40" t="s">
        <v>95</v>
      </c>
      <c r="X232" s="195">
        <v>123.67</v>
      </c>
    </row>
    <row r="233" spans="1:24" ht="18" x14ac:dyDescent="0.3">
      <c r="A233" s="33"/>
      <c r="B233" s="449"/>
      <c r="C233" s="273" t="s">
        <v>159</v>
      </c>
      <c r="D233" s="276">
        <v>0</v>
      </c>
      <c r="E233" s="277">
        <f>E232</f>
        <v>0</v>
      </c>
      <c r="F233" s="368">
        <f>$F$110</f>
        <v>10.300687773546297</v>
      </c>
      <c r="G233" s="359">
        <f t="shared" ref="G233" si="48">D233*E233*F233</f>
        <v>0</v>
      </c>
      <c r="H233" s="309"/>
      <c r="I233" s="309"/>
      <c r="J233" s="309"/>
      <c r="K233" s="309"/>
      <c r="P233" s="12"/>
      <c r="W233" s="40"/>
      <c r="X233" s="195"/>
    </row>
    <row r="234" spans="1:24" ht="18.600000000000001" thickBot="1" x14ac:dyDescent="0.35">
      <c r="A234" s="33"/>
      <c r="B234" s="281" t="s">
        <v>221</v>
      </c>
      <c r="C234" s="281" t="s">
        <v>475</v>
      </c>
      <c r="D234" s="282">
        <f>200*18</f>
        <v>3600</v>
      </c>
      <c r="E234" s="283">
        <f>Presentation!D72</f>
        <v>0</v>
      </c>
      <c r="F234" s="364">
        <f>cmed!$I$23</f>
        <v>30.460277761988667</v>
      </c>
      <c r="G234" s="365">
        <f t="shared" ref="G234" si="49">F234*D234*E234</f>
        <v>0</v>
      </c>
      <c r="H234" s="309"/>
      <c r="I234" s="309"/>
      <c r="J234" s="309"/>
      <c r="K234" s="309"/>
      <c r="P234" s="12"/>
      <c r="W234" s="40"/>
      <c r="X234" s="195"/>
    </row>
    <row r="235" spans="1:24" ht="18.600000000000001" thickBot="1" x14ac:dyDescent="0.35">
      <c r="A235" s="33"/>
      <c r="F235" s="309"/>
      <c r="G235" s="355">
        <f>SUM(G214:G234)</f>
        <v>766.44789404876951</v>
      </c>
      <c r="H235" s="309"/>
      <c r="I235" s="309"/>
      <c r="J235" s="309"/>
      <c r="K235" s="309"/>
      <c r="P235" s="12"/>
    </row>
    <row r="236" spans="1:24" ht="18" x14ac:dyDescent="0.3">
      <c r="A236" s="33"/>
      <c r="F236" s="309"/>
      <c r="G236" s="309"/>
      <c r="H236" s="309"/>
      <c r="I236" s="309"/>
      <c r="J236" s="309"/>
      <c r="K236" s="309"/>
      <c r="P236" s="12"/>
    </row>
    <row r="237" spans="1:24" ht="18" x14ac:dyDescent="0.3">
      <c r="A237" s="33"/>
      <c r="C237" s="126" t="s">
        <v>482</v>
      </c>
      <c r="D237" s="126" t="s">
        <v>465</v>
      </c>
      <c r="E237" s="126" t="s">
        <v>38</v>
      </c>
      <c r="F237" s="354" t="s">
        <v>454</v>
      </c>
      <c r="G237" s="354" t="s">
        <v>460</v>
      </c>
      <c r="H237" s="309"/>
      <c r="I237" s="309"/>
      <c r="J237" s="309"/>
      <c r="K237" s="309"/>
      <c r="P237" s="12"/>
    </row>
    <row r="238" spans="1:24" ht="18" x14ac:dyDescent="0.3">
      <c r="A238" s="33"/>
      <c r="B238" s="443" t="s">
        <v>466</v>
      </c>
      <c r="C238" s="265" t="s">
        <v>366</v>
      </c>
      <c r="D238" s="266">
        <v>2</v>
      </c>
      <c r="E238" s="267">
        <v>1</v>
      </c>
      <c r="F238" s="367">
        <f t="shared" ref="F238:F254" si="50">F214</f>
        <v>92.201443756039339</v>
      </c>
      <c r="G238" s="369">
        <f>D238*E238*F238</f>
        <v>184.40288751207868</v>
      </c>
      <c r="H238" s="309"/>
      <c r="I238" s="309"/>
      <c r="J238" s="309"/>
      <c r="K238" s="309"/>
      <c r="P238" s="12"/>
    </row>
    <row r="239" spans="1:24" ht="18" x14ac:dyDescent="0.3">
      <c r="A239" s="33"/>
      <c r="B239" s="443"/>
      <c r="C239" s="265" t="s">
        <v>367</v>
      </c>
      <c r="D239" s="266">
        <v>2</v>
      </c>
      <c r="E239" s="267">
        <v>1</v>
      </c>
      <c r="F239" s="367">
        <f t="shared" si="50"/>
        <v>4.0468368100949244</v>
      </c>
      <c r="G239" s="369">
        <f t="shared" ref="G239:G254" si="51">D239*E239*F239</f>
        <v>8.0936736201898487</v>
      </c>
      <c r="H239" s="309"/>
      <c r="I239" s="309"/>
      <c r="J239" s="309"/>
      <c r="K239" s="309"/>
      <c r="P239" s="12"/>
    </row>
    <row r="240" spans="1:24" ht="18" x14ac:dyDescent="0.3">
      <c r="A240" s="33"/>
      <c r="B240" s="443"/>
      <c r="C240" s="265" t="s">
        <v>368</v>
      </c>
      <c r="D240" s="266">
        <v>2</v>
      </c>
      <c r="E240" s="267">
        <v>1</v>
      </c>
      <c r="F240" s="367">
        <f t="shared" si="50"/>
        <v>11.459512306030806</v>
      </c>
      <c r="G240" s="369">
        <f t="shared" si="51"/>
        <v>22.919024612061612</v>
      </c>
      <c r="H240" s="309"/>
      <c r="I240" s="309"/>
      <c r="J240" s="309"/>
      <c r="K240" s="309"/>
      <c r="P240" s="12"/>
    </row>
    <row r="241" spans="1:24" ht="18" x14ac:dyDescent="0.3">
      <c r="A241" s="33"/>
      <c r="B241" s="443"/>
      <c r="C241" s="265" t="s">
        <v>467</v>
      </c>
      <c r="D241" s="266">
        <v>1</v>
      </c>
      <c r="E241" s="267">
        <v>1</v>
      </c>
      <c r="F241" s="367">
        <f t="shared" si="50"/>
        <v>1.8285454442107656</v>
      </c>
      <c r="G241" s="369">
        <f t="shared" si="51"/>
        <v>1.8285454442107656</v>
      </c>
      <c r="H241" s="309"/>
      <c r="I241" s="309"/>
      <c r="J241" s="309"/>
      <c r="K241" s="309"/>
      <c r="P241" s="12"/>
    </row>
    <row r="242" spans="1:24" ht="18" x14ac:dyDescent="0.3">
      <c r="A242" s="33"/>
      <c r="B242" s="443"/>
      <c r="C242" s="265" t="s">
        <v>370</v>
      </c>
      <c r="D242" s="266">
        <v>1</v>
      </c>
      <c r="E242" s="267">
        <v>1</v>
      </c>
      <c r="F242" s="367">
        <f t="shared" si="50"/>
        <v>8.4420849201386901</v>
      </c>
      <c r="G242" s="369">
        <f t="shared" si="51"/>
        <v>8.4420849201386901</v>
      </c>
      <c r="H242" s="309"/>
      <c r="I242" s="309"/>
      <c r="J242" s="309"/>
      <c r="K242" s="309"/>
      <c r="P242" s="12"/>
    </row>
    <row r="243" spans="1:24" ht="18" x14ac:dyDescent="0.3">
      <c r="A243" s="33"/>
      <c r="B243" s="443"/>
      <c r="C243" s="265" t="s">
        <v>372</v>
      </c>
      <c r="D243" s="266">
        <v>1</v>
      </c>
      <c r="E243" s="267">
        <v>1</v>
      </c>
      <c r="F243" s="367">
        <f t="shared" si="50"/>
        <v>18.86433240493378</v>
      </c>
      <c r="G243" s="369">
        <f t="shared" si="51"/>
        <v>18.86433240493378</v>
      </c>
      <c r="H243" s="309"/>
      <c r="I243" s="309"/>
      <c r="J243" s="309"/>
      <c r="K243" s="309"/>
      <c r="P243" s="12"/>
    </row>
    <row r="244" spans="1:24" ht="18" x14ac:dyDescent="0.3">
      <c r="A244" s="33"/>
      <c r="B244" s="443"/>
      <c r="C244" s="265" t="s">
        <v>373</v>
      </c>
      <c r="D244" s="266">
        <v>1</v>
      </c>
      <c r="E244" s="267">
        <v>1</v>
      </c>
      <c r="F244" s="367">
        <f t="shared" si="50"/>
        <v>334.85723488508688</v>
      </c>
      <c r="G244" s="369">
        <f t="shared" si="51"/>
        <v>334.85723488508688</v>
      </c>
      <c r="H244" s="309"/>
      <c r="I244" s="309"/>
      <c r="J244" s="309"/>
      <c r="K244" s="309"/>
      <c r="P244" s="12"/>
    </row>
    <row r="245" spans="1:24" ht="18" x14ac:dyDescent="0.3">
      <c r="A245" s="33"/>
      <c r="B245" s="254" t="s">
        <v>218</v>
      </c>
      <c r="C245" s="254" t="s">
        <v>383</v>
      </c>
      <c r="D245" s="268">
        <f>D221</f>
        <v>365</v>
      </c>
      <c r="E245" s="269">
        <f>Presentation!E69</f>
        <v>0.6</v>
      </c>
      <c r="F245" s="370">
        <f t="shared" si="50"/>
        <v>0.8540644321920966</v>
      </c>
      <c r="G245" s="371">
        <f t="shared" si="51"/>
        <v>187.04011065006915</v>
      </c>
      <c r="H245" s="309"/>
      <c r="I245" s="309"/>
      <c r="J245" s="309"/>
      <c r="K245" s="309"/>
      <c r="P245" s="12"/>
    </row>
    <row r="246" spans="1:24" ht="18" x14ac:dyDescent="0.3">
      <c r="A246" s="33"/>
      <c r="B246" s="444" t="s">
        <v>229</v>
      </c>
      <c r="C246" s="270" t="s">
        <v>382</v>
      </c>
      <c r="D246" s="271">
        <f>600*1.8*4</f>
        <v>4320</v>
      </c>
      <c r="E246" s="272">
        <f>Presentation!$E$70</f>
        <v>0</v>
      </c>
      <c r="F246" s="372">
        <f t="shared" si="50"/>
        <v>1.6749085810644385E-2</v>
      </c>
      <c r="G246" s="373">
        <f t="shared" si="51"/>
        <v>0</v>
      </c>
      <c r="H246" s="309"/>
      <c r="I246" s="309"/>
      <c r="J246" s="309"/>
      <c r="K246" s="309"/>
      <c r="P246" s="12"/>
    </row>
    <row r="247" spans="1:24" ht="18" x14ac:dyDescent="0.3">
      <c r="A247" s="33"/>
      <c r="B247" s="445"/>
      <c r="C247" s="270" t="s">
        <v>100</v>
      </c>
      <c r="D247" s="271">
        <f>75*1.8*4</f>
        <v>540</v>
      </c>
      <c r="E247" s="272">
        <f>Presentation!$E$70</f>
        <v>0</v>
      </c>
      <c r="F247" s="372">
        <f t="shared" si="50"/>
        <v>10.300687773546297</v>
      </c>
      <c r="G247" s="373">
        <f t="shared" si="51"/>
        <v>0</v>
      </c>
      <c r="H247" s="309"/>
      <c r="I247" s="309"/>
      <c r="J247" s="309"/>
      <c r="K247" s="309"/>
      <c r="P247" s="12"/>
    </row>
    <row r="248" spans="1:24" ht="18" x14ac:dyDescent="0.3">
      <c r="A248" s="33"/>
      <c r="B248" s="445"/>
      <c r="C248" s="258" t="s">
        <v>363</v>
      </c>
      <c r="D248" s="271">
        <v>1</v>
      </c>
      <c r="E248" s="272">
        <f>Presentation!$E$70</f>
        <v>0</v>
      </c>
      <c r="F248" s="372">
        <f t="shared" si="50"/>
        <v>912.86307053941914</v>
      </c>
      <c r="G248" s="373">
        <f t="shared" si="51"/>
        <v>0</v>
      </c>
      <c r="H248" s="309"/>
      <c r="I248" s="309"/>
      <c r="J248" s="309"/>
      <c r="K248" s="309"/>
      <c r="P248" s="12"/>
    </row>
    <row r="249" spans="1:24" ht="18" x14ac:dyDescent="0.3">
      <c r="A249" s="33"/>
      <c r="B249" s="445"/>
      <c r="C249" s="258" t="s">
        <v>364</v>
      </c>
      <c r="D249" s="271">
        <v>1</v>
      </c>
      <c r="E249" s="272">
        <f>Presentation!$E$70</f>
        <v>0</v>
      </c>
      <c r="F249" s="372">
        <f t="shared" si="50"/>
        <v>175.74224596904071</v>
      </c>
      <c r="G249" s="373">
        <f t="shared" si="51"/>
        <v>0</v>
      </c>
      <c r="H249" s="309"/>
      <c r="I249" s="309"/>
      <c r="J249" s="309"/>
      <c r="K249" s="309"/>
      <c r="P249" s="12"/>
    </row>
    <row r="250" spans="1:24" ht="18" x14ac:dyDescent="0.3">
      <c r="A250" s="33"/>
      <c r="B250" s="445"/>
      <c r="C250" s="258" t="s">
        <v>365</v>
      </c>
      <c r="D250" s="271">
        <v>20</v>
      </c>
      <c r="E250" s="272">
        <f>Presentation!$E$70</f>
        <v>0</v>
      </c>
      <c r="F250" s="372">
        <f t="shared" si="50"/>
        <v>20.241004945148639</v>
      </c>
      <c r="G250" s="373">
        <f t="shared" si="51"/>
        <v>0</v>
      </c>
      <c r="H250" s="309"/>
      <c r="I250" s="309"/>
      <c r="J250" s="309"/>
      <c r="K250" s="309"/>
      <c r="P250" s="12"/>
    </row>
    <row r="251" spans="1:24" ht="18" x14ac:dyDescent="0.3">
      <c r="A251" s="33"/>
      <c r="B251" s="446"/>
      <c r="C251" s="270" t="s">
        <v>103</v>
      </c>
      <c r="D251" s="271">
        <v>4</v>
      </c>
      <c r="E251" s="272">
        <f>Presentation!$E$70</f>
        <v>0</v>
      </c>
      <c r="F251" s="372">
        <f t="shared" si="50"/>
        <v>912.86307053941914</v>
      </c>
      <c r="G251" s="373">
        <f t="shared" si="51"/>
        <v>0</v>
      </c>
      <c r="H251" s="309"/>
      <c r="I251" s="309"/>
      <c r="J251" s="309"/>
      <c r="K251" s="309"/>
      <c r="P251" s="12"/>
    </row>
    <row r="252" spans="1:24" ht="18" x14ac:dyDescent="0.3">
      <c r="A252" s="33"/>
      <c r="B252" s="447" t="s">
        <v>216</v>
      </c>
      <c r="C252" s="262" t="s">
        <v>378</v>
      </c>
      <c r="D252" s="263">
        <v>1</v>
      </c>
      <c r="E252" s="264">
        <f>Presentation!E67</f>
        <v>0</v>
      </c>
      <c r="F252" s="349">
        <f t="shared" si="50"/>
        <v>1047.2744841698402</v>
      </c>
      <c r="G252" s="363">
        <f t="shared" si="51"/>
        <v>0</v>
      </c>
      <c r="H252" s="309"/>
      <c r="I252" s="309"/>
      <c r="J252" s="309"/>
      <c r="K252" s="309"/>
      <c r="P252" s="12"/>
    </row>
    <row r="253" spans="1:24" ht="18" x14ac:dyDescent="0.3">
      <c r="A253" s="33"/>
      <c r="B253" s="448"/>
      <c r="C253" s="262" t="s">
        <v>379</v>
      </c>
      <c r="D253" s="263">
        <v>1</v>
      </c>
      <c r="E253" s="264">
        <f>Presentation!E67</f>
        <v>0</v>
      </c>
      <c r="F253" s="349">
        <f t="shared" si="50"/>
        <v>1668.9289300668827</v>
      </c>
      <c r="G253" s="363">
        <f t="shared" si="51"/>
        <v>0</v>
      </c>
      <c r="H253" s="309"/>
      <c r="I253" s="309"/>
      <c r="J253" s="309"/>
      <c r="K253" s="309"/>
      <c r="P253" s="12"/>
    </row>
    <row r="254" spans="1:24" ht="18" x14ac:dyDescent="0.3">
      <c r="A254" s="33"/>
      <c r="B254" s="262" t="s">
        <v>217</v>
      </c>
      <c r="C254" s="262" t="s">
        <v>474</v>
      </c>
      <c r="D254" s="263">
        <v>25</v>
      </c>
      <c r="E254" s="264">
        <f>Presentation!E68</f>
        <v>0</v>
      </c>
      <c r="F254" s="349">
        <f t="shared" si="50"/>
        <v>235.75497830576558</v>
      </c>
      <c r="G254" s="363">
        <f t="shared" si="51"/>
        <v>0</v>
      </c>
      <c r="H254" s="309"/>
      <c r="I254" s="309"/>
      <c r="J254" s="309"/>
      <c r="K254" s="309"/>
      <c r="P254" s="12"/>
    </row>
    <row r="255" spans="1:24" ht="18" x14ac:dyDescent="0.3">
      <c r="A255" s="33"/>
      <c r="B255" s="449" t="s">
        <v>220</v>
      </c>
      <c r="C255" s="273" t="s">
        <v>470</v>
      </c>
      <c r="D255" s="280">
        <v>0</v>
      </c>
      <c r="E255" s="277">
        <f>Presentation!E71</f>
        <v>0</v>
      </c>
      <c r="F255" s="368">
        <f>$F$108</f>
        <v>6.0978121709662663</v>
      </c>
      <c r="G255" s="359">
        <f t="shared" ref="G255:G256" si="52">F255*D255*E255</f>
        <v>0</v>
      </c>
      <c r="H255" s="309"/>
      <c r="I255" s="337">
        <f>SUM(G255:G257)</f>
        <v>0</v>
      </c>
      <c r="J255" s="309"/>
      <c r="K255" s="309"/>
      <c r="P255" s="12"/>
      <c r="W255" s="40" t="s">
        <v>94</v>
      </c>
    </row>
    <row r="256" spans="1:24" ht="18" x14ac:dyDescent="0.3">
      <c r="A256" s="33"/>
      <c r="B256" s="449"/>
      <c r="C256" s="274" t="s">
        <v>471</v>
      </c>
      <c r="D256" s="252">
        <f>2*70*52</f>
        <v>7280</v>
      </c>
      <c r="E256" s="253">
        <f>E255</f>
        <v>0</v>
      </c>
      <c r="F256" s="357">
        <f>$F$109</f>
        <v>6.4890581481270964</v>
      </c>
      <c r="G256" s="358">
        <f t="shared" si="52"/>
        <v>0</v>
      </c>
      <c r="H256" s="309"/>
      <c r="I256" s="309"/>
      <c r="J256" s="309"/>
      <c r="K256" s="309"/>
      <c r="P256" s="12"/>
      <c r="W256" s="40" t="s">
        <v>95</v>
      </c>
      <c r="X256" s="195">
        <v>123.67</v>
      </c>
    </row>
    <row r="257" spans="1:24" ht="18" x14ac:dyDescent="0.3">
      <c r="A257" s="33"/>
      <c r="B257" s="449"/>
      <c r="C257" s="273" t="s">
        <v>159</v>
      </c>
      <c r="D257" s="276">
        <v>0</v>
      </c>
      <c r="E257" s="277">
        <f>E256</f>
        <v>0</v>
      </c>
      <c r="F257" s="368">
        <f>$F$110</f>
        <v>10.300687773546297</v>
      </c>
      <c r="G257" s="359">
        <f t="shared" ref="G257" si="53">D257*E257*F257</f>
        <v>0</v>
      </c>
      <c r="H257" s="309"/>
      <c r="I257" s="309"/>
      <c r="J257" s="309"/>
      <c r="K257" s="309"/>
      <c r="P257" s="12"/>
      <c r="W257" s="40"/>
      <c r="X257" s="195"/>
    </row>
    <row r="258" spans="1:24" ht="18.600000000000001" thickBot="1" x14ac:dyDescent="0.35">
      <c r="A258" s="33"/>
      <c r="B258" s="281" t="s">
        <v>221</v>
      </c>
      <c r="C258" s="281" t="s">
        <v>475</v>
      </c>
      <c r="D258" s="282">
        <f>200*18</f>
        <v>3600</v>
      </c>
      <c r="E258" s="283">
        <f>Presentation!E72</f>
        <v>0</v>
      </c>
      <c r="F258" s="364">
        <f>cmed!$I$23</f>
        <v>30.460277761988667</v>
      </c>
      <c r="G258" s="365">
        <f t="shared" ref="G258" si="54">F258*D258*E258</f>
        <v>0</v>
      </c>
      <c r="H258" s="309"/>
      <c r="I258" s="309"/>
      <c r="J258" s="309"/>
      <c r="K258" s="309"/>
      <c r="P258" s="12"/>
      <c r="W258" s="40"/>
      <c r="X258" s="195"/>
    </row>
    <row r="259" spans="1:24" ht="18.600000000000001" thickBot="1" x14ac:dyDescent="0.35">
      <c r="A259" s="33"/>
      <c r="F259" s="309"/>
      <c r="G259" s="355">
        <f>SUM(G238:G258)</f>
        <v>766.44789404876951</v>
      </c>
      <c r="H259" s="309"/>
      <c r="I259" s="309"/>
      <c r="J259" s="309"/>
      <c r="K259" s="309"/>
      <c r="P259" s="12"/>
    </row>
    <row r="260" spans="1:24" ht="18" x14ac:dyDescent="0.3">
      <c r="A260" s="33"/>
      <c r="F260" s="309"/>
      <c r="G260" s="309"/>
      <c r="H260" s="309"/>
      <c r="I260" s="309"/>
      <c r="J260" s="309"/>
      <c r="K260" s="309"/>
      <c r="P260" s="12"/>
    </row>
    <row r="261" spans="1:24" ht="18" x14ac:dyDescent="0.3">
      <c r="A261" s="33"/>
      <c r="C261" s="126" t="s">
        <v>483</v>
      </c>
      <c r="D261" s="126" t="s">
        <v>465</v>
      </c>
      <c r="E261" s="126" t="s">
        <v>38</v>
      </c>
      <c r="F261" s="354" t="s">
        <v>454</v>
      </c>
      <c r="G261" s="354" t="s">
        <v>460</v>
      </c>
      <c r="H261" s="309"/>
      <c r="I261" s="309"/>
      <c r="J261" s="309"/>
      <c r="K261" s="309"/>
      <c r="P261" s="12"/>
    </row>
    <row r="262" spans="1:24" ht="18" x14ac:dyDescent="0.3">
      <c r="A262" s="33"/>
      <c r="B262" s="443" t="s">
        <v>466</v>
      </c>
      <c r="C262" s="265" t="s">
        <v>366</v>
      </c>
      <c r="D262" s="266">
        <v>2</v>
      </c>
      <c r="E262" s="267">
        <v>1</v>
      </c>
      <c r="F262" s="367">
        <f t="shared" ref="F262:F268" si="55">F238</f>
        <v>92.201443756039339</v>
      </c>
      <c r="G262" s="369">
        <f>D262*E262*F262</f>
        <v>184.40288751207868</v>
      </c>
      <c r="H262" s="309"/>
      <c r="I262" s="309"/>
      <c r="J262" s="309"/>
      <c r="K262" s="309"/>
      <c r="P262" s="12"/>
    </row>
    <row r="263" spans="1:24" ht="18" x14ac:dyDescent="0.3">
      <c r="A263" s="33"/>
      <c r="B263" s="443"/>
      <c r="C263" s="265" t="s">
        <v>367</v>
      </c>
      <c r="D263" s="266">
        <v>2</v>
      </c>
      <c r="E263" s="267">
        <v>1</v>
      </c>
      <c r="F263" s="367">
        <f t="shared" si="55"/>
        <v>4.0468368100949244</v>
      </c>
      <c r="G263" s="369">
        <f t="shared" ref="G263:G277" si="56">D263*E263*F263</f>
        <v>8.0936736201898487</v>
      </c>
      <c r="H263" s="309"/>
      <c r="I263" s="309"/>
      <c r="J263" s="309"/>
      <c r="K263" s="309"/>
      <c r="P263" s="12"/>
    </row>
    <row r="264" spans="1:24" ht="18" x14ac:dyDescent="0.3">
      <c r="A264" s="33"/>
      <c r="B264" s="443"/>
      <c r="C264" s="265" t="s">
        <v>368</v>
      </c>
      <c r="D264" s="266">
        <v>2</v>
      </c>
      <c r="E264" s="267">
        <v>1</v>
      </c>
      <c r="F264" s="367">
        <f t="shared" si="55"/>
        <v>11.459512306030806</v>
      </c>
      <c r="G264" s="369">
        <f t="shared" si="56"/>
        <v>22.919024612061612</v>
      </c>
      <c r="H264" s="309"/>
      <c r="I264" s="309"/>
      <c r="J264" s="309"/>
      <c r="K264" s="309"/>
      <c r="P264" s="12"/>
    </row>
    <row r="265" spans="1:24" ht="18" x14ac:dyDescent="0.3">
      <c r="A265" s="33"/>
      <c r="B265" s="443"/>
      <c r="C265" s="265" t="s">
        <v>467</v>
      </c>
      <c r="D265" s="266">
        <v>1</v>
      </c>
      <c r="E265" s="267">
        <v>1</v>
      </c>
      <c r="F265" s="367">
        <f t="shared" si="55"/>
        <v>1.8285454442107656</v>
      </c>
      <c r="G265" s="369">
        <f t="shared" si="56"/>
        <v>1.8285454442107656</v>
      </c>
      <c r="H265" s="309"/>
      <c r="I265" s="309"/>
      <c r="J265" s="309"/>
      <c r="K265" s="309"/>
      <c r="P265" s="12"/>
    </row>
    <row r="266" spans="1:24" ht="18" x14ac:dyDescent="0.3">
      <c r="A266" s="33"/>
      <c r="B266" s="443"/>
      <c r="C266" s="265" t="s">
        <v>370</v>
      </c>
      <c r="D266" s="266">
        <v>1</v>
      </c>
      <c r="E266" s="267">
        <v>1</v>
      </c>
      <c r="F266" s="367">
        <f t="shared" si="55"/>
        <v>8.4420849201386901</v>
      </c>
      <c r="G266" s="369">
        <f t="shared" si="56"/>
        <v>8.4420849201386901</v>
      </c>
      <c r="H266" s="309"/>
      <c r="I266" s="309"/>
      <c r="J266" s="309"/>
      <c r="K266" s="309"/>
      <c r="P266" s="12"/>
    </row>
    <row r="267" spans="1:24" ht="18" x14ac:dyDescent="0.3">
      <c r="A267" s="33"/>
      <c r="B267" s="443"/>
      <c r="C267" s="265" t="s">
        <v>372</v>
      </c>
      <c r="D267" s="266">
        <v>1</v>
      </c>
      <c r="E267" s="267">
        <v>1</v>
      </c>
      <c r="F267" s="367">
        <f t="shared" si="55"/>
        <v>18.86433240493378</v>
      </c>
      <c r="G267" s="369">
        <f t="shared" si="56"/>
        <v>18.86433240493378</v>
      </c>
      <c r="H267" s="309"/>
      <c r="I267" s="309"/>
      <c r="J267" s="309"/>
      <c r="K267" s="309"/>
      <c r="P267" s="12"/>
    </row>
    <row r="268" spans="1:24" ht="18" x14ac:dyDescent="0.3">
      <c r="A268" s="33"/>
      <c r="B268" s="443"/>
      <c r="C268" s="265" t="s">
        <v>373</v>
      </c>
      <c r="D268" s="266">
        <v>1</v>
      </c>
      <c r="E268" s="267">
        <v>1</v>
      </c>
      <c r="F268" s="367">
        <f t="shared" si="55"/>
        <v>334.85723488508688</v>
      </c>
      <c r="G268" s="369">
        <f t="shared" si="56"/>
        <v>334.85723488508688</v>
      </c>
      <c r="H268" s="309"/>
      <c r="I268" s="309"/>
      <c r="J268" s="309"/>
      <c r="K268" s="309"/>
      <c r="P268" s="12"/>
    </row>
    <row r="269" spans="1:24" ht="18" x14ac:dyDescent="0.3">
      <c r="A269" s="33"/>
      <c r="B269" s="444" t="s">
        <v>229</v>
      </c>
      <c r="C269" s="270" t="s">
        <v>382</v>
      </c>
      <c r="D269" s="271">
        <f>600*1.8*4</f>
        <v>4320</v>
      </c>
      <c r="E269" s="272">
        <f>Presentation!$F$70</f>
        <v>0</v>
      </c>
      <c r="F269" s="372">
        <f t="shared" ref="F269:F277" si="57">F246</f>
        <v>1.6749085810644385E-2</v>
      </c>
      <c r="G269" s="373">
        <f t="shared" si="56"/>
        <v>0</v>
      </c>
      <c r="H269" s="309"/>
      <c r="I269" s="309"/>
      <c r="J269" s="309"/>
      <c r="K269" s="309"/>
      <c r="P269" s="12"/>
    </row>
    <row r="270" spans="1:24" ht="18" x14ac:dyDescent="0.3">
      <c r="A270" s="33"/>
      <c r="B270" s="445"/>
      <c r="C270" s="270" t="s">
        <v>100</v>
      </c>
      <c r="D270" s="271">
        <f>75*1.8*4</f>
        <v>540</v>
      </c>
      <c r="E270" s="272">
        <f>Presentation!$F$70</f>
        <v>0</v>
      </c>
      <c r="F270" s="372">
        <f t="shared" si="57"/>
        <v>10.300687773546297</v>
      </c>
      <c r="G270" s="373">
        <f t="shared" si="56"/>
        <v>0</v>
      </c>
      <c r="H270" s="309"/>
      <c r="I270" s="309"/>
      <c r="J270" s="309"/>
      <c r="K270" s="309"/>
      <c r="P270" s="12"/>
    </row>
    <row r="271" spans="1:24" ht="18" x14ac:dyDescent="0.3">
      <c r="A271" s="33"/>
      <c r="B271" s="445"/>
      <c r="C271" s="258" t="s">
        <v>363</v>
      </c>
      <c r="D271" s="271">
        <v>1</v>
      </c>
      <c r="E271" s="272">
        <f>Presentation!$F$70</f>
        <v>0</v>
      </c>
      <c r="F271" s="372">
        <f t="shared" si="57"/>
        <v>912.86307053941914</v>
      </c>
      <c r="G271" s="373">
        <f t="shared" si="56"/>
        <v>0</v>
      </c>
      <c r="H271" s="309"/>
      <c r="I271" s="309"/>
      <c r="J271" s="309"/>
      <c r="K271" s="309"/>
      <c r="P271" s="12"/>
    </row>
    <row r="272" spans="1:24" ht="18" x14ac:dyDescent="0.3">
      <c r="A272" s="33"/>
      <c r="B272" s="445"/>
      <c r="C272" s="258" t="s">
        <v>364</v>
      </c>
      <c r="D272" s="271">
        <v>1</v>
      </c>
      <c r="E272" s="272">
        <f>Presentation!$F$70</f>
        <v>0</v>
      </c>
      <c r="F272" s="372">
        <f t="shared" si="57"/>
        <v>175.74224596904071</v>
      </c>
      <c r="G272" s="373">
        <f t="shared" si="56"/>
        <v>0</v>
      </c>
      <c r="H272" s="309"/>
      <c r="I272" s="309"/>
      <c r="J272" s="309"/>
      <c r="K272" s="309"/>
      <c r="P272" s="12"/>
    </row>
    <row r="273" spans="1:24" ht="18" x14ac:dyDescent="0.3">
      <c r="A273" s="33"/>
      <c r="B273" s="445"/>
      <c r="C273" s="258" t="s">
        <v>365</v>
      </c>
      <c r="D273" s="271">
        <v>20</v>
      </c>
      <c r="E273" s="272">
        <f>Presentation!$F$70</f>
        <v>0</v>
      </c>
      <c r="F273" s="372">
        <f t="shared" si="57"/>
        <v>20.241004945148639</v>
      </c>
      <c r="G273" s="373">
        <f t="shared" si="56"/>
        <v>0</v>
      </c>
      <c r="H273" s="309"/>
      <c r="I273" s="309"/>
      <c r="J273" s="309"/>
      <c r="K273" s="309"/>
      <c r="P273" s="12"/>
    </row>
    <row r="274" spans="1:24" ht="18" x14ac:dyDescent="0.3">
      <c r="A274" s="33"/>
      <c r="B274" s="446"/>
      <c r="C274" s="270" t="s">
        <v>103</v>
      </c>
      <c r="D274" s="271">
        <v>4</v>
      </c>
      <c r="E274" s="272">
        <f>Presentation!$F$70</f>
        <v>0</v>
      </c>
      <c r="F274" s="372">
        <f t="shared" si="57"/>
        <v>912.86307053941914</v>
      </c>
      <c r="G274" s="373">
        <f t="shared" si="56"/>
        <v>0</v>
      </c>
      <c r="H274" s="309"/>
      <c r="I274" s="309"/>
      <c r="J274" s="309"/>
      <c r="K274" s="309"/>
      <c r="P274" s="12"/>
    </row>
    <row r="275" spans="1:24" ht="18" x14ac:dyDescent="0.3">
      <c r="A275" s="33"/>
      <c r="B275" s="447" t="s">
        <v>216</v>
      </c>
      <c r="C275" s="262" t="s">
        <v>378</v>
      </c>
      <c r="D275" s="263">
        <v>1</v>
      </c>
      <c r="E275" s="264">
        <f>Presentation!F67</f>
        <v>0</v>
      </c>
      <c r="F275" s="349">
        <f t="shared" si="57"/>
        <v>1047.2744841698402</v>
      </c>
      <c r="G275" s="363">
        <f t="shared" si="56"/>
        <v>0</v>
      </c>
      <c r="H275" s="309"/>
      <c r="I275" s="309"/>
      <c r="J275" s="309"/>
      <c r="K275" s="309"/>
      <c r="P275" s="12"/>
    </row>
    <row r="276" spans="1:24" ht="18" x14ac:dyDescent="0.3">
      <c r="A276" s="33"/>
      <c r="B276" s="448"/>
      <c r="C276" s="262" t="s">
        <v>379</v>
      </c>
      <c r="D276" s="263">
        <v>1</v>
      </c>
      <c r="E276" s="264">
        <f>Presentation!F67</f>
        <v>0</v>
      </c>
      <c r="F276" s="349">
        <f t="shared" si="57"/>
        <v>1668.9289300668827</v>
      </c>
      <c r="G276" s="363">
        <f t="shared" si="56"/>
        <v>0</v>
      </c>
      <c r="H276" s="309"/>
      <c r="I276" s="309"/>
      <c r="J276" s="309"/>
      <c r="K276" s="309"/>
      <c r="P276" s="12"/>
    </row>
    <row r="277" spans="1:24" ht="18" x14ac:dyDescent="0.3">
      <c r="A277" s="33"/>
      <c r="B277" s="262" t="s">
        <v>217</v>
      </c>
      <c r="C277" s="262" t="s">
        <v>474</v>
      </c>
      <c r="D277" s="263">
        <v>25</v>
      </c>
      <c r="E277" s="264">
        <f>Presentation!F68</f>
        <v>0</v>
      </c>
      <c r="F277" s="349">
        <f t="shared" si="57"/>
        <v>235.75497830576558</v>
      </c>
      <c r="G277" s="363">
        <f t="shared" si="56"/>
        <v>0</v>
      </c>
      <c r="H277" s="309"/>
      <c r="I277" s="309"/>
      <c r="J277" s="309"/>
      <c r="K277" s="309"/>
      <c r="P277" s="12"/>
    </row>
    <row r="278" spans="1:24" ht="18" x14ac:dyDescent="0.3">
      <c r="A278" s="33"/>
      <c r="B278" s="449" t="s">
        <v>220</v>
      </c>
      <c r="C278" s="274" t="s">
        <v>470</v>
      </c>
      <c r="D278" s="252">
        <v>18</v>
      </c>
      <c r="E278" s="253">
        <f>Presentation!F71</f>
        <v>0</v>
      </c>
      <c r="F278" s="357">
        <f>$F$108</f>
        <v>6.0978121709662663</v>
      </c>
      <c r="G278" s="358">
        <f t="shared" ref="G278:G279" si="58">F278*D278*E278</f>
        <v>0</v>
      </c>
      <c r="H278" s="309"/>
      <c r="I278" s="337">
        <f>SUM(G278:G280)</f>
        <v>0</v>
      </c>
      <c r="J278" s="309"/>
      <c r="K278" s="309"/>
      <c r="P278" s="12"/>
      <c r="W278" s="40" t="s">
        <v>94</v>
      </c>
    </row>
    <row r="279" spans="1:24" ht="18" x14ac:dyDescent="0.3">
      <c r="A279" s="33"/>
      <c r="B279" s="449"/>
      <c r="C279" s="274" t="s">
        <v>471</v>
      </c>
      <c r="D279" s="252">
        <f>2*70*52</f>
        <v>7280</v>
      </c>
      <c r="E279" s="253">
        <f>E278</f>
        <v>0</v>
      </c>
      <c r="F279" s="357">
        <f>$F$109</f>
        <v>6.4890581481270964</v>
      </c>
      <c r="G279" s="358">
        <f t="shared" si="58"/>
        <v>0</v>
      </c>
      <c r="H279" s="309"/>
      <c r="I279" s="309"/>
      <c r="J279" s="309"/>
      <c r="K279" s="309"/>
      <c r="P279" s="12"/>
      <c r="W279" s="40" t="s">
        <v>95</v>
      </c>
      <c r="X279" s="195">
        <v>123.67</v>
      </c>
    </row>
    <row r="280" spans="1:24" ht="18" x14ac:dyDescent="0.3">
      <c r="A280" s="33"/>
      <c r="B280" s="449"/>
      <c r="C280" s="273" t="s">
        <v>159</v>
      </c>
      <c r="D280" s="276">
        <v>0</v>
      </c>
      <c r="E280" s="277">
        <f>E279</f>
        <v>0</v>
      </c>
      <c r="F280" s="368">
        <f>$F$110</f>
        <v>10.300687773546297</v>
      </c>
      <c r="G280" s="359">
        <f t="shared" ref="G280" si="59">D280*E280*F280</f>
        <v>0</v>
      </c>
      <c r="H280" s="309"/>
      <c r="I280" s="309"/>
      <c r="J280" s="309"/>
      <c r="K280" s="309"/>
      <c r="P280" s="12"/>
      <c r="W280" s="40"/>
      <c r="X280" s="195"/>
    </row>
    <row r="281" spans="1:24" ht="18" x14ac:dyDescent="0.3">
      <c r="A281" s="33"/>
      <c r="B281" s="451" t="s">
        <v>218</v>
      </c>
      <c r="C281" s="255" t="s">
        <v>384</v>
      </c>
      <c r="D281" s="256">
        <v>12</v>
      </c>
      <c r="E281" s="257">
        <f>Presentation!F69</f>
        <v>0.6</v>
      </c>
      <c r="F281" s="348">
        <f>$F$106</f>
        <v>2766.2233085128555</v>
      </c>
      <c r="G281" s="360">
        <f t="shared" ref="G281:G283" si="60">F281*D281*E281</f>
        <v>19916.807821292557</v>
      </c>
      <c r="H281" s="309" t="s">
        <v>70</v>
      </c>
      <c r="I281" s="337">
        <f>SUM(G281:G282)</f>
        <v>28998.0833285966</v>
      </c>
      <c r="J281" s="309"/>
      <c r="K281" s="309"/>
      <c r="P281" s="12"/>
      <c r="W281" s="40" t="s">
        <v>94</v>
      </c>
    </row>
    <row r="282" spans="1:24" ht="18" x14ac:dyDescent="0.3">
      <c r="A282" s="33"/>
      <c r="B282" s="451"/>
      <c r="C282" s="255" t="s">
        <v>385</v>
      </c>
      <c r="D282" s="256">
        <v>14</v>
      </c>
      <c r="E282" s="257">
        <f>E281</f>
        <v>0.6</v>
      </c>
      <c r="F282" s="348">
        <f>$F$107</f>
        <v>1081.1042270600049</v>
      </c>
      <c r="G282" s="360">
        <f t="shared" si="60"/>
        <v>9081.2755073040407</v>
      </c>
      <c r="H282" s="309" t="s">
        <v>70</v>
      </c>
      <c r="I282" s="309"/>
      <c r="J282" s="309"/>
      <c r="K282" s="309"/>
      <c r="P282" s="12"/>
      <c r="W282" s="40" t="s">
        <v>95</v>
      </c>
      <c r="X282" s="195">
        <v>123.67</v>
      </c>
    </row>
    <row r="283" spans="1:24" ht="18" x14ac:dyDescent="0.3">
      <c r="A283" s="33"/>
      <c r="B283" s="281" t="s">
        <v>221</v>
      </c>
      <c r="C283" s="281" t="s">
        <v>475</v>
      </c>
      <c r="D283" s="282">
        <f>200*18</f>
        <v>3600</v>
      </c>
      <c r="E283" s="283">
        <f>Presentation!F72</f>
        <v>0</v>
      </c>
      <c r="F283" s="364">
        <f>cmed!$I$23</f>
        <v>30.460277761988667</v>
      </c>
      <c r="G283" s="365">
        <f t="shared" si="60"/>
        <v>0</v>
      </c>
      <c r="H283" s="309"/>
      <c r="I283" s="309"/>
      <c r="J283" s="309"/>
      <c r="K283" s="309"/>
      <c r="P283" s="12"/>
      <c r="W283" s="40"/>
      <c r="X283" s="195"/>
    </row>
    <row r="284" spans="1:24" ht="18.600000000000001" thickBot="1" x14ac:dyDescent="0.35">
      <c r="A284" s="33"/>
      <c r="F284" s="309"/>
      <c r="G284" s="366">
        <f>SUM(G262:G283)</f>
        <v>29577.491111995296</v>
      </c>
      <c r="H284" s="309"/>
      <c r="I284" s="309"/>
      <c r="J284" s="309"/>
      <c r="K284" s="309"/>
      <c r="P284" s="12"/>
    </row>
    <row r="285" spans="1:24" ht="18" x14ac:dyDescent="0.3">
      <c r="A285" s="33"/>
      <c r="I285" s="309"/>
      <c r="J285" s="309"/>
      <c r="K285" s="309"/>
      <c r="P285" s="12"/>
    </row>
    <row r="286" spans="1:24" ht="18" x14ac:dyDescent="0.3">
      <c r="A286" s="33"/>
      <c r="P286" s="12"/>
    </row>
    <row r="287" spans="1:24" ht="18" x14ac:dyDescent="0.3">
      <c r="A287" s="33"/>
      <c r="P287" s="12"/>
    </row>
    <row r="288" spans="1:24" ht="18" x14ac:dyDescent="0.3">
      <c r="A288" s="33"/>
      <c r="B288" s="33"/>
      <c r="C288" s="33"/>
      <c r="D288" s="33"/>
      <c r="E288" s="33"/>
      <c r="F288" s="33"/>
      <c r="G288" s="33"/>
      <c r="H288" s="33"/>
      <c r="I288" s="33"/>
      <c r="J288" s="33"/>
      <c r="K288" s="33"/>
      <c r="L288" s="33"/>
      <c r="M288" s="33"/>
      <c r="N288" s="33"/>
      <c r="O288" s="33"/>
      <c r="P288" s="12"/>
    </row>
  </sheetData>
  <protectedRanges>
    <protectedRange sqref="K13:N37" name="Intervalo4"/>
    <protectedRange sqref="J34:J37 L34:L38 J13:N19 M38:O38 M37:N37" name="Intervalo1"/>
    <protectedRange sqref="K34:K38 J20:J33 L20:N33 K20:K32 M34:N36 B38:J38" name="Intervalo1_1"/>
    <protectedRange sqref="J13:J37" name="Intervalo3"/>
  </protectedRanges>
  <mergeCells count="42">
    <mergeCell ref="B278:B280"/>
    <mergeCell ref="B281:B282"/>
    <mergeCell ref="B182:B184"/>
    <mergeCell ref="B255:B257"/>
    <mergeCell ref="B231:B233"/>
    <mergeCell ref="B252:B253"/>
    <mergeCell ref="B262:B268"/>
    <mergeCell ref="B269:B274"/>
    <mergeCell ref="B275:B276"/>
    <mergeCell ref="B222:B227"/>
    <mergeCell ref="B228:B229"/>
    <mergeCell ref="B238:B244"/>
    <mergeCell ref="B246:B251"/>
    <mergeCell ref="B103:B104"/>
    <mergeCell ref="B115:B121"/>
    <mergeCell ref="B214:B220"/>
    <mergeCell ref="B173:B178"/>
    <mergeCell ref="B179:B180"/>
    <mergeCell ref="B189:B195"/>
    <mergeCell ref="B196:B201"/>
    <mergeCell ref="B202:B203"/>
    <mergeCell ref="B108:B110"/>
    <mergeCell ref="B133:B135"/>
    <mergeCell ref="B205:B207"/>
    <mergeCell ref="B208:B209"/>
    <mergeCell ref="B158:B160"/>
    <mergeCell ref="C3:K8"/>
    <mergeCell ref="B141:B147"/>
    <mergeCell ref="B149:B154"/>
    <mergeCell ref="B155:B156"/>
    <mergeCell ref="B165:B171"/>
    <mergeCell ref="B65:B72"/>
    <mergeCell ref="B73:B75"/>
    <mergeCell ref="B78:B81"/>
    <mergeCell ref="B82:B83"/>
    <mergeCell ref="B122:B123"/>
    <mergeCell ref="B125:B130"/>
    <mergeCell ref="B106:B107"/>
    <mergeCell ref="B131:B132"/>
    <mergeCell ref="B76:B77"/>
    <mergeCell ref="B90:B95"/>
    <mergeCell ref="B96:B102"/>
  </mergeCells>
  <phoneticPr fontId="38" type="noConversion"/>
  <pageMargins left="0.511811024" right="0.511811024" top="0.78740157499999996" bottom="0.78740157499999996" header="0.31496062000000002" footer="0.31496062000000002"/>
  <pageSetup paperSize="9" orientation="portrait" horizontalDpi="0" verticalDpi="0" r:id="rId1"/>
  <ignoredErrors>
    <ignoredError sqref="D14:I37" numberStoredAsText="1"/>
    <ignoredError sqref="G184" formula="1"/>
  </ignoredErrors>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16">
    <tabColor theme="0" tint="-0.499984740745262"/>
  </sheetPr>
  <dimension ref="A2:F127"/>
  <sheetViews>
    <sheetView showGridLines="0" topLeftCell="A92" zoomScaleNormal="100" workbookViewId="0">
      <selection activeCell="H85" sqref="H85"/>
    </sheetView>
  </sheetViews>
  <sheetFormatPr defaultRowHeight="14.4" x14ac:dyDescent="0.3"/>
  <cols>
    <col min="2" max="2" width="43.33203125" customWidth="1"/>
    <col min="3" max="3" width="14.33203125" customWidth="1"/>
    <col min="4" max="4" width="17.88671875" customWidth="1"/>
    <col min="5" max="5" width="17.109375" customWidth="1"/>
    <col min="6" max="6" width="15.109375" customWidth="1"/>
    <col min="7" max="7" width="5.88671875" customWidth="1"/>
  </cols>
  <sheetData>
    <row r="2" spans="1:6" ht="15" thickBot="1" x14ac:dyDescent="0.35"/>
    <row r="3" spans="1:6" x14ac:dyDescent="0.3">
      <c r="B3" s="293" t="s">
        <v>495</v>
      </c>
      <c r="C3" s="294" t="s">
        <v>496</v>
      </c>
      <c r="D3" s="295" t="s">
        <v>497</v>
      </c>
    </row>
    <row r="4" spans="1:6" x14ac:dyDescent="0.3">
      <c r="A4">
        <v>1</v>
      </c>
      <c r="B4" s="296" t="str">
        <f>Parameters!C4</f>
        <v>Rate of patients in Supplementary Health</v>
      </c>
      <c r="C4" s="325">
        <v>-183.50495728235745</v>
      </c>
      <c r="D4" s="326">
        <v>-183.50495728235745</v>
      </c>
      <c r="E4" s="297"/>
    </row>
    <row r="5" spans="1:6" x14ac:dyDescent="0.3">
      <c r="A5">
        <v>2</v>
      </c>
      <c r="B5" s="296" t="str">
        <f>Parameters!C5</f>
        <v>Age at model inclusion</v>
      </c>
      <c r="C5" s="325">
        <v>-183.50495728235745</v>
      </c>
      <c r="D5" s="326">
        <v>-183.50495728235745</v>
      </c>
      <c r="E5" s="297"/>
    </row>
    <row r="6" spans="1:6" x14ac:dyDescent="0.3">
      <c r="A6">
        <v>3</v>
      </c>
      <c r="B6" s="296" t="str">
        <f>Parameters!C6</f>
        <v>Screening frequency</v>
      </c>
      <c r="C6" s="325">
        <v>-183.50495728235745</v>
      </c>
      <c r="D6" s="326">
        <v>-183.50495728235745</v>
      </c>
      <c r="E6" s="297"/>
    </row>
    <row r="7" spans="1:6" x14ac:dyDescent="0.3">
      <c r="A7">
        <v>4</v>
      </c>
      <c r="B7" s="296" t="str">
        <f>Parameters!C7</f>
        <v>Discount rate</v>
      </c>
      <c r="C7" s="325">
        <v>-183.50495728235745</v>
      </c>
      <c r="D7" s="326">
        <v>-183.50495728235745</v>
      </c>
      <c r="E7" s="297"/>
      <c r="F7" s="134"/>
    </row>
    <row r="8" spans="1:6" x14ac:dyDescent="0.3">
      <c r="A8">
        <v>5</v>
      </c>
      <c r="B8" s="296" t="str">
        <f>Parameters!C8</f>
        <v>Participation in screening</v>
      </c>
      <c r="C8" s="325">
        <v>-183.50495728235745</v>
      </c>
      <c r="D8" s="326">
        <v>-183.50495728235745</v>
      </c>
      <c r="E8" s="297"/>
      <c r="F8" s="134"/>
    </row>
    <row r="9" spans="1:6" x14ac:dyDescent="0.3">
      <c r="A9">
        <v>6</v>
      </c>
      <c r="B9" s="296" t="str">
        <f>Parameters!C9</f>
        <v>Breast density - rate</v>
      </c>
      <c r="C9" s="325">
        <v>-183.50495728235745</v>
      </c>
      <c r="D9" s="326">
        <v>-183.50495728235745</v>
      </c>
      <c r="E9" s="297"/>
    </row>
    <row r="10" spans="1:6" x14ac:dyDescent="0.3">
      <c r="A10">
        <v>7</v>
      </c>
      <c r="B10" s="296" t="str">
        <f>Parameters!C10</f>
        <v>Cancer detection in biopsy_Mammography</v>
      </c>
      <c r="C10" s="325">
        <v>-26.966694342685724</v>
      </c>
      <c r="D10" s="326">
        <v>-278.51209721061218</v>
      </c>
      <c r="E10" s="297"/>
    </row>
    <row r="11" spans="1:6" x14ac:dyDescent="0.3">
      <c r="A11">
        <v>8</v>
      </c>
      <c r="B11" s="296" t="str">
        <f>Parameters!C11</f>
        <v>Invasive cancer rate_Mammography</v>
      </c>
      <c r="C11" s="325">
        <v>-161.46376134444574</v>
      </c>
      <c r="D11" s="326">
        <v>-205.53646476432559</v>
      </c>
      <c r="E11" s="297"/>
    </row>
    <row r="12" spans="1:6" x14ac:dyDescent="0.3">
      <c r="A12">
        <v>9</v>
      </c>
      <c r="B12" s="296" t="str">
        <f>Parameters!C12</f>
        <v>Biopsy rate_Mammography</v>
      </c>
      <c r="C12" s="325">
        <v>-101.65542001075352</v>
      </c>
      <c r="D12" s="326">
        <v>-303.94931782152844</v>
      </c>
      <c r="E12" s="297"/>
    </row>
    <row r="13" spans="1:6" x14ac:dyDescent="0.3">
      <c r="A13">
        <v>10</v>
      </c>
      <c r="B13" s="296" t="str">
        <f>Parameters!C13</f>
        <v>Recall rate_Mammography</v>
      </c>
      <c r="C13" s="325">
        <v>-133.55482128617396</v>
      </c>
      <c r="D13" s="326">
        <v>-222.53598624021285</v>
      </c>
      <c r="E13" s="297"/>
    </row>
    <row r="14" spans="1:6" x14ac:dyDescent="0.3">
      <c r="A14">
        <v>11</v>
      </c>
      <c r="B14" s="296" t="str">
        <f>Parameters!C14</f>
        <v xml:space="preserve">Interval Cancer Mammography </v>
      </c>
      <c r="C14" s="325">
        <v>-167.09698326322001</v>
      </c>
      <c r="D14" s="326">
        <v>-199.90906089097783</v>
      </c>
      <c r="E14" s="297"/>
    </row>
    <row r="15" spans="1:6" x14ac:dyDescent="0.3">
      <c r="A15">
        <v>12</v>
      </c>
      <c r="B15" s="296" t="str">
        <f>Parameters!C15</f>
        <v>Cancer detection in biopsy_DBT+s2D</v>
      </c>
      <c r="C15" s="325">
        <v>-290.09383053176037</v>
      </c>
      <c r="D15" s="326">
        <v>-134.12759048480362</v>
      </c>
      <c r="E15" s="297"/>
    </row>
    <row r="16" spans="1:6" x14ac:dyDescent="0.3">
      <c r="A16">
        <v>13</v>
      </c>
      <c r="B16" s="296" t="str">
        <f>Parameters!C16</f>
        <v>Invasive cancer rate_DBT+s2D</v>
      </c>
      <c r="C16" s="325">
        <v>-196.99989206479157</v>
      </c>
      <c r="D16" s="326">
        <v>-170.00748751362275</v>
      </c>
      <c r="E16" s="297"/>
    </row>
    <row r="17" spans="1:5" x14ac:dyDescent="0.3">
      <c r="A17">
        <v>14</v>
      </c>
      <c r="B17" s="296" t="str">
        <f>Parameters!C17</f>
        <v>Biopsy rate_DBT+s2D</v>
      </c>
      <c r="C17" s="327">
        <v>-247.59873861887272</v>
      </c>
      <c r="D17" s="328">
        <v>-114.6171760901404</v>
      </c>
      <c r="E17" s="297"/>
    </row>
    <row r="18" spans="1:5" x14ac:dyDescent="0.3">
      <c r="A18">
        <v>15</v>
      </c>
      <c r="B18" s="296" t="str">
        <f>Parameters!C18</f>
        <v>Recall rate_DBT+s2D</v>
      </c>
      <c r="C18" s="325">
        <v>-213.11068378050859</v>
      </c>
      <c r="D18" s="326">
        <v>-169.74305588571681</v>
      </c>
      <c r="E18" s="297"/>
    </row>
    <row r="19" spans="1:5" x14ac:dyDescent="0.3">
      <c r="A19">
        <v>16</v>
      </c>
      <c r="B19" s="296" t="str">
        <f>Parameters!C19</f>
        <v>Interval cancer DBT+s2D</v>
      </c>
      <c r="C19" s="325">
        <v>-195.07932249856987</v>
      </c>
      <c r="D19" s="326">
        <v>-171.9286617947771</v>
      </c>
      <c r="E19" s="297"/>
    </row>
    <row r="20" spans="1:5" x14ac:dyDescent="0.3">
      <c r="A20">
        <v>17</v>
      </c>
      <c r="B20" s="296" t="str">
        <f>Parameters!C20</f>
        <v>Cancer detection in biopsy_Ultrasound</v>
      </c>
      <c r="C20" s="325">
        <v>-173.93651246856086</v>
      </c>
      <c r="D20" s="326">
        <v>-193.07082386515225</v>
      </c>
      <c r="E20" s="297"/>
    </row>
    <row r="21" spans="1:5" x14ac:dyDescent="0.3">
      <c r="A21">
        <v>18</v>
      </c>
      <c r="B21" s="296" t="str">
        <f>Parameters!C21</f>
        <v>Invasive cancer rate_Ultrasound</v>
      </c>
      <c r="C21" s="325">
        <v>-174.05741268258234</v>
      </c>
      <c r="D21" s="326">
        <v>-192.95034620369816</v>
      </c>
      <c r="E21" s="297"/>
    </row>
    <row r="22" spans="1:5" x14ac:dyDescent="0.3">
      <c r="A22">
        <v>19</v>
      </c>
      <c r="B22" s="296" t="str">
        <f>Parameters!C22</f>
        <v>Biopsy rate_Ultrasound Mammog</v>
      </c>
      <c r="C22" s="325">
        <v>-166.57964953738224</v>
      </c>
      <c r="D22" s="326">
        <v>-200.42060315472176</v>
      </c>
      <c r="E22" s="297"/>
    </row>
    <row r="23" spans="1:5" x14ac:dyDescent="0.3">
      <c r="A23">
        <v>20</v>
      </c>
      <c r="B23" s="296" t="str">
        <f>Parameters!C23</f>
        <v>Biopsy rate_Ultrasound Tomosy</v>
      </c>
      <c r="C23" s="325">
        <v>-190.82950762895365</v>
      </c>
      <c r="D23" s="326">
        <v>-176.17818870072779</v>
      </c>
      <c r="E23" s="297"/>
    </row>
    <row r="24" spans="1:5" x14ac:dyDescent="0.3">
      <c r="A24">
        <v>21</v>
      </c>
      <c r="B24" s="296" t="str">
        <f>Parameters!C24</f>
        <v>TNM I Mammog (ECR ToBe)</v>
      </c>
      <c r="C24" s="325">
        <v>-181.11202995804229</v>
      </c>
      <c r="D24" s="326">
        <v>-185.90346192872886</v>
      </c>
      <c r="E24" s="297"/>
    </row>
    <row r="25" spans="1:5" x14ac:dyDescent="0.3">
      <c r="A25">
        <v>22</v>
      </c>
      <c r="B25" s="296" t="str">
        <f>Parameters!C25</f>
        <v>TNM II Mammog (ECR ToBe)</v>
      </c>
      <c r="C25" s="325">
        <v>-164.16812392893721</v>
      </c>
      <c r="D25" s="326">
        <v>-202.85863655394206</v>
      </c>
      <c r="E25" s="297"/>
    </row>
    <row r="26" spans="1:5" x14ac:dyDescent="0.3">
      <c r="A26">
        <v>23</v>
      </c>
      <c r="B26" s="296" t="str">
        <f>Parameters!C26</f>
        <v>TNM III Mammog (ECR ToBe)</v>
      </c>
      <c r="C26" s="325">
        <v>-165.35532725599327</v>
      </c>
      <c r="D26" s="326">
        <v>-201.66434991686319</v>
      </c>
      <c r="E26" s="297"/>
    </row>
    <row r="27" spans="1:5" x14ac:dyDescent="0.3">
      <c r="A27">
        <v>24</v>
      </c>
      <c r="B27" s="296" t="str">
        <f>Parameters!C27</f>
        <v>TNM I Tomosy (ECR ToBe)</v>
      </c>
      <c r="C27" s="325">
        <v>-187.45758177124682</v>
      </c>
      <c r="D27" s="326">
        <v>-179.56745662553544</v>
      </c>
      <c r="E27" s="297"/>
    </row>
    <row r="28" spans="1:5" x14ac:dyDescent="0.3">
      <c r="A28">
        <v>25</v>
      </c>
      <c r="B28" s="296" t="str">
        <f>Parameters!C28</f>
        <v>TNM II Tomosy (ECR ToBe)</v>
      </c>
      <c r="C28" s="325">
        <v>-194.12617998976631</v>
      </c>
      <c r="D28" s="326">
        <v>-172.88881017316049</v>
      </c>
      <c r="E28" s="297"/>
    </row>
    <row r="29" spans="1:5" x14ac:dyDescent="0.3">
      <c r="A29">
        <v>26</v>
      </c>
      <c r="B29" s="296" t="str">
        <f>Parameters!C29</f>
        <v>TNM III Tomosy (ECR ToBe)</v>
      </c>
      <c r="C29" s="325">
        <v>-190.97959543819277</v>
      </c>
      <c r="D29" s="326">
        <v>-176.03197368059477</v>
      </c>
      <c r="E29" s="297"/>
    </row>
    <row r="30" spans="1:5" x14ac:dyDescent="0.3">
      <c r="A30">
        <v>27</v>
      </c>
      <c r="B30" s="296" t="str">
        <f>Parameters!C30</f>
        <v xml:space="preserve">10-year survival prob, interval cancer </v>
      </c>
      <c r="C30" s="325">
        <v>-183.12762061976832</v>
      </c>
      <c r="D30" s="326">
        <v>-183.8875900205731</v>
      </c>
      <c r="E30" s="297"/>
    </row>
    <row r="31" spans="1:5" x14ac:dyDescent="0.3">
      <c r="A31">
        <v>28</v>
      </c>
      <c r="B31" s="296" t="str">
        <f>Parameters!C31</f>
        <v>10-years Survival prob, DCIS</v>
      </c>
      <c r="C31" s="325">
        <v>-183.50318372637207</v>
      </c>
      <c r="D31" s="326">
        <v>-183.50675241992445</v>
      </c>
      <c r="E31" s="297"/>
    </row>
    <row r="32" spans="1:5" x14ac:dyDescent="0.3">
      <c r="A32">
        <v>29</v>
      </c>
      <c r="B32" s="296" t="str">
        <f>Parameters!C32</f>
        <v>5-years Survival Prob, TNM 1</v>
      </c>
      <c r="C32" s="325">
        <v>-185.10335938696824</v>
      </c>
      <c r="D32" s="326">
        <v>-181.25629925546426</v>
      </c>
      <c r="E32" s="297"/>
    </row>
    <row r="33" spans="1:5" x14ac:dyDescent="0.3">
      <c r="A33">
        <v>30</v>
      </c>
      <c r="B33" s="296" t="str">
        <f>Parameters!C33</f>
        <v>5-years Survival Prob, TNM 2</v>
      </c>
      <c r="C33" s="325">
        <v>-176.27867735982039</v>
      </c>
      <c r="D33" s="326">
        <v>-192.36518172262097</v>
      </c>
      <c r="E33" s="297"/>
    </row>
    <row r="34" spans="1:5" x14ac:dyDescent="0.3">
      <c r="A34">
        <v>31</v>
      </c>
      <c r="B34" s="296" t="str">
        <f>Parameters!C34</f>
        <v>5-years Survival Prob, TNM 3</v>
      </c>
      <c r="C34" s="325">
        <v>-175.53687532628976</v>
      </c>
      <c r="D34" s="326">
        <v>-193.07243119685907</v>
      </c>
      <c r="E34" s="297"/>
    </row>
    <row r="35" spans="1:5" x14ac:dyDescent="0.3">
      <c r="A35">
        <v>32</v>
      </c>
      <c r="B35" s="296" t="str">
        <f>Parameters!C35</f>
        <v>5-years Survival Prob, TNM 4</v>
      </c>
      <c r="C35" s="325">
        <v>-185.71592255529666</v>
      </c>
      <c r="D35" s="326">
        <v>-181.24769674229469</v>
      </c>
      <c r="E35" s="297"/>
    </row>
    <row r="36" spans="1:5" x14ac:dyDescent="0.3">
      <c r="A36">
        <v>33</v>
      </c>
      <c r="B36" s="296" t="str">
        <f>Parameters!C36</f>
        <v>Local recurrence to Distant recurrence Prob TNM1</v>
      </c>
      <c r="C36" s="325">
        <v>-183.51499306865728</v>
      </c>
      <c r="D36" s="326">
        <v>-183.49492197143394</v>
      </c>
      <c r="E36" s="297"/>
    </row>
    <row r="37" spans="1:5" x14ac:dyDescent="0.3">
      <c r="A37">
        <v>34</v>
      </c>
      <c r="B37" s="296" t="str">
        <f>Parameters!C37</f>
        <v>Local recurrence to Distant recurrence Prob TNM2</v>
      </c>
      <c r="C37" s="325">
        <v>-180.05378693698279</v>
      </c>
      <c r="D37" s="326">
        <v>-186.54060552196276</v>
      </c>
      <c r="E37" s="297"/>
    </row>
    <row r="38" spans="1:5" x14ac:dyDescent="0.3">
      <c r="A38">
        <v>35</v>
      </c>
      <c r="B38" s="296" t="str">
        <f>Parameters!C38</f>
        <v>Local recurrence to Distant recurrence Prob TNM3</v>
      </c>
      <c r="C38" s="325">
        <v>-182.61101281273596</v>
      </c>
      <c r="D38" s="326">
        <v>-184.28456129055118</v>
      </c>
      <c r="E38" s="297"/>
    </row>
    <row r="39" spans="1:5" x14ac:dyDescent="0.3">
      <c r="A39">
        <v>36</v>
      </c>
      <c r="B39" s="296" t="str">
        <f>Parameters!C39</f>
        <v>Tomosynthesis Cost</v>
      </c>
      <c r="C39" s="325">
        <v>-189.9458751988783</v>
      </c>
      <c r="D39" s="326">
        <v>-177.06403936583649</v>
      </c>
      <c r="E39" s="297"/>
    </row>
    <row r="40" spans="1:5" x14ac:dyDescent="0.3">
      <c r="A40">
        <v>37</v>
      </c>
      <c r="B40" s="296" t="str">
        <f>Parameters!C40</f>
        <v>Mammography Cost</v>
      </c>
      <c r="C40" s="325">
        <v>-181.55649964520035</v>
      </c>
      <c r="D40" s="326">
        <v>-185.45341491951453</v>
      </c>
      <c r="E40" s="297"/>
    </row>
    <row r="41" spans="1:5" x14ac:dyDescent="0.3">
      <c r="A41">
        <v>38</v>
      </c>
      <c r="B41" s="296" t="str">
        <f>Parameters!C41</f>
        <v>Recall cost</v>
      </c>
      <c r="C41" s="325">
        <v>-183.49637735464316</v>
      </c>
      <c r="D41" s="326">
        <v>-183.51353721007163</v>
      </c>
      <c r="E41" s="297"/>
    </row>
    <row r="42" spans="1:5" x14ac:dyDescent="0.3">
      <c r="A42">
        <v>39</v>
      </c>
      <c r="B42" s="296" t="str">
        <f>Parameters!C42</f>
        <v>Biopsy and histopathology cost</v>
      </c>
      <c r="C42" s="325">
        <v>-183.4736617240647</v>
      </c>
      <c r="D42" s="326">
        <v>-183.53625284065009</v>
      </c>
      <c r="E42" s="297"/>
    </row>
    <row r="43" spans="1:5" x14ac:dyDescent="0.3">
      <c r="A43">
        <v>40</v>
      </c>
      <c r="B43" s="296" t="str">
        <f>Parameters!C43</f>
        <v>DCIS treatment cost year 1</v>
      </c>
      <c r="C43" s="325">
        <v>-183.48240074358492</v>
      </c>
      <c r="D43" s="326">
        <v>-183.52751382112987</v>
      </c>
      <c r="E43" s="297"/>
    </row>
    <row r="44" spans="1:5" x14ac:dyDescent="0.3">
      <c r="A44">
        <v>41</v>
      </c>
      <c r="B44" s="296" t="str">
        <f>Parameters!C44</f>
        <v>DCIS treatment cost following years</v>
      </c>
      <c r="C44" s="325">
        <v>-183.49251070216079</v>
      </c>
      <c r="D44" s="326">
        <v>-183.51740386255409</v>
      </c>
      <c r="E44" s="297"/>
    </row>
    <row r="45" spans="1:5" x14ac:dyDescent="0.3">
      <c r="A45">
        <v>42</v>
      </c>
      <c r="B45" s="296" t="str">
        <f>Parameters!C45</f>
        <v>TNM 1 treatment cost (1 year)</v>
      </c>
      <c r="C45" s="325">
        <v>-184.2364670332943</v>
      </c>
      <c r="D45" s="326">
        <v>-182.77344753142049</v>
      </c>
    </row>
    <row r="46" spans="1:5" x14ac:dyDescent="0.3">
      <c r="A46">
        <v>43</v>
      </c>
      <c r="B46" s="296" t="str">
        <f>Parameters!C46</f>
        <v>TNM 2 treatment cost (1 year)</v>
      </c>
      <c r="C46" s="325">
        <v>-182.67395565285307</v>
      </c>
      <c r="D46" s="326">
        <v>-184.33595891186172</v>
      </c>
    </row>
    <row r="47" spans="1:5" x14ac:dyDescent="0.3">
      <c r="A47">
        <v>44</v>
      </c>
      <c r="B47" s="296" t="str">
        <f>Parameters!C47</f>
        <v>TNM 3 treatment cost (1 year)</v>
      </c>
      <c r="C47" s="325">
        <v>-182.11699321945994</v>
      </c>
      <c r="D47" s="326">
        <v>-184.89292134525493</v>
      </c>
    </row>
    <row r="48" spans="1:5" x14ac:dyDescent="0.3">
      <c r="A48">
        <v>45</v>
      </c>
      <c r="B48" s="296" t="str">
        <f>Parameters!C48</f>
        <v>TNM 1 treatment cost subsequent years</v>
      </c>
      <c r="C48" s="325">
        <v>-184.17438673867443</v>
      </c>
      <c r="D48" s="326">
        <v>-182.83552782604036</v>
      </c>
    </row>
    <row r="49" spans="1:4" x14ac:dyDescent="0.3">
      <c r="A49">
        <v>46</v>
      </c>
      <c r="B49" s="296" t="str">
        <f>Parameters!C49</f>
        <v>TNM 2 treatment cost subsequent years</v>
      </c>
      <c r="C49" s="325">
        <v>-183.40698236038534</v>
      </c>
      <c r="D49" s="326">
        <v>-183.60293220432942</v>
      </c>
    </row>
    <row r="50" spans="1:4" x14ac:dyDescent="0.3">
      <c r="A50">
        <v>47</v>
      </c>
      <c r="B50" s="296" t="str">
        <f>Parameters!C50</f>
        <v>TNM 3 treatment cost subsequent years</v>
      </c>
      <c r="C50" s="327">
        <v>-180.51044152653344</v>
      </c>
      <c r="D50" s="328">
        <v>-186.49947303818143</v>
      </c>
    </row>
    <row r="51" spans="1:4" x14ac:dyDescent="0.3">
      <c r="A51">
        <v>48</v>
      </c>
      <c r="B51" s="296" t="str">
        <f>Parameters!C51</f>
        <v>Interv cancer treatment cost subsequent years</v>
      </c>
      <c r="C51" s="327">
        <v>-179.35011129388417</v>
      </c>
      <c r="D51" s="328">
        <v>-187.65980327083062</v>
      </c>
    </row>
    <row r="52" spans="1:4" x14ac:dyDescent="0.3">
      <c r="A52">
        <v>49</v>
      </c>
      <c r="B52" s="296" t="str">
        <f>Parameters!C52</f>
        <v>Interv cancer treatment cost first year</v>
      </c>
      <c r="C52" s="327">
        <v>-182.82272826215055</v>
      </c>
      <c r="D52" s="328">
        <v>-184.18718630256433</v>
      </c>
    </row>
    <row r="53" spans="1:4" x14ac:dyDescent="0.3">
      <c r="A53">
        <v>50</v>
      </c>
      <c r="B53" s="296" t="str">
        <f>Parameters!C53</f>
        <v xml:space="preserve">Metastatic disease treatment cost </v>
      </c>
      <c r="C53" s="327">
        <v>-169.48447205135798</v>
      </c>
      <c r="D53" s="328">
        <v>-197.52544251335664</v>
      </c>
    </row>
    <row r="54" spans="1:4" x14ac:dyDescent="0.3">
      <c r="A54">
        <v>51</v>
      </c>
      <c r="B54" s="296" t="str">
        <f>Parameters!C54</f>
        <v>Utility in the 1st cycle - True negative</v>
      </c>
      <c r="C54" s="327">
        <v>-183.5307289274337</v>
      </c>
      <c r="D54" s="328">
        <v>-183.47919287404682</v>
      </c>
    </row>
    <row r="55" spans="1:4" x14ac:dyDescent="0.3">
      <c r="A55">
        <v>52</v>
      </c>
      <c r="B55" s="296" t="str">
        <f>Parameters!C55</f>
        <v>Utility in the 1st cycle - False positive</v>
      </c>
      <c r="C55" s="327">
        <v>-183.4869256876936</v>
      </c>
      <c r="D55" s="328">
        <v>-183.52299242136488</v>
      </c>
    </row>
    <row r="56" spans="1:4" x14ac:dyDescent="0.3">
      <c r="A56">
        <v>53</v>
      </c>
      <c r="B56" s="296" t="str">
        <f>Parameters!C56</f>
        <v>Utility in the 1st cycle - True positive</v>
      </c>
      <c r="C56" s="327">
        <v>-183.50495728235745</v>
      </c>
      <c r="D56" s="328">
        <v>-183.50495728235745</v>
      </c>
    </row>
    <row r="57" spans="1:4" x14ac:dyDescent="0.3">
      <c r="A57">
        <v>54</v>
      </c>
      <c r="B57" s="296" t="str">
        <f>Parameters!C57</f>
        <v>Utility in the 1st cycle - False negative</v>
      </c>
      <c r="C57" s="327">
        <v>-183.50495728235745</v>
      </c>
      <c r="D57" s="328">
        <v>-183.50495728235745</v>
      </c>
    </row>
    <row r="58" spans="1:4" x14ac:dyDescent="0.3">
      <c r="A58">
        <v>55</v>
      </c>
      <c r="B58" s="296" t="str">
        <f>Parameters!C58</f>
        <v>Utility with no breast cancer</v>
      </c>
      <c r="C58" s="327">
        <v>-183.51143198328413</v>
      </c>
      <c r="D58" s="328">
        <v>-183.49848303829913</v>
      </c>
    </row>
    <row r="59" spans="1:4" x14ac:dyDescent="0.3">
      <c r="A59">
        <v>56</v>
      </c>
      <c r="B59" s="296" t="str">
        <f>Parameters!C59</f>
        <v xml:space="preserve">Utility DCIS breast cancer </v>
      </c>
      <c r="C59" s="327">
        <v>-183.49476267096301</v>
      </c>
      <c r="D59" s="328">
        <v>-183.51515302660042</v>
      </c>
    </row>
    <row r="60" spans="1:4" x14ac:dyDescent="0.3">
      <c r="A60">
        <v>57</v>
      </c>
      <c r="B60" s="296" t="str">
        <f>Parameters!C60</f>
        <v xml:space="preserve">Utility TNM1 breast cancer </v>
      </c>
      <c r="C60" s="327">
        <v>-183.64318321230618</v>
      </c>
      <c r="D60" s="328">
        <v>-183.36693927776741</v>
      </c>
    </row>
    <row r="61" spans="1:4" x14ac:dyDescent="0.3">
      <c r="A61">
        <v>58</v>
      </c>
      <c r="B61" s="296" t="str">
        <f>Parameters!C61</f>
        <v xml:space="preserve">Utility TNM2 breast cancer </v>
      </c>
      <c r="C61" s="327">
        <v>-183.48248675277506</v>
      </c>
      <c r="D61" s="328">
        <v>-183.52743331640556</v>
      </c>
    </row>
    <row r="62" spans="1:4" x14ac:dyDescent="0.3">
      <c r="A62">
        <v>59</v>
      </c>
      <c r="B62" s="296" t="str">
        <f>Parameters!C62</f>
        <v xml:space="preserve">Utility TNM3 breast cancer </v>
      </c>
      <c r="C62" s="327">
        <v>-183.48689091455751</v>
      </c>
      <c r="D62" s="328">
        <v>-183.52302720818582</v>
      </c>
    </row>
    <row r="63" spans="1:4" x14ac:dyDescent="0.3">
      <c r="A63">
        <v>60</v>
      </c>
      <c r="B63" s="296" t="str">
        <f>Parameters!C63</f>
        <v xml:space="preserve">Utility TNM4 breast cancer </v>
      </c>
      <c r="C63" s="327">
        <v>-203.79640352168715</v>
      </c>
      <c r="D63" s="328">
        <v>-166.88834473814072</v>
      </c>
    </row>
    <row r="64" spans="1:4" ht="15" thickBot="1" x14ac:dyDescent="0.35">
      <c r="A64">
        <v>61</v>
      </c>
      <c r="B64" s="298" t="str">
        <f>Parameters!C64</f>
        <v>Utility interval cancer</v>
      </c>
      <c r="C64" s="329">
        <v>-183.48277841623749</v>
      </c>
      <c r="D64" s="330">
        <v>-183.52714151095952</v>
      </c>
    </row>
    <row r="65" spans="1:5" ht="15" thickBot="1" x14ac:dyDescent="0.35"/>
    <row r="66" spans="1:5" x14ac:dyDescent="0.3">
      <c r="B66" s="299" t="s">
        <v>511</v>
      </c>
      <c r="C66" s="294" t="s">
        <v>496</v>
      </c>
      <c r="D66" s="294" t="s">
        <v>497</v>
      </c>
      <c r="E66" s="300" t="s">
        <v>169</v>
      </c>
    </row>
    <row r="67" spans="1:5" x14ac:dyDescent="0.3">
      <c r="A67">
        <v>1</v>
      </c>
      <c r="B67" s="301" t="s">
        <v>271</v>
      </c>
      <c r="C67" s="331">
        <v>-183.50495728235745</v>
      </c>
      <c r="D67" s="331">
        <v>-183.50495728235745</v>
      </c>
      <c r="E67" s="334">
        <f t="shared" ref="E67:E98" si="0">IF(C67="","",ABS(D67-C67))</f>
        <v>0</v>
      </c>
    </row>
    <row r="68" spans="1:5" x14ac:dyDescent="0.3">
      <c r="A68">
        <v>2</v>
      </c>
      <c r="B68" s="301" t="s">
        <v>205</v>
      </c>
      <c r="C68" s="331">
        <v>-183.50495728235745</v>
      </c>
      <c r="D68" s="331">
        <v>-183.50495728235745</v>
      </c>
      <c r="E68" s="334">
        <f t="shared" si="0"/>
        <v>0</v>
      </c>
    </row>
    <row r="69" spans="1:5" x14ac:dyDescent="0.3">
      <c r="A69">
        <v>3</v>
      </c>
      <c r="B69" s="301" t="s">
        <v>272</v>
      </c>
      <c r="C69" s="331">
        <v>-183.50495728235745</v>
      </c>
      <c r="D69" s="331">
        <v>-183.50495728235745</v>
      </c>
      <c r="E69" s="334">
        <f t="shared" si="0"/>
        <v>0</v>
      </c>
    </row>
    <row r="70" spans="1:5" x14ac:dyDescent="0.3">
      <c r="A70">
        <v>4</v>
      </c>
      <c r="B70" s="301" t="s">
        <v>178</v>
      </c>
      <c r="C70" s="331">
        <v>-183.50495728235745</v>
      </c>
      <c r="D70" s="331">
        <v>-183.50495728235745</v>
      </c>
      <c r="E70" s="334">
        <f t="shared" si="0"/>
        <v>0</v>
      </c>
    </row>
    <row r="71" spans="1:5" x14ac:dyDescent="0.3">
      <c r="A71">
        <v>5</v>
      </c>
      <c r="B71" s="296" t="s">
        <v>253</v>
      </c>
      <c r="C71" s="331">
        <v>-183.50495728235745</v>
      </c>
      <c r="D71" s="331">
        <v>-183.50495728235745</v>
      </c>
      <c r="E71" s="334">
        <f t="shared" si="0"/>
        <v>0</v>
      </c>
    </row>
    <row r="72" spans="1:5" x14ac:dyDescent="0.3">
      <c r="A72">
        <v>6</v>
      </c>
      <c r="B72" s="301" t="s">
        <v>273</v>
      </c>
      <c r="C72" s="331">
        <v>-183.50495728235745</v>
      </c>
      <c r="D72" s="331">
        <v>-183.50495728235745</v>
      </c>
      <c r="E72" s="334">
        <f t="shared" si="0"/>
        <v>0</v>
      </c>
    </row>
    <row r="73" spans="1:5" x14ac:dyDescent="0.3">
      <c r="A73">
        <v>7</v>
      </c>
      <c r="B73" s="301" t="s">
        <v>500</v>
      </c>
      <c r="C73" s="332">
        <v>-183.50495728235745</v>
      </c>
      <c r="D73" s="332">
        <v>-183.50495728235745</v>
      </c>
      <c r="E73" s="334">
        <f t="shared" si="0"/>
        <v>0</v>
      </c>
    </row>
    <row r="74" spans="1:5" x14ac:dyDescent="0.3">
      <c r="A74">
        <v>8</v>
      </c>
      <c r="B74" s="301" t="s">
        <v>501</v>
      </c>
      <c r="C74" s="331">
        <v>-183.50495728235745</v>
      </c>
      <c r="D74" s="331">
        <v>-183.50495728235745</v>
      </c>
      <c r="E74" s="334">
        <f t="shared" si="0"/>
        <v>0</v>
      </c>
    </row>
    <row r="75" spans="1:5" x14ac:dyDescent="0.3">
      <c r="A75">
        <v>9</v>
      </c>
      <c r="B75" s="301" t="s">
        <v>295</v>
      </c>
      <c r="C75" s="331">
        <v>-183.50318372637207</v>
      </c>
      <c r="D75" s="331">
        <v>-183.50675241992445</v>
      </c>
      <c r="E75" s="334">
        <f t="shared" si="0"/>
        <v>3.568693552381319E-3</v>
      </c>
    </row>
    <row r="76" spans="1:5" x14ac:dyDescent="0.3">
      <c r="A76">
        <v>10</v>
      </c>
      <c r="B76" s="301" t="s">
        <v>502</v>
      </c>
      <c r="C76" s="332">
        <v>-183.51143198328413</v>
      </c>
      <c r="D76" s="332">
        <v>-183.49848303829913</v>
      </c>
      <c r="E76" s="334">
        <f t="shared" si="0"/>
        <v>1.2948944984998434E-2</v>
      </c>
    </row>
    <row r="77" spans="1:5" x14ac:dyDescent="0.3">
      <c r="A77">
        <v>11</v>
      </c>
      <c r="B77" s="301" t="s">
        <v>304</v>
      </c>
      <c r="C77" s="331">
        <v>-183.49637735464316</v>
      </c>
      <c r="D77" s="331">
        <v>-183.51353721007163</v>
      </c>
      <c r="E77" s="334">
        <f t="shared" si="0"/>
        <v>1.7159855428474202E-2</v>
      </c>
    </row>
    <row r="78" spans="1:5" x14ac:dyDescent="0.3">
      <c r="A78">
        <v>12</v>
      </c>
      <c r="B78" s="301" t="s">
        <v>300</v>
      </c>
      <c r="C78" s="332">
        <v>-183.51499306865728</v>
      </c>
      <c r="D78" s="332">
        <v>-183.49492197143394</v>
      </c>
      <c r="E78" s="334">
        <f t="shared" si="0"/>
        <v>2.0071097223336665E-2</v>
      </c>
    </row>
    <row r="79" spans="1:5" x14ac:dyDescent="0.3">
      <c r="A79">
        <v>13</v>
      </c>
      <c r="B79" s="301" t="s">
        <v>503</v>
      </c>
      <c r="C79" s="332">
        <v>-183.49476267096301</v>
      </c>
      <c r="D79" s="332">
        <v>-183.51515302660042</v>
      </c>
      <c r="E79" s="334">
        <f t="shared" si="0"/>
        <v>2.039035563740299E-2</v>
      </c>
    </row>
    <row r="80" spans="1:5" x14ac:dyDescent="0.3">
      <c r="A80">
        <v>14</v>
      </c>
      <c r="B80" s="301" t="s">
        <v>307</v>
      </c>
      <c r="C80" s="332">
        <v>-183.49251070216079</v>
      </c>
      <c r="D80" s="332">
        <v>-183.51740386255409</v>
      </c>
      <c r="E80" s="334">
        <f t="shared" si="0"/>
        <v>2.489316039330447E-2</v>
      </c>
    </row>
    <row r="81" spans="1:5" x14ac:dyDescent="0.3">
      <c r="A81">
        <v>15</v>
      </c>
      <c r="B81" s="301" t="s">
        <v>499</v>
      </c>
      <c r="C81" s="332">
        <v>-183.4869256876936</v>
      </c>
      <c r="D81" s="332">
        <v>-183.52299242136488</v>
      </c>
      <c r="E81" s="334">
        <f t="shared" si="0"/>
        <v>3.6066733671276552E-2</v>
      </c>
    </row>
    <row r="82" spans="1:5" x14ac:dyDescent="0.3">
      <c r="A82">
        <v>16</v>
      </c>
      <c r="B82" s="301" t="s">
        <v>506</v>
      </c>
      <c r="C82" s="332">
        <v>-183.48689091455751</v>
      </c>
      <c r="D82" s="332">
        <v>-183.52302720818582</v>
      </c>
      <c r="E82" s="334">
        <f t="shared" si="0"/>
        <v>3.6136293628317162E-2</v>
      </c>
    </row>
    <row r="83" spans="1:5" x14ac:dyDescent="0.3">
      <c r="A83">
        <v>17</v>
      </c>
      <c r="B83" s="301" t="s">
        <v>508</v>
      </c>
      <c r="C83" s="332">
        <v>-183.48277841623749</v>
      </c>
      <c r="D83" s="332">
        <v>-183.52714151095952</v>
      </c>
      <c r="E83" s="334">
        <f t="shared" si="0"/>
        <v>4.4363094722029928E-2</v>
      </c>
    </row>
    <row r="84" spans="1:5" x14ac:dyDescent="0.3">
      <c r="A84">
        <v>18</v>
      </c>
      <c r="B84" s="301" t="s">
        <v>505</v>
      </c>
      <c r="C84" s="332">
        <v>-183.48248675277506</v>
      </c>
      <c r="D84" s="332">
        <v>-183.52743331640556</v>
      </c>
      <c r="E84" s="334">
        <f t="shared" si="0"/>
        <v>4.4946563630503533E-2</v>
      </c>
    </row>
    <row r="85" spans="1:5" x14ac:dyDescent="0.3">
      <c r="A85">
        <v>19</v>
      </c>
      <c r="B85" s="301" t="s">
        <v>306</v>
      </c>
      <c r="C85" s="331">
        <v>-183.48240074358492</v>
      </c>
      <c r="D85" s="331">
        <v>-183.52751382112987</v>
      </c>
      <c r="E85" s="334">
        <f t="shared" si="0"/>
        <v>4.5113077544954194E-2</v>
      </c>
    </row>
    <row r="86" spans="1:5" x14ac:dyDescent="0.3">
      <c r="A86">
        <v>20</v>
      </c>
      <c r="B86" s="301" t="s">
        <v>498</v>
      </c>
      <c r="C86" s="332">
        <v>-183.5307289274337</v>
      </c>
      <c r="D86" s="332">
        <v>-183.47919287404682</v>
      </c>
      <c r="E86" s="334">
        <f t="shared" si="0"/>
        <v>5.1536053386882941E-2</v>
      </c>
    </row>
    <row r="87" spans="1:5" x14ac:dyDescent="0.3">
      <c r="A87">
        <v>21</v>
      </c>
      <c r="B87" s="301" t="s">
        <v>305</v>
      </c>
      <c r="C87" s="331">
        <v>-183.4736617240647</v>
      </c>
      <c r="D87" s="331">
        <v>-183.53625284065009</v>
      </c>
      <c r="E87" s="334">
        <f t="shared" si="0"/>
        <v>6.2591116585394957E-2</v>
      </c>
    </row>
    <row r="88" spans="1:5" x14ac:dyDescent="0.3">
      <c r="A88">
        <v>22</v>
      </c>
      <c r="B88" s="301" t="s">
        <v>312</v>
      </c>
      <c r="C88" s="332">
        <v>-183.40698236038534</v>
      </c>
      <c r="D88" s="332">
        <v>-183.60293220432942</v>
      </c>
      <c r="E88" s="334">
        <f t="shared" si="0"/>
        <v>0.19594984394407788</v>
      </c>
    </row>
    <row r="89" spans="1:5" x14ac:dyDescent="0.3">
      <c r="A89">
        <v>23</v>
      </c>
      <c r="B89" s="301" t="s">
        <v>504</v>
      </c>
      <c r="C89" s="332">
        <v>-183.64318321230618</v>
      </c>
      <c r="D89" s="332">
        <v>-183.36693927776741</v>
      </c>
      <c r="E89" s="334">
        <f t="shared" si="0"/>
        <v>0.27624393453876905</v>
      </c>
    </row>
    <row r="90" spans="1:5" x14ac:dyDescent="0.3">
      <c r="A90">
        <v>24</v>
      </c>
      <c r="B90" s="301" t="s">
        <v>294</v>
      </c>
      <c r="C90" s="331">
        <v>-183.12762061976832</v>
      </c>
      <c r="D90" s="331">
        <v>-183.8875900205731</v>
      </c>
      <c r="E90" s="334">
        <f t="shared" si="0"/>
        <v>0.75996940080477771</v>
      </c>
    </row>
    <row r="91" spans="1:5" x14ac:dyDescent="0.3">
      <c r="A91">
        <v>25</v>
      </c>
      <c r="B91" s="301" t="s">
        <v>311</v>
      </c>
      <c r="C91" s="332">
        <v>-184.17438673867443</v>
      </c>
      <c r="D91" s="332">
        <v>-182.83552782604036</v>
      </c>
      <c r="E91" s="334">
        <f t="shared" si="0"/>
        <v>1.3388589126340662</v>
      </c>
    </row>
    <row r="92" spans="1:5" x14ac:dyDescent="0.3">
      <c r="A92">
        <v>26</v>
      </c>
      <c r="B92" s="301" t="s">
        <v>315</v>
      </c>
      <c r="C92" s="332">
        <v>-182.82272826215055</v>
      </c>
      <c r="D92" s="332">
        <v>-184.18718630256433</v>
      </c>
      <c r="E92" s="334">
        <f t="shared" si="0"/>
        <v>1.3644580404137798</v>
      </c>
    </row>
    <row r="93" spans="1:5" x14ac:dyDescent="0.3">
      <c r="A93">
        <v>27</v>
      </c>
      <c r="B93" s="301" t="s">
        <v>308</v>
      </c>
      <c r="C93" s="332">
        <v>-184.2364670332943</v>
      </c>
      <c r="D93" s="332">
        <v>-182.77344753142049</v>
      </c>
      <c r="E93" s="334">
        <f t="shared" si="0"/>
        <v>1.4630195018738164</v>
      </c>
    </row>
    <row r="94" spans="1:5" x14ac:dyDescent="0.3">
      <c r="A94">
        <v>28</v>
      </c>
      <c r="B94" s="301" t="s">
        <v>309</v>
      </c>
      <c r="C94" s="332">
        <v>-182.67395565285307</v>
      </c>
      <c r="D94" s="332">
        <v>-184.33595891186172</v>
      </c>
      <c r="E94" s="334">
        <f t="shared" si="0"/>
        <v>1.6620032590086566</v>
      </c>
    </row>
    <row r="95" spans="1:5" x14ac:dyDescent="0.3">
      <c r="A95">
        <v>29</v>
      </c>
      <c r="B95" s="301" t="s">
        <v>302</v>
      </c>
      <c r="C95" s="332">
        <v>-182.61101281273596</v>
      </c>
      <c r="D95" s="332">
        <v>-184.28456129055118</v>
      </c>
      <c r="E95" s="334">
        <f t="shared" si="0"/>
        <v>1.673548477815217</v>
      </c>
    </row>
    <row r="96" spans="1:5" x14ac:dyDescent="0.3">
      <c r="A96">
        <v>30</v>
      </c>
      <c r="B96" s="301" t="s">
        <v>310</v>
      </c>
      <c r="C96" s="331">
        <v>-182.11699321945994</v>
      </c>
      <c r="D96" s="331">
        <v>-184.89292134525493</v>
      </c>
      <c r="E96" s="334">
        <f t="shared" si="0"/>
        <v>2.7759281257949908</v>
      </c>
    </row>
    <row r="97" spans="1:5" x14ac:dyDescent="0.3">
      <c r="A97">
        <v>31</v>
      </c>
      <c r="B97" s="301" t="s">
        <v>296</v>
      </c>
      <c r="C97" s="332">
        <v>-185.10335938696824</v>
      </c>
      <c r="D97" s="332">
        <v>-181.25629925546426</v>
      </c>
      <c r="E97" s="334">
        <f t="shared" si="0"/>
        <v>3.8470601315039801</v>
      </c>
    </row>
    <row r="98" spans="1:5" x14ac:dyDescent="0.3">
      <c r="A98">
        <v>32</v>
      </c>
      <c r="B98" s="301" t="s">
        <v>303</v>
      </c>
      <c r="C98" s="332">
        <v>-181.55649964520035</v>
      </c>
      <c r="D98" s="332">
        <v>-185.45341491951453</v>
      </c>
      <c r="E98" s="334">
        <f t="shared" si="0"/>
        <v>3.8969152743141819</v>
      </c>
    </row>
    <row r="99" spans="1:5" x14ac:dyDescent="0.3">
      <c r="A99">
        <v>33</v>
      </c>
      <c r="B99" s="301" t="s">
        <v>299</v>
      </c>
      <c r="C99" s="331">
        <v>-185.71592255529666</v>
      </c>
      <c r="D99" s="331">
        <v>-181.24769674229469</v>
      </c>
      <c r="E99" s="334">
        <f t="shared" ref="E99:E130" si="1">IF(C99="","",ABS(D99-C99))</f>
        <v>4.4682258130019648</v>
      </c>
    </row>
    <row r="100" spans="1:5" x14ac:dyDescent="0.3">
      <c r="A100">
        <v>34</v>
      </c>
      <c r="B100" s="301" t="s">
        <v>288</v>
      </c>
      <c r="C100" s="332">
        <v>-181.11202995804229</v>
      </c>
      <c r="D100" s="332">
        <v>-185.90346192872886</v>
      </c>
      <c r="E100" s="334">
        <f t="shared" si="1"/>
        <v>4.791431970686574</v>
      </c>
    </row>
    <row r="101" spans="1:5" x14ac:dyDescent="0.3">
      <c r="A101">
        <v>35</v>
      </c>
      <c r="B101" s="301" t="s">
        <v>313</v>
      </c>
      <c r="C101" s="331">
        <v>-180.51044152653344</v>
      </c>
      <c r="D101" s="331">
        <v>-186.49947303818143</v>
      </c>
      <c r="E101" s="334">
        <f t="shared" si="1"/>
        <v>5.989031511647994</v>
      </c>
    </row>
    <row r="102" spans="1:5" x14ac:dyDescent="0.3">
      <c r="A102">
        <v>36</v>
      </c>
      <c r="B102" s="301" t="s">
        <v>301</v>
      </c>
      <c r="C102" s="332">
        <v>-180.05378693698279</v>
      </c>
      <c r="D102" s="332">
        <v>-186.54060552196276</v>
      </c>
      <c r="E102" s="334">
        <f t="shared" si="1"/>
        <v>6.4868185849799715</v>
      </c>
    </row>
    <row r="103" spans="1:5" x14ac:dyDescent="0.3">
      <c r="A103">
        <v>37</v>
      </c>
      <c r="B103" s="301" t="s">
        <v>291</v>
      </c>
      <c r="C103" s="332">
        <v>-187.45758177124682</v>
      </c>
      <c r="D103" s="332">
        <v>-179.56745662553544</v>
      </c>
      <c r="E103" s="334">
        <f t="shared" si="1"/>
        <v>7.8901251457113801</v>
      </c>
    </row>
    <row r="104" spans="1:5" x14ac:dyDescent="0.3">
      <c r="A104">
        <v>38</v>
      </c>
      <c r="B104" s="301" t="s">
        <v>314</v>
      </c>
      <c r="C104" s="332">
        <v>-179.35011129388417</v>
      </c>
      <c r="D104" s="332">
        <v>-187.65980327083062</v>
      </c>
      <c r="E104" s="334">
        <f t="shared" si="1"/>
        <v>8.3096919769464535</v>
      </c>
    </row>
    <row r="105" spans="1:5" x14ac:dyDescent="0.3">
      <c r="A105">
        <v>39</v>
      </c>
      <c r="B105" s="301" t="s">
        <v>208</v>
      </c>
      <c r="C105" s="332">
        <v>-189.9458751988783</v>
      </c>
      <c r="D105" s="332">
        <v>-177.06403936583649</v>
      </c>
      <c r="E105" s="334">
        <f t="shared" si="1"/>
        <v>12.881835833041805</v>
      </c>
    </row>
    <row r="106" spans="1:5" x14ac:dyDescent="0.3">
      <c r="A106">
        <v>40</v>
      </c>
      <c r="B106" s="301" t="s">
        <v>287</v>
      </c>
      <c r="C106" s="332">
        <v>-190.82950762895365</v>
      </c>
      <c r="D106" s="332">
        <v>-176.17818870072779</v>
      </c>
      <c r="E106" s="334">
        <f t="shared" si="1"/>
        <v>14.651318928225862</v>
      </c>
    </row>
    <row r="107" spans="1:5" x14ac:dyDescent="0.3">
      <c r="A107">
        <v>41</v>
      </c>
      <c r="B107" s="301" t="s">
        <v>293</v>
      </c>
      <c r="C107" s="332">
        <v>-190.97959543819277</v>
      </c>
      <c r="D107" s="332">
        <v>-176.03197368059477</v>
      </c>
      <c r="E107" s="334">
        <f t="shared" si="1"/>
        <v>14.947621757598</v>
      </c>
    </row>
    <row r="108" spans="1:5" x14ac:dyDescent="0.3">
      <c r="A108">
        <v>42</v>
      </c>
      <c r="B108" s="301" t="s">
        <v>297</v>
      </c>
      <c r="C108" s="331">
        <v>-176.27867735982039</v>
      </c>
      <c r="D108" s="331">
        <v>-192.36518172262097</v>
      </c>
      <c r="E108" s="334">
        <f t="shared" si="1"/>
        <v>16.086504362800582</v>
      </c>
    </row>
    <row r="109" spans="1:5" x14ac:dyDescent="0.3">
      <c r="A109">
        <v>43</v>
      </c>
      <c r="B109" s="301" t="s">
        <v>298</v>
      </c>
      <c r="C109" s="332">
        <v>-175.53687532628976</v>
      </c>
      <c r="D109" s="332">
        <v>-193.07243119685907</v>
      </c>
      <c r="E109" s="334">
        <f t="shared" si="1"/>
        <v>17.535555870569311</v>
      </c>
    </row>
    <row r="110" spans="1:5" x14ac:dyDescent="0.3">
      <c r="A110">
        <v>44</v>
      </c>
      <c r="B110" s="301" t="s">
        <v>285</v>
      </c>
      <c r="C110" s="331">
        <v>-174.05741268258234</v>
      </c>
      <c r="D110" s="331">
        <v>-192.95034620369816</v>
      </c>
      <c r="E110" s="334">
        <f t="shared" si="1"/>
        <v>18.892933521115822</v>
      </c>
    </row>
    <row r="111" spans="1:5" x14ac:dyDescent="0.3">
      <c r="A111">
        <v>45</v>
      </c>
      <c r="B111" s="301" t="s">
        <v>284</v>
      </c>
      <c r="C111" s="332">
        <v>-173.93651246856086</v>
      </c>
      <c r="D111" s="332">
        <v>-193.07082386515225</v>
      </c>
      <c r="E111" s="334">
        <f t="shared" si="1"/>
        <v>19.134311396591386</v>
      </c>
    </row>
    <row r="112" spans="1:5" x14ac:dyDescent="0.3">
      <c r="A112">
        <v>46</v>
      </c>
      <c r="B112" s="301" t="s">
        <v>292</v>
      </c>
      <c r="C112" s="332">
        <v>-194.12617998976631</v>
      </c>
      <c r="D112" s="332">
        <v>-172.88881017316049</v>
      </c>
      <c r="E112" s="334">
        <f t="shared" si="1"/>
        <v>21.23736981660582</v>
      </c>
    </row>
    <row r="113" spans="1:5" x14ac:dyDescent="0.3">
      <c r="A113">
        <v>47</v>
      </c>
      <c r="B113" s="301" t="s">
        <v>283</v>
      </c>
      <c r="C113" s="332">
        <v>-195.07932249856987</v>
      </c>
      <c r="D113" s="332">
        <v>-171.9286617947771</v>
      </c>
      <c r="E113" s="334">
        <f t="shared" si="1"/>
        <v>23.150660703792767</v>
      </c>
    </row>
    <row r="114" spans="1:5" x14ac:dyDescent="0.3">
      <c r="A114">
        <v>48</v>
      </c>
      <c r="B114" s="301" t="s">
        <v>280</v>
      </c>
      <c r="C114" s="331">
        <v>-196.99989206479157</v>
      </c>
      <c r="D114" s="331">
        <v>-170.00748751362275</v>
      </c>
      <c r="E114" s="334">
        <f t="shared" si="1"/>
        <v>26.992404551168818</v>
      </c>
    </row>
    <row r="115" spans="1:5" x14ac:dyDescent="0.3">
      <c r="A115">
        <v>49</v>
      </c>
      <c r="B115" s="296" t="s">
        <v>316</v>
      </c>
      <c r="C115" s="331">
        <v>-169.48447205135798</v>
      </c>
      <c r="D115" s="331">
        <v>-197.52544251335664</v>
      </c>
      <c r="E115" s="334">
        <f t="shared" si="1"/>
        <v>28.040970461998654</v>
      </c>
    </row>
    <row r="116" spans="1:5" x14ac:dyDescent="0.3">
      <c r="A116">
        <v>50</v>
      </c>
      <c r="B116" s="301" t="s">
        <v>278</v>
      </c>
      <c r="C116" s="332">
        <v>-167.09698326322001</v>
      </c>
      <c r="D116" s="332">
        <v>-199.90906089097783</v>
      </c>
      <c r="E116" s="334">
        <f t="shared" si="1"/>
        <v>32.812077627757816</v>
      </c>
    </row>
    <row r="117" spans="1:5" x14ac:dyDescent="0.3">
      <c r="A117">
        <v>51</v>
      </c>
      <c r="B117" s="301" t="s">
        <v>286</v>
      </c>
      <c r="C117" s="332">
        <v>-166.57964953738224</v>
      </c>
      <c r="D117" s="332">
        <v>-200.42060315472176</v>
      </c>
      <c r="E117" s="334">
        <f t="shared" si="1"/>
        <v>33.840953617339522</v>
      </c>
    </row>
    <row r="118" spans="1:5" x14ac:dyDescent="0.3">
      <c r="A118">
        <v>52</v>
      </c>
      <c r="B118" s="301" t="s">
        <v>290</v>
      </c>
      <c r="C118" s="332">
        <v>-165.35532725599327</v>
      </c>
      <c r="D118" s="332">
        <v>-201.66434991686319</v>
      </c>
      <c r="E118" s="334">
        <f t="shared" si="1"/>
        <v>36.309022660869914</v>
      </c>
    </row>
    <row r="119" spans="1:5" x14ac:dyDescent="0.3">
      <c r="A119">
        <v>53</v>
      </c>
      <c r="B119" s="301" t="s">
        <v>507</v>
      </c>
      <c r="C119" s="331">
        <v>-203.79640352168715</v>
      </c>
      <c r="D119" s="331">
        <v>-166.88834473814072</v>
      </c>
      <c r="E119" s="334">
        <f t="shared" si="1"/>
        <v>36.908058783546437</v>
      </c>
    </row>
    <row r="120" spans="1:5" x14ac:dyDescent="0.3">
      <c r="A120">
        <v>54</v>
      </c>
      <c r="B120" s="301" t="s">
        <v>289</v>
      </c>
      <c r="C120" s="332">
        <v>-164.16812392893721</v>
      </c>
      <c r="D120" s="332">
        <v>-202.85863655394206</v>
      </c>
      <c r="E120" s="334">
        <f t="shared" si="1"/>
        <v>38.690512625004857</v>
      </c>
    </row>
    <row r="121" spans="1:5" x14ac:dyDescent="0.3">
      <c r="A121">
        <v>55</v>
      </c>
      <c r="B121" s="301" t="s">
        <v>282</v>
      </c>
      <c r="C121" s="331">
        <v>-213.11068378050859</v>
      </c>
      <c r="D121" s="331">
        <v>-169.74305588571681</v>
      </c>
      <c r="E121" s="334">
        <f t="shared" si="1"/>
        <v>43.367627894791781</v>
      </c>
    </row>
    <row r="122" spans="1:5" x14ac:dyDescent="0.3">
      <c r="A122">
        <v>56</v>
      </c>
      <c r="B122" s="301" t="s">
        <v>275</v>
      </c>
      <c r="C122" s="332">
        <v>-161.46376134444574</v>
      </c>
      <c r="D122" s="332">
        <v>-205.53646476432559</v>
      </c>
      <c r="E122" s="334">
        <f t="shared" si="1"/>
        <v>44.072703419879844</v>
      </c>
    </row>
    <row r="123" spans="1:5" x14ac:dyDescent="0.3">
      <c r="A123">
        <v>57</v>
      </c>
      <c r="B123" s="301" t="s">
        <v>277</v>
      </c>
      <c r="C123" s="332">
        <v>-133.55482128617396</v>
      </c>
      <c r="D123" s="332">
        <v>-222.53598624021285</v>
      </c>
      <c r="E123" s="334">
        <f t="shared" si="1"/>
        <v>88.981164954038888</v>
      </c>
    </row>
    <row r="124" spans="1:5" x14ac:dyDescent="0.3">
      <c r="A124">
        <v>58</v>
      </c>
      <c r="B124" s="301" t="s">
        <v>281</v>
      </c>
      <c r="C124" s="332">
        <v>-247.59873861887272</v>
      </c>
      <c r="D124" s="332">
        <v>-114.6171760901404</v>
      </c>
      <c r="E124" s="334">
        <f t="shared" si="1"/>
        <v>132.9815625287323</v>
      </c>
    </row>
    <row r="125" spans="1:5" x14ac:dyDescent="0.3">
      <c r="A125">
        <v>59</v>
      </c>
      <c r="B125" s="301" t="s">
        <v>279</v>
      </c>
      <c r="C125" s="332">
        <v>-290.09383053176037</v>
      </c>
      <c r="D125" s="332">
        <v>-134.12759048480362</v>
      </c>
      <c r="E125" s="334">
        <f t="shared" si="1"/>
        <v>155.96624004695676</v>
      </c>
    </row>
    <row r="126" spans="1:5" x14ac:dyDescent="0.3">
      <c r="A126">
        <v>60</v>
      </c>
      <c r="B126" s="301" t="s">
        <v>276</v>
      </c>
      <c r="C126" s="331">
        <v>-101.65542001075352</v>
      </c>
      <c r="D126" s="331">
        <v>-303.94931782152844</v>
      </c>
      <c r="E126" s="334">
        <f t="shared" si="1"/>
        <v>202.29389781077492</v>
      </c>
    </row>
    <row r="127" spans="1:5" ht="15" thickBot="1" x14ac:dyDescent="0.35">
      <c r="A127">
        <v>61</v>
      </c>
      <c r="B127" s="202" t="s">
        <v>274</v>
      </c>
      <c r="C127" s="333">
        <v>-26.966694342685724</v>
      </c>
      <c r="D127" s="333">
        <v>-278.51209721061218</v>
      </c>
      <c r="E127" s="335">
        <f t="shared" si="1"/>
        <v>251.54540286792647</v>
      </c>
    </row>
  </sheetData>
  <pageMargins left="0.511811024" right="0.511811024" top="0.78740157499999996" bottom="0.78740157499999996" header="0.31496062000000002" footer="0.31496062000000002"/>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ilha15">
    <tabColor theme="0" tint="-0.499984740745262"/>
  </sheetPr>
  <dimension ref="A1:K24"/>
  <sheetViews>
    <sheetView showGridLines="0" topLeftCell="C1" workbookViewId="0">
      <selection activeCell="H30" sqref="H30"/>
    </sheetView>
  </sheetViews>
  <sheetFormatPr defaultRowHeight="14.4" x14ac:dyDescent="0.3"/>
  <cols>
    <col min="1" max="1" width="25.6640625" customWidth="1"/>
    <col min="4" max="4" width="31.109375" bestFit="1" customWidth="1"/>
    <col min="5" max="5" width="16" customWidth="1"/>
    <col min="6" max="6" width="43.6640625" bestFit="1" customWidth="1"/>
    <col min="7" max="7" width="10.109375" customWidth="1"/>
    <col min="8" max="8" width="11.88671875" customWidth="1"/>
    <col min="9" max="9" width="12.5546875" customWidth="1"/>
    <col min="10" max="10" width="11" bestFit="1" customWidth="1"/>
  </cols>
  <sheetData>
    <row r="1" spans="1:11" x14ac:dyDescent="0.3">
      <c r="A1" s="101" t="s">
        <v>381</v>
      </c>
    </row>
    <row r="2" spans="1:11" x14ac:dyDescent="0.3">
      <c r="A2" s="101" t="s">
        <v>382</v>
      </c>
    </row>
    <row r="3" spans="1:11" x14ac:dyDescent="0.3">
      <c r="A3" s="101" t="s">
        <v>74</v>
      </c>
    </row>
    <row r="4" spans="1:11" ht="15" thickBot="1" x14ac:dyDescent="0.35">
      <c r="A4" s="101" t="s">
        <v>103</v>
      </c>
      <c r="J4" s="317" t="s">
        <v>520</v>
      </c>
      <c r="K4" s="318">
        <v>5.2778999999999998</v>
      </c>
    </row>
    <row r="5" spans="1:11" x14ac:dyDescent="0.3">
      <c r="A5" s="101" t="s">
        <v>383</v>
      </c>
    </row>
    <row r="6" spans="1:11" x14ac:dyDescent="0.3">
      <c r="A6" s="101" t="s">
        <v>384</v>
      </c>
    </row>
    <row r="7" spans="1:11" x14ac:dyDescent="0.3">
      <c r="A7" s="101" t="s">
        <v>385</v>
      </c>
    </row>
    <row r="8" spans="1:11" x14ac:dyDescent="0.3">
      <c r="A8" s="101" t="s">
        <v>386</v>
      </c>
    </row>
    <row r="11" spans="1:11" ht="15" thickBot="1" x14ac:dyDescent="0.35">
      <c r="H11" s="243" t="s">
        <v>136</v>
      </c>
      <c r="I11" t="s">
        <v>403</v>
      </c>
      <c r="J11" t="s">
        <v>404</v>
      </c>
    </row>
    <row r="12" spans="1:11" x14ac:dyDescent="0.3">
      <c r="D12" s="200" t="s">
        <v>387</v>
      </c>
      <c r="E12" s="379" t="s">
        <v>387</v>
      </c>
      <c r="F12" s="379" t="s">
        <v>388</v>
      </c>
      <c r="G12" s="379" t="s">
        <v>400</v>
      </c>
      <c r="H12" s="380">
        <v>33.486803463498745</v>
      </c>
      <c r="I12" s="381">
        <f>H12/50</f>
        <v>0.66973606926997487</v>
      </c>
      <c r="J12" s="382"/>
    </row>
    <row r="13" spans="1:11" x14ac:dyDescent="0.3">
      <c r="D13" s="301" t="s">
        <v>389</v>
      </c>
      <c r="E13" t="s">
        <v>137</v>
      </c>
      <c r="F13" t="s">
        <v>139</v>
      </c>
      <c r="G13" t="s">
        <v>138</v>
      </c>
      <c r="H13" s="383">
        <v>3.3498171621288773</v>
      </c>
      <c r="I13" s="384">
        <f>H13/200</f>
        <v>1.6749085810644385E-2</v>
      </c>
      <c r="J13" s="385"/>
    </row>
    <row r="14" spans="1:11" x14ac:dyDescent="0.3">
      <c r="D14" s="301" t="s">
        <v>140</v>
      </c>
      <c r="E14" t="s">
        <v>140</v>
      </c>
      <c r="F14" t="s">
        <v>141</v>
      </c>
      <c r="G14" t="s">
        <v>400</v>
      </c>
      <c r="H14" s="383">
        <v>132.18514939654028</v>
      </c>
      <c r="I14" s="384">
        <f>H14/(6*5)</f>
        <v>4.4061716465513427</v>
      </c>
      <c r="J14" s="385"/>
    </row>
    <row r="15" spans="1:11" x14ac:dyDescent="0.3">
      <c r="D15" s="301" t="s">
        <v>142</v>
      </c>
      <c r="E15" t="s">
        <v>142</v>
      </c>
      <c r="F15" t="s">
        <v>143</v>
      </c>
      <c r="G15" t="s">
        <v>400</v>
      </c>
      <c r="H15" s="383">
        <v>206.01375547092593</v>
      </c>
      <c r="I15" s="383">
        <f>H15/20</f>
        <v>10.300687773546297</v>
      </c>
      <c r="J15" s="385"/>
    </row>
    <row r="16" spans="1:11" x14ac:dyDescent="0.3">
      <c r="D16" s="301" t="s">
        <v>144</v>
      </c>
      <c r="E16" t="s">
        <v>145</v>
      </c>
      <c r="F16" t="s">
        <v>390</v>
      </c>
      <c r="G16" t="s">
        <v>401</v>
      </c>
      <c r="H16" s="383">
        <v>912.86307053941914</v>
      </c>
      <c r="I16" s="384"/>
      <c r="J16" s="385">
        <f>H16</f>
        <v>912.86307053941914</v>
      </c>
    </row>
    <row r="17" spans="4:10" x14ac:dyDescent="0.3">
      <c r="D17" s="301" t="s">
        <v>391</v>
      </c>
      <c r="E17" t="s">
        <v>391</v>
      </c>
      <c r="F17" t="s">
        <v>146</v>
      </c>
      <c r="G17" t="s">
        <v>400</v>
      </c>
      <c r="H17" s="383">
        <v>25.621932965762898</v>
      </c>
      <c r="I17" s="384"/>
      <c r="J17" s="385">
        <f>H17/30</f>
        <v>0.8540644321920966</v>
      </c>
    </row>
    <row r="18" spans="4:10" x14ac:dyDescent="0.3">
      <c r="D18" s="301" t="s">
        <v>392</v>
      </c>
      <c r="E18" t="s">
        <v>147</v>
      </c>
      <c r="F18" t="s">
        <v>82</v>
      </c>
      <c r="G18" t="s">
        <v>402</v>
      </c>
      <c r="H18" s="383">
        <v>2766.2233085128555</v>
      </c>
      <c r="I18" s="384"/>
      <c r="J18" s="385">
        <f>H18/21</f>
        <v>131.72491945299311</v>
      </c>
    </row>
    <row r="19" spans="4:10" x14ac:dyDescent="0.3">
      <c r="D19" s="301" t="s">
        <v>393</v>
      </c>
      <c r="E19" t="s">
        <v>393</v>
      </c>
      <c r="F19" t="s">
        <v>394</v>
      </c>
      <c r="G19" t="s">
        <v>400</v>
      </c>
      <c r="H19" s="383">
        <v>540.55211353000243</v>
      </c>
      <c r="I19" s="384"/>
      <c r="J19" s="385">
        <f>H19*2</f>
        <v>1081.1042270600049</v>
      </c>
    </row>
    <row r="20" spans="4:10" x14ac:dyDescent="0.3">
      <c r="D20" s="301" t="s">
        <v>395</v>
      </c>
      <c r="E20" t="s">
        <v>395</v>
      </c>
      <c r="F20" t="s">
        <v>87</v>
      </c>
      <c r="G20" t="s">
        <v>400</v>
      </c>
      <c r="H20" s="383">
        <v>122.4104283900794</v>
      </c>
      <c r="I20" s="384"/>
      <c r="J20" s="385"/>
    </row>
    <row r="21" spans="4:10" x14ac:dyDescent="0.3">
      <c r="D21" s="301" t="s">
        <v>396</v>
      </c>
      <c r="E21" t="s">
        <v>158</v>
      </c>
      <c r="F21" t="s">
        <v>397</v>
      </c>
      <c r="G21" t="s">
        <v>401</v>
      </c>
      <c r="H21" s="383">
        <v>973.35872221906448</v>
      </c>
      <c r="I21" s="384">
        <f>H21/150</f>
        <v>6.4890581481270964</v>
      </c>
      <c r="J21" s="385"/>
    </row>
    <row r="22" spans="4:10" x14ac:dyDescent="0.3">
      <c r="D22" s="301" t="s">
        <v>398</v>
      </c>
      <c r="E22" t="s">
        <v>160</v>
      </c>
      <c r="F22" t="s">
        <v>161</v>
      </c>
      <c r="G22" t="s">
        <v>401</v>
      </c>
      <c r="H22" s="383">
        <v>2561.0811118058318</v>
      </c>
      <c r="I22" s="384">
        <f>H22/420</f>
        <v>6.0978121709662663</v>
      </c>
      <c r="J22" s="385"/>
    </row>
    <row r="23" spans="4:10" ht="15" thickBot="1" x14ac:dyDescent="0.35">
      <c r="D23" s="202" t="s">
        <v>399</v>
      </c>
      <c r="E23" s="386" t="s">
        <v>162</v>
      </c>
      <c r="F23" s="386" t="s">
        <v>163</v>
      </c>
      <c r="G23" s="386" t="s">
        <v>401</v>
      </c>
      <c r="H23" s="387">
        <v>3046.0277761988668</v>
      </c>
      <c r="I23" s="388">
        <f>H23/100</f>
        <v>30.460277761988667</v>
      </c>
      <c r="J23" s="389"/>
    </row>
    <row r="24" spans="4:10" x14ac:dyDescent="0.3">
      <c r="H24" s="319"/>
      <c r="I24" s="319"/>
      <c r="J24" s="319"/>
    </row>
  </sheetData>
  <pageMargins left="0.511811024" right="0.511811024" top="0.78740157499999996" bottom="0.78740157499999996" header="0.31496062000000002" footer="0.31496062000000002"/>
  <legacy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ilha3">
    <tabColor theme="0" tint="-0.499984740745262"/>
  </sheetPr>
  <dimension ref="A1:AE10010"/>
  <sheetViews>
    <sheetView showGridLines="0" topLeftCell="A992" zoomScale="70" zoomScaleNormal="70" workbookViewId="0">
      <selection activeCell="C1010" sqref="C1010:I1010"/>
    </sheetView>
  </sheetViews>
  <sheetFormatPr defaultColWidth="0" defaultRowHeight="14.4" zeroHeight="1" x14ac:dyDescent="0.3"/>
  <cols>
    <col min="1" max="1" width="6.6640625" customWidth="1"/>
    <col min="2" max="2" width="8.88671875" style="108" customWidth="1"/>
    <col min="3" max="3" width="19.44140625" customWidth="1"/>
    <col min="4" max="4" width="16.88671875" bestFit="1" customWidth="1"/>
    <col min="5" max="5" width="13.5546875" bestFit="1" customWidth="1"/>
    <col min="6" max="6" width="16.5546875" bestFit="1" customWidth="1"/>
    <col min="7" max="7" width="16" customWidth="1"/>
    <col min="8" max="8" width="13.6640625" customWidth="1"/>
    <col min="9" max="9" width="16.88671875" bestFit="1" customWidth="1"/>
    <col min="10" max="10" width="10.88671875" customWidth="1"/>
    <col min="11" max="11" width="16.5546875" customWidth="1"/>
    <col min="12" max="12" width="15" bestFit="1" customWidth="1"/>
    <col min="13" max="13" width="17.44140625" bestFit="1" customWidth="1"/>
    <col min="14" max="14" width="21.109375" customWidth="1"/>
    <col min="15" max="15" width="4.44140625" customWidth="1"/>
    <col min="16" max="16" width="4.88671875" customWidth="1"/>
    <col min="17" max="17" width="20.88671875" customWidth="1"/>
    <col min="18" max="18" width="12.88671875" style="101" customWidth="1"/>
    <col min="19" max="19" width="15" style="101" bestFit="1" customWidth="1"/>
    <col min="20" max="20" width="11.6640625" customWidth="1"/>
    <col min="21" max="21" width="6.6640625" customWidth="1"/>
    <col min="22" max="31" width="9.109375" customWidth="1"/>
    <col min="32" max="16384" width="9.109375" hidden="1"/>
  </cols>
  <sheetData>
    <row r="1" spans="1:31" ht="18" x14ac:dyDescent="0.3">
      <c r="A1" s="13"/>
      <c r="B1" s="12" t="s">
        <v>405</v>
      </c>
      <c r="C1" s="12"/>
      <c r="D1" s="12"/>
      <c r="E1" s="12"/>
      <c r="F1" s="12"/>
      <c r="G1" s="12"/>
      <c r="H1" s="12"/>
      <c r="I1" s="12"/>
      <c r="J1" s="12"/>
      <c r="K1" s="12"/>
      <c r="L1" s="12"/>
      <c r="M1" s="12"/>
      <c r="N1" s="12"/>
      <c r="O1" s="12"/>
      <c r="P1" s="12"/>
      <c r="Q1" s="12">
        <v>1</v>
      </c>
      <c r="R1" s="105"/>
      <c r="S1" s="105"/>
      <c r="T1" s="12"/>
      <c r="U1" s="13"/>
      <c r="V1" s="13"/>
      <c r="W1" s="13"/>
      <c r="X1" s="13"/>
      <c r="Y1" s="13"/>
      <c r="Z1" s="13"/>
      <c r="AA1" s="13"/>
      <c r="AB1" s="13"/>
      <c r="AC1" s="13"/>
      <c r="AD1" s="13"/>
      <c r="AE1" s="13"/>
    </row>
    <row r="2" spans="1:31" ht="18" x14ac:dyDescent="0.3">
      <c r="A2" s="13"/>
      <c r="B2" s="207"/>
      <c r="C2" s="10"/>
      <c r="D2" s="10"/>
      <c r="E2" s="10"/>
      <c r="F2" s="10"/>
      <c r="G2" s="10"/>
      <c r="H2" s="10"/>
      <c r="I2" s="10"/>
      <c r="J2" s="10"/>
      <c r="K2" s="10"/>
      <c r="L2" s="10"/>
      <c r="M2" s="10"/>
      <c r="N2" s="10"/>
      <c r="O2" s="10"/>
      <c r="P2" s="10"/>
      <c r="Q2" s="10"/>
      <c r="R2" s="208"/>
      <c r="S2" s="209"/>
      <c r="T2" s="12"/>
      <c r="U2" s="13"/>
      <c r="V2" s="13"/>
      <c r="W2" s="13"/>
      <c r="X2" s="13"/>
      <c r="Y2" s="13"/>
      <c r="Z2" s="13"/>
      <c r="AA2" s="13"/>
      <c r="AB2" s="13"/>
      <c r="AC2" s="13"/>
      <c r="AD2" s="13"/>
      <c r="AE2" s="13"/>
    </row>
    <row r="3" spans="1:31" ht="21" x14ac:dyDescent="0.4">
      <c r="A3" s="210"/>
      <c r="B3" s="211"/>
      <c r="C3" s="454" t="s">
        <v>406</v>
      </c>
      <c r="D3" s="454"/>
      <c r="E3" s="454"/>
      <c r="F3" s="454"/>
      <c r="G3" s="454"/>
      <c r="H3" s="454"/>
      <c r="I3" s="454"/>
      <c r="N3" s="137"/>
      <c r="S3" s="212"/>
      <c r="T3" s="12"/>
      <c r="U3" s="210"/>
      <c r="V3" s="210"/>
      <c r="W3" s="210"/>
      <c r="X3" s="210"/>
      <c r="Y3" s="210"/>
      <c r="Z3" s="210"/>
      <c r="AA3" s="210"/>
      <c r="AB3" s="210"/>
      <c r="AC3" s="210"/>
      <c r="AD3" s="210"/>
      <c r="AE3" s="210"/>
    </row>
    <row r="4" spans="1:31" ht="18" x14ac:dyDescent="0.3">
      <c r="A4" s="13"/>
      <c r="B4" s="211"/>
      <c r="C4" s="138" t="s">
        <v>407</v>
      </c>
      <c r="D4" s="138" t="s">
        <v>408</v>
      </c>
      <c r="E4" s="138" t="s">
        <v>409</v>
      </c>
      <c r="F4" s="138" t="s">
        <v>410</v>
      </c>
      <c r="G4" s="138" t="s">
        <v>105</v>
      </c>
      <c r="H4" s="138" t="s">
        <v>106</v>
      </c>
      <c r="I4" s="138" t="s">
        <v>411</v>
      </c>
      <c r="J4" s="101"/>
      <c r="K4" s="108"/>
      <c r="L4" s="101"/>
      <c r="M4" s="213" t="s">
        <v>412</v>
      </c>
      <c r="N4" s="336">
        <v>60000</v>
      </c>
      <c r="S4" s="212"/>
      <c r="T4" s="12"/>
      <c r="U4" s="13"/>
      <c r="V4" s="13"/>
      <c r="W4" s="13"/>
      <c r="X4" s="13"/>
      <c r="Y4" s="13"/>
      <c r="Z4" s="13"/>
      <c r="AA4" s="13"/>
      <c r="AB4" s="13"/>
      <c r="AC4" s="13"/>
      <c r="AD4" s="13"/>
      <c r="AE4" s="13"/>
    </row>
    <row r="5" spans="1:31" ht="18" x14ac:dyDescent="0.3">
      <c r="A5" s="13"/>
      <c r="B5" s="211"/>
      <c r="C5" s="341">
        <f>CostEffectiveAnalysis!F32</f>
        <v>2094.5431412700773</v>
      </c>
      <c r="D5" s="342">
        <f>CostEffectiveAnalysis!F31</f>
        <v>3048.5680703203725</v>
      </c>
      <c r="E5" s="214">
        <f>CostEffectiveAnalysis!H32</f>
        <v>18.918477859427735</v>
      </c>
      <c r="F5" s="214">
        <f>CostEffectiveAnalysis!H31</f>
        <v>13.719572373826354</v>
      </c>
      <c r="G5" s="343">
        <f>C5-D5</f>
        <v>-954.02492905029521</v>
      </c>
      <c r="H5" s="215">
        <f>E5-F5</f>
        <v>5.1989054856013812</v>
      </c>
      <c r="I5" s="344">
        <f>IF(H5=0,G5,G5/H5)</f>
        <v>-183.50495728235745</v>
      </c>
      <c r="K5" s="454" t="s">
        <v>413</v>
      </c>
      <c r="L5" s="454"/>
      <c r="M5" s="454"/>
      <c r="N5" s="454"/>
      <c r="S5" s="212"/>
      <c r="T5" s="12"/>
      <c r="U5" s="13"/>
      <c r="V5" s="13"/>
      <c r="W5" s="13"/>
      <c r="X5" s="13"/>
      <c r="Y5" s="13"/>
      <c r="Z5" s="13"/>
      <c r="AA5" s="13"/>
      <c r="AB5" s="13"/>
      <c r="AC5" s="13"/>
      <c r="AD5" s="13"/>
      <c r="AE5" s="13"/>
    </row>
    <row r="6" spans="1:31" ht="18" x14ac:dyDescent="0.3">
      <c r="A6" s="13"/>
      <c r="B6" s="211"/>
      <c r="K6" s="455" t="s">
        <v>107</v>
      </c>
      <c r="L6" s="455"/>
      <c r="M6" s="455" t="s">
        <v>414</v>
      </c>
      <c r="N6" s="455"/>
      <c r="S6" s="212"/>
      <c r="T6" s="12"/>
      <c r="U6" s="13"/>
      <c r="V6" s="13"/>
      <c r="W6" s="13"/>
      <c r="X6" s="13"/>
      <c r="Y6" s="13"/>
      <c r="Z6" s="13"/>
      <c r="AA6" s="13"/>
      <c r="AB6" s="13"/>
      <c r="AC6" s="13"/>
      <c r="AD6" s="13"/>
      <c r="AE6" s="13"/>
    </row>
    <row r="7" spans="1:31" ht="18" x14ac:dyDescent="0.3">
      <c r="A7" s="13"/>
      <c r="B7" s="211" t="s">
        <v>416</v>
      </c>
      <c r="C7" s="316">
        <f>AVERAGEIF(C11:C1010,"&gt;0")</f>
        <v>2088.8986722119012</v>
      </c>
      <c r="D7" s="316">
        <f t="shared" ref="D7:E7" si="0">AVERAGEIF(D11:D1010,"&gt;0")</f>
        <v>3045.7629501415049</v>
      </c>
      <c r="E7" s="321">
        <f t="shared" si="0"/>
        <v>18.971866439912279</v>
      </c>
      <c r="F7" s="321">
        <f>AVERAGEIF(F11:F1010,"&gt;0")</f>
        <v>13.807997870690569</v>
      </c>
      <c r="G7" s="321">
        <f>AVERAGE(G11:G1010)</f>
        <v>-956.86427792960774</v>
      </c>
      <c r="H7" s="321">
        <f t="shared" ref="H7:I7" si="1">AVERAGE(H11:H1010)</f>
        <v>5.1638685692217123</v>
      </c>
      <c r="I7" s="321">
        <f t="shared" si="1"/>
        <v>-187.95585352423612</v>
      </c>
      <c r="K7" s="138" t="s">
        <v>234</v>
      </c>
      <c r="L7" s="138" t="s">
        <v>319</v>
      </c>
      <c r="M7" s="138" t="str">
        <f>K7</f>
        <v>Tomosynthesis</v>
      </c>
      <c r="N7" s="138" t="str">
        <f>L7</f>
        <v>Mammography</v>
      </c>
      <c r="Q7" s="101"/>
      <c r="T7" s="12"/>
      <c r="U7" s="13"/>
      <c r="V7" s="13"/>
      <c r="W7" s="13"/>
      <c r="X7" s="13"/>
      <c r="Y7" s="13"/>
      <c r="Z7" s="13"/>
      <c r="AA7" s="13"/>
      <c r="AB7" s="13"/>
      <c r="AC7" s="13"/>
      <c r="AD7" s="13"/>
      <c r="AE7" s="13"/>
    </row>
    <row r="8" spans="1:31" ht="18" x14ac:dyDescent="0.3">
      <c r="A8" s="13"/>
      <c r="B8" s="211"/>
      <c r="C8" s="216"/>
      <c r="D8" s="216"/>
      <c r="G8" s="216"/>
      <c r="K8" s="217">
        <f>AVERAGE(K11:K1010)</f>
        <v>1136223.0877225266</v>
      </c>
      <c r="L8" s="217">
        <f t="shared" ref="L8:N8" si="2">AVERAGE(L11:L1010)</f>
        <v>825434.10929129284</v>
      </c>
      <c r="M8" s="218">
        <f t="shared" si="2"/>
        <v>1</v>
      </c>
      <c r="N8" s="218">
        <f t="shared" si="2"/>
        <v>0</v>
      </c>
      <c r="Q8" s="101"/>
      <c r="R8" s="219"/>
      <c r="S8" s="220"/>
      <c r="T8" s="12"/>
      <c r="U8" s="13"/>
      <c r="V8" s="13"/>
      <c r="W8" s="13"/>
      <c r="X8" s="13"/>
      <c r="Y8" s="13"/>
      <c r="Z8" s="13"/>
      <c r="AA8" s="13"/>
      <c r="AB8" s="13"/>
      <c r="AC8" s="13"/>
      <c r="AD8" s="13"/>
      <c r="AE8" s="13"/>
    </row>
    <row r="9" spans="1:31" ht="18" x14ac:dyDescent="0.3">
      <c r="A9" s="13"/>
      <c r="B9" s="211"/>
      <c r="C9" s="216"/>
      <c r="D9" s="216"/>
      <c r="F9" s="6"/>
      <c r="G9" s="6"/>
      <c r="H9" s="6"/>
      <c r="I9" s="6"/>
      <c r="J9" s="6"/>
      <c r="K9" s="221"/>
      <c r="L9" s="221"/>
      <c r="M9" s="221"/>
      <c r="N9" s="221"/>
      <c r="O9" s="6"/>
      <c r="P9" s="6"/>
      <c r="Q9" s="6"/>
      <c r="R9" s="221"/>
      <c r="S9" s="222"/>
      <c r="T9" s="12"/>
      <c r="U9" s="13"/>
      <c r="V9" s="13"/>
      <c r="W9" s="13"/>
      <c r="X9" s="13"/>
      <c r="Y9" s="13"/>
      <c r="Z9" s="13"/>
      <c r="AA9" s="13"/>
      <c r="AB9" s="13"/>
      <c r="AC9" s="13"/>
      <c r="AD9" s="13"/>
      <c r="AE9" s="13"/>
    </row>
    <row r="10" spans="1:31" ht="18" x14ac:dyDescent="0.3">
      <c r="A10" s="13"/>
      <c r="B10" s="206" t="s">
        <v>415</v>
      </c>
      <c r="C10" s="10"/>
      <c r="D10" s="10"/>
      <c r="E10" s="10"/>
      <c r="K10" s="101"/>
      <c r="L10" s="101"/>
      <c r="M10" s="101"/>
      <c r="N10" s="101"/>
      <c r="R10" s="108" t="str">
        <f>M7</f>
        <v>Tomosynthesis</v>
      </c>
      <c r="S10" s="108" t="str">
        <f>N7</f>
        <v>Mammography</v>
      </c>
      <c r="T10" s="12"/>
      <c r="U10" s="13"/>
      <c r="V10" s="13"/>
      <c r="W10" s="13"/>
      <c r="X10" s="13"/>
      <c r="Y10" s="13"/>
      <c r="Z10" s="13"/>
      <c r="AA10" s="13"/>
      <c r="AB10" s="13"/>
      <c r="AC10" s="13"/>
      <c r="AD10" s="13"/>
      <c r="AE10" s="13"/>
    </row>
    <row r="11" spans="1:31" ht="18" x14ac:dyDescent="0.3">
      <c r="A11" s="13"/>
      <c r="B11" s="108">
        <v>1</v>
      </c>
      <c r="C11" s="297">
        <v>2133.1563896700418</v>
      </c>
      <c r="D11" s="297">
        <v>2949.7762067011145</v>
      </c>
      <c r="E11" s="297">
        <v>21.268223159332294</v>
      </c>
      <c r="F11" s="297">
        <v>15.270186199111029</v>
      </c>
      <c r="G11" s="322">
        <v>-816.61981703107267</v>
      </c>
      <c r="H11" s="322">
        <v>5.9980369602212651</v>
      </c>
      <c r="I11" s="322">
        <v>-136.14784677834794</v>
      </c>
      <c r="K11" s="223">
        <f>E11*$N$4-C11</f>
        <v>1273960.2331702677</v>
      </c>
      <c r="L11" s="223">
        <f>F11*$N$4-D11</f>
        <v>913261.39573996072</v>
      </c>
      <c r="M11" s="114">
        <f>IF(MAX(K11:L11)=K11,1,0)</f>
        <v>1</v>
      </c>
      <c r="N11" s="114">
        <f>IF(MAX(K11:L11)=L11,1,0)</f>
        <v>0</v>
      </c>
      <c r="Q11" s="320">
        <v>0</v>
      </c>
      <c r="R11" s="101">
        <v>1</v>
      </c>
      <c r="S11" s="101">
        <v>0</v>
      </c>
      <c r="T11" s="12"/>
      <c r="U11" s="13"/>
      <c r="V11" s="13"/>
      <c r="W11" s="13"/>
      <c r="X11" s="13"/>
      <c r="Y11" s="13"/>
      <c r="Z11" s="13"/>
      <c r="AA11" s="13"/>
      <c r="AB11" s="13"/>
      <c r="AC11" s="13"/>
      <c r="AD11" s="13"/>
      <c r="AE11" s="13"/>
    </row>
    <row r="12" spans="1:31" ht="18" x14ac:dyDescent="0.3">
      <c r="A12" s="13"/>
      <c r="B12" s="108">
        <v>2</v>
      </c>
      <c r="C12" s="297">
        <v>1952.7479124378458</v>
      </c>
      <c r="D12" s="297">
        <v>3249.810425290455</v>
      </c>
      <c r="E12" s="297">
        <v>18.656335207563089</v>
      </c>
      <c r="F12" s="297">
        <v>13.985394984736114</v>
      </c>
      <c r="G12" s="322">
        <v>-1297.0625128526092</v>
      </c>
      <c r="H12" s="322">
        <v>4.6709402228269745</v>
      </c>
      <c r="I12" s="322">
        <v>-277.68767121314028</v>
      </c>
      <c r="K12" s="223">
        <f t="shared" ref="K12:L75" si="3">E12*$N$4-C12</f>
        <v>1117427.3645413474</v>
      </c>
      <c r="L12" s="223">
        <f t="shared" si="3"/>
        <v>835873.88865887641</v>
      </c>
      <c r="M12" s="114">
        <f t="shared" ref="M12:M75" si="4">IF(MAX(K12:L12)=K12,1,0)</f>
        <v>1</v>
      </c>
      <c r="N12" s="114">
        <f t="shared" ref="N12:N75" si="5">IF(MAX(K12:L12)=L12,1,0)</f>
        <v>0</v>
      </c>
      <c r="Q12" s="320">
        <f>Q11+100</f>
        <v>100</v>
      </c>
      <c r="R12" s="101">
        <v>1</v>
      </c>
      <c r="S12" s="101">
        <v>0</v>
      </c>
      <c r="T12" s="12"/>
      <c r="U12" s="13"/>
      <c r="V12" s="13"/>
      <c r="W12" s="13"/>
      <c r="X12" s="13"/>
      <c r="Y12" s="13"/>
      <c r="Z12" s="13"/>
      <c r="AA12" s="13"/>
      <c r="AB12" s="13"/>
      <c r="AC12" s="13"/>
      <c r="AD12" s="13"/>
      <c r="AE12" s="13"/>
    </row>
    <row r="13" spans="1:31" ht="18" x14ac:dyDescent="0.3">
      <c r="A13" s="13"/>
      <c r="B13" s="108">
        <v>3</v>
      </c>
      <c r="C13" s="297">
        <v>2022.1302831952189</v>
      </c>
      <c r="D13" s="297">
        <v>2954.0418796590684</v>
      </c>
      <c r="E13" s="297">
        <v>19.837993501370445</v>
      </c>
      <c r="F13" s="297">
        <v>14.109993715845013</v>
      </c>
      <c r="G13" s="322">
        <v>-931.91159646384949</v>
      </c>
      <c r="H13" s="322">
        <v>5.7279997855254319</v>
      </c>
      <c r="I13" s="322">
        <v>-162.69406972024962</v>
      </c>
      <c r="K13" s="223">
        <f t="shared" si="3"/>
        <v>1188257.4797990313</v>
      </c>
      <c r="L13" s="223">
        <f t="shared" si="3"/>
        <v>843645.58107104176</v>
      </c>
      <c r="M13" s="114">
        <f t="shared" si="4"/>
        <v>1</v>
      </c>
      <c r="N13" s="114">
        <f t="shared" si="5"/>
        <v>0</v>
      </c>
      <c r="Q13" s="320">
        <f t="shared" ref="Q13:Q76" si="6">Q12+100</f>
        <v>200</v>
      </c>
      <c r="R13" s="101">
        <v>1</v>
      </c>
      <c r="S13" s="101">
        <v>0</v>
      </c>
      <c r="T13" s="12"/>
      <c r="U13" s="13"/>
      <c r="V13" s="13"/>
      <c r="W13" s="13"/>
      <c r="X13" s="13"/>
      <c r="Y13" s="13"/>
      <c r="Z13" s="13"/>
      <c r="AA13" s="13"/>
      <c r="AB13" s="13"/>
      <c r="AC13" s="13"/>
      <c r="AD13" s="13"/>
      <c r="AE13" s="13"/>
    </row>
    <row r="14" spans="1:31" ht="18" x14ac:dyDescent="0.3">
      <c r="A14" s="13"/>
      <c r="B14" s="108">
        <v>4</v>
      </c>
      <c r="C14" s="297">
        <v>1730.4529038927801</v>
      </c>
      <c r="D14" s="297">
        <v>2928.817286847669</v>
      </c>
      <c r="E14" s="297">
        <v>18.940384550482648</v>
      </c>
      <c r="F14" s="297">
        <v>13.328443773099037</v>
      </c>
      <c r="G14" s="322">
        <v>-1198.3643829548889</v>
      </c>
      <c r="H14" s="322">
        <v>5.6119407773836105</v>
      </c>
      <c r="I14" s="322">
        <v>-213.53831597517112</v>
      </c>
      <c r="K14" s="223">
        <f t="shared" si="3"/>
        <v>1134692.620125066</v>
      </c>
      <c r="L14" s="223">
        <f t="shared" si="3"/>
        <v>796777.80909909459</v>
      </c>
      <c r="M14" s="114">
        <f t="shared" si="4"/>
        <v>1</v>
      </c>
      <c r="N14" s="114">
        <f t="shared" si="5"/>
        <v>0</v>
      </c>
      <c r="Q14" s="320">
        <f t="shared" si="6"/>
        <v>300</v>
      </c>
      <c r="R14" s="101">
        <v>1</v>
      </c>
      <c r="S14" s="101">
        <v>0</v>
      </c>
      <c r="T14" s="12"/>
      <c r="U14" s="13"/>
      <c r="V14" s="13"/>
      <c r="W14" s="13"/>
      <c r="X14" s="13"/>
      <c r="Y14" s="13"/>
      <c r="Z14" s="13"/>
      <c r="AA14" s="13"/>
      <c r="AB14" s="13"/>
      <c r="AC14" s="13"/>
      <c r="AD14" s="13"/>
      <c r="AE14" s="13"/>
    </row>
    <row r="15" spans="1:31" ht="18" x14ac:dyDescent="0.3">
      <c r="A15" s="13"/>
      <c r="B15" s="108">
        <v>5</v>
      </c>
      <c r="C15" s="297">
        <v>2094.6450891702289</v>
      </c>
      <c r="D15" s="297">
        <v>3075.118269550509</v>
      </c>
      <c r="E15" s="297">
        <v>19.42157787355659</v>
      </c>
      <c r="F15" s="297">
        <v>14.075816714109388</v>
      </c>
      <c r="G15" s="322">
        <v>-980.47318038028016</v>
      </c>
      <c r="H15" s="322">
        <v>5.3457611594472016</v>
      </c>
      <c r="I15" s="322">
        <v>-183.41133304235942</v>
      </c>
      <c r="K15" s="223">
        <f t="shared" si="3"/>
        <v>1163200.0273242253</v>
      </c>
      <c r="L15" s="223">
        <f t="shared" si="3"/>
        <v>841473.88457701274</v>
      </c>
      <c r="M15" s="114">
        <f t="shared" si="4"/>
        <v>1</v>
      </c>
      <c r="N15" s="114">
        <f t="shared" si="5"/>
        <v>0</v>
      </c>
      <c r="Q15" s="320">
        <f t="shared" si="6"/>
        <v>400</v>
      </c>
      <c r="R15" s="101">
        <v>1</v>
      </c>
      <c r="S15" s="101">
        <v>0</v>
      </c>
      <c r="T15" s="12"/>
      <c r="U15" s="13"/>
      <c r="V15" s="13"/>
      <c r="W15" s="13"/>
      <c r="X15" s="13"/>
      <c r="Y15" s="13"/>
      <c r="Z15" s="13"/>
      <c r="AA15" s="13"/>
      <c r="AB15" s="13"/>
      <c r="AC15" s="13"/>
      <c r="AD15" s="13"/>
      <c r="AE15" s="13"/>
    </row>
    <row r="16" spans="1:31" ht="18" x14ac:dyDescent="0.3">
      <c r="A16" s="13"/>
      <c r="B16" s="108">
        <v>6</v>
      </c>
      <c r="C16" s="297">
        <v>2156.4702818681035</v>
      </c>
      <c r="D16" s="297">
        <v>3165.0561843913483</v>
      </c>
      <c r="E16" s="297">
        <v>19.122460093830242</v>
      </c>
      <c r="F16" s="297">
        <v>13.624363145566738</v>
      </c>
      <c r="G16" s="322">
        <v>-1008.5859025232448</v>
      </c>
      <c r="H16" s="322">
        <v>5.4980969482635036</v>
      </c>
      <c r="I16" s="322">
        <v>-183.44272791366339</v>
      </c>
      <c r="K16" s="223">
        <f t="shared" si="3"/>
        <v>1145191.1353479465</v>
      </c>
      <c r="L16" s="223">
        <f t="shared" si="3"/>
        <v>814296.73254961288</v>
      </c>
      <c r="M16" s="114">
        <f t="shared" si="4"/>
        <v>1</v>
      </c>
      <c r="N16" s="114">
        <f t="shared" si="5"/>
        <v>0</v>
      </c>
      <c r="Q16" s="320">
        <f t="shared" si="6"/>
        <v>500</v>
      </c>
      <c r="R16" s="101">
        <v>1</v>
      </c>
      <c r="S16" s="101">
        <v>0</v>
      </c>
      <c r="T16" s="12"/>
      <c r="U16" s="13"/>
      <c r="V16" s="13"/>
      <c r="W16" s="13"/>
      <c r="X16" s="13"/>
      <c r="Y16" s="13"/>
      <c r="Z16" s="13"/>
      <c r="AA16" s="13"/>
      <c r="AB16" s="13"/>
      <c r="AC16" s="13"/>
      <c r="AD16" s="13"/>
      <c r="AE16" s="13"/>
    </row>
    <row r="17" spans="1:31" ht="18" x14ac:dyDescent="0.3">
      <c r="A17" s="13"/>
      <c r="B17" s="108">
        <v>7</v>
      </c>
      <c r="C17" s="297">
        <v>2147.5503455765834</v>
      </c>
      <c r="D17" s="297">
        <v>3158.3971843698164</v>
      </c>
      <c r="E17" s="297">
        <v>19.504276551648125</v>
      </c>
      <c r="F17" s="297">
        <v>14.168190091752194</v>
      </c>
      <c r="G17" s="322">
        <v>-1010.846838793233</v>
      </c>
      <c r="H17" s="322">
        <v>5.336086459895931</v>
      </c>
      <c r="I17" s="322">
        <v>-189.43599328653821</v>
      </c>
      <c r="K17" s="223">
        <f t="shared" si="3"/>
        <v>1168109.0427533109</v>
      </c>
      <c r="L17" s="223">
        <f t="shared" si="3"/>
        <v>846933.00832076184</v>
      </c>
      <c r="M17" s="114">
        <f t="shared" si="4"/>
        <v>1</v>
      </c>
      <c r="N17" s="114">
        <f t="shared" si="5"/>
        <v>0</v>
      </c>
      <c r="Q17" s="320">
        <f t="shared" si="6"/>
        <v>600</v>
      </c>
      <c r="R17" s="101">
        <v>1</v>
      </c>
      <c r="S17" s="101">
        <v>0</v>
      </c>
      <c r="T17" s="12"/>
      <c r="U17" s="13"/>
      <c r="V17" s="13"/>
      <c r="W17" s="13"/>
      <c r="X17" s="13"/>
      <c r="Y17" s="13"/>
      <c r="Z17" s="13"/>
      <c r="AA17" s="13"/>
      <c r="AB17" s="13"/>
      <c r="AC17" s="13"/>
      <c r="AD17" s="13"/>
      <c r="AE17" s="13"/>
    </row>
    <row r="18" spans="1:31" ht="18" x14ac:dyDescent="0.3">
      <c r="A18" s="13"/>
      <c r="B18" s="108">
        <v>8</v>
      </c>
      <c r="C18" s="297">
        <v>2162.6839246509485</v>
      </c>
      <c r="D18" s="297">
        <v>3334.1951993451094</v>
      </c>
      <c r="E18" s="297">
        <v>17.739046136836443</v>
      </c>
      <c r="F18" s="297">
        <v>13.346186582174559</v>
      </c>
      <c r="G18" s="322">
        <v>-1171.5112746941609</v>
      </c>
      <c r="H18" s="322">
        <v>4.392859554661884</v>
      </c>
      <c r="I18" s="322">
        <v>-266.68534700839791</v>
      </c>
      <c r="K18" s="223">
        <f t="shared" si="3"/>
        <v>1062180.0842855356</v>
      </c>
      <c r="L18" s="223">
        <f t="shared" si="3"/>
        <v>797436.99973112845</v>
      </c>
      <c r="M18" s="114">
        <f t="shared" si="4"/>
        <v>1</v>
      </c>
      <c r="N18" s="114">
        <f t="shared" si="5"/>
        <v>0</v>
      </c>
      <c r="Q18" s="320">
        <f t="shared" si="6"/>
        <v>700</v>
      </c>
      <c r="R18" s="101">
        <v>1</v>
      </c>
      <c r="S18" s="101">
        <v>0</v>
      </c>
      <c r="T18" s="12"/>
      <c r="U18" s="13"/>
      <c r="V18" s="13"/>
      <c r="W18" s="13"/>
      <c r="X18" s="13"/>
      <c r="Y18" s="13"/>
      <c r="Z18" s="13"/>
      <c r="AA18" s="13"/>
      <c r="AB18" s="13"/>
      <c r="AC18" s="13"/>
      <c r="AD18" s="13"/>
      <c r="AE18" s="13"/>
    </row>
    <row r="19" spans="1:31" ht="18" x14ac:dyDescent="0.3">
      <c r="A19" s="13"/>
      <c r="B19" s="108">
        <v>9</v>
      </c>
      <c r="C19" s="297">
        <v>2345.5921592262275</v>
      </c>
      <c r="D19" s="297">
        <v>3850.1216689704424</v>
      </c>
      <c r="E19" s="297">
        <v>19.894060802314872</v>
      </c>
      <c r="F19" s="297">
        <v>13.969819260019767</v>
      </c>
      <c r="G19" s="322">
        <v>-1504.5295097442149</v>
      </c>
      <c r="H19" s="322">
        <v>5.9242415422951051</v>
      </c>
      <c r="I19" s="322">
        <v>-253.96154073105981</v>
      </c>
      <c r="K19" s="223">
        <f t="shared" si="3"/>
        <v>1191298.0559796661</v>
      </c>
      <c r="L19" s="223">
        <f t="shared" si="3"/>
        <v>834339.03393221553</v>
      </c>
      <c r="M19" s="114">
        <f t="shared" si="4"/>
        <v>1</v>
      </c>
      <c r="N19" s="114">
        <f t="shared" si="5"/>
        <v>0</v>
      </c>
      <c r="Q19" s="320">
        <f t="shared" si="6"/>
        <v>800</v>
      </c>
      <c r="R19" s="101">
        <v>1</v>
      </c>
      <c r="S19" s="101">
        <v>0</v>
      </c>
      <c r="T19" s="12"/>
      <c r="U19" s="13"/>
      <c r="V19" s="13"/>
      <c r="W19" s="13"/>
      <c r="X19" s="13"/>
      <c r="Y19" s="13"/>
      <c r="Z19" s="13"/>
      <c r="AA19" s="13"/>
      <c r="AB19" s="13"/>
      <c r="AC19" s="13"/>
      <c r="AD19" s="13"/>
      <c r="AE19" s="13"/>
    </row>
    <row r="20" spans="1:31" ht="18" x14ac:dyDescent="0.3">
      <c r="A20" s="13"/>
      <c r="B20" s="108">
        <v>10</v>
      </c>
      <c r="C20" s="297">
        <v>2023.3115546471261</v>
      </c>
      <c r="D20" s="297">
        <v>2857.1891879579407</v>
      </c>
      <c r="E20" s="297">
        <v>20.173765945753324</v>
      </c>
      <c r="F20" s="297">
        <v>15.294073505870363</v>
      </c>
      <c r="G20" s="322">
        <v>-833.87763331081464</v>
      </c>
      <c r="H20" s="322">
        <v>4.8796924398829606</v>
      </c>
      <c r="I20" s="322">
        <v>-170.88733431134344</v>
      </c>
      <c r="K20" s="223">
        <f t="shared" si="3"/>
        <v>1208402.6451905523</v>
      </c>
      <c r="L20" s="223">
        <f t="shared" si="3"/>
        <v>914787.2211642639</v>
      </c>
      <c r="M20" s="114">
        <f t="shared" si="4"/>
        <v>1</v>
      </c>
      <c r="N20" s="114">
        <f t="shared" si="5"/>
        <v>0</v>
      </c>
      <c r="Q20" s="320">
        <f t="shared" si="6"/>
        <v>900</v>
      </c>
      <c r="R20" s="101">
        <v>1</v>
      </c>
      <c r="S20" s="101">
        <v>0</v>
      </c>
      <c r="T20" s="12"/>
      <c r="U20" s="13"/>
      <c r="V20" s="13"/>
      <c r="W20" s="13"/>
      <c r="X20" s="13"/>
      <c r="Y20" s="13"/>
      <c r="Z20" s="13"/>
      <c r="AA20" s="13"/>
      <c r="AB20" s="13"/>
      <c r="AC20" s="13"/>
      <c r="AD20" s="13"/>
      <c r="AE20" s="13"/>
    </row>
    <row r="21" spans="1:31" ht="18" x14ac:dyDescent="0.3">
      <c r="A21" s="13"/>
      <c r="B21" s="108">
        <v>11</v>
      </c>
      <c r="C21" s="297">
        <v>2322.3001631114803</v>
      </c>
      <c r="D21" s="297">
        <v>2764.1092378696176</v>
      </c>
      <c r="E21" s="297">
        <v>20.09167582412115</v>
      </c>
      <c r="F21" s="297">
        <v>14.228442078778688</v>
      </c>
      <c r="G21" s="322">
        <v>-441.80907475813729</v>
      </c>
      <c r="H21" s="322">
        <v>5.8632337453424626</v>
      </c>
      <c r="I21" s="322">
        <v>-75.352458037187105</v>
      </c>
      <c r="K21" s="223">
        <f t="shared" si="3"/>
        <v>1203178.2492841575</v>
      </c>
      <c r="L21" s="223">
        <f t="shared" si="3"/>
        <v>850942.41548885161</v>
      </c>
      <c r="M21" s="114">
        <f t="shared" si="4"/>
        <v>1</v>
      </c>
      <c r="N21" s="114">
        <f t="shared" si="5"/>
        <v>0</v>
      </c>
      <c r="Q21" s="320">
        <f t="shared" si="6"/>
        <v>1000</v>
      </c>
      <c r="R21" s="101">
        <v>1</v>
      </c>
      <c r="S21" s="101">
        <v>0</v>
      </c>
      <c r="T21" s="12"/>
      <c r="U21" s="13"/>
      <c r="V21" s="13"/>
      <c r="W21" s="13"/>
      <c r="X21" s="13"/>
      <c r="Y21" s="13"/>
      <c r="Z21" s="13"/>
      <c r="AA21" s="13"/>
      <c r="AB21" s="13"/>
      <c r="AC21" s="13"/>
      <c r="AD21" s="13"/>
      <c r="AE21" s="13"/>
    </row>
    <row r="22" spans="1:31" ht="18" x14ac:dyDescent="0.3">
      <c r="A22" s="13"/>
      <c r="B22" s="108">
        <v>12</v>
      </c>
      <c r="C22" s="297">
        <v>1816.643387323079</v>
      </c>
      <c r="D22" s="297">
        <v>2937.5511468291088</v>
      </c>
      <c r="E22" s="297">
        <v>14.601918820110306</v>
      </c>
      <c r="F22" s="297">
        <v>9.7858744639723305</v>
      </c>
      <c r="G22" s="322">
        <v>-1120.9077595060298</v>
      </c>
      <c r="H22" s="322">
        <v>4.8160443561379758</v>
      </c>
      <c r="I22" s="322">
        <v>-232.74448419011131</v>
      </c>
      <c r="K22" s="223">
        <f t="shared" si="3"/>
        <v>874298.48581929528</v>
      </c>
      <c r="L22" s="223">
        <f t="shared" si="3"/>
        <v>584214.91669151071</v>
      </c>
      <c r="M22" s="114">
        <f t="shared" si="4"/>
        <v>1</v>
      </c>
      <c r="N22" s="114">
        <f t="shared" si="5"/>
        <v>0</v>
      </c>
      <c r="Q22" s="320">
        <f t="shared" si="6"/>
        <v>1100</v>
      </c>
      <c r="R22" s="101">
        <v>1</v>
      </c>
      <c r="S22" s="101">
        <v>0</v>
      </c>
      <c r="T22" s="12"/>
      <c r="U22" s="13"/>
      <c r="V22" s="13"/>
      <c r="W22" s="13"/>
      <c r="X22" s="13"/>
      <c r="Y22" s="13"/>
      <c r="Z22" s="13"/>
      <c r="AA22" s="13"/>
      <c r="AB22" s="13"/>
      <c r="AC22" s="13"/>
      <c r="AD22" s="13"/>
      <c r="AE22" s="13"/>
    </row>
    <row r="23" spans="1:31" ht="18" x14ac:dyDescent="0.3">
      <c r="A23" s="13"/>
      <c r="B23" s="108">
        <v>13</v>
      </c>
      <c r="C23" s="297">
        <v>2049.2830684532482</v>
      </c>
      <c r="D23" s="297">
        <v>3076.7279795697818</v>
      </c>
      <c r="E23" s="297">
        <v>20.223626837888695</v>
      </c>
      <c r="F23" s="297">
        <v>15.246645195318584</v>
      </c>
      <c r="G23" s="322">
        <v>-1027.4449111165336</v>
      </c>
      <c r="H23" s="322">
        <v>4.9769816425701112</v>
      </c>
      <c r="I23" s="322">
        <v>-206.43936122415784</v>
      </c>
      <c r="K23" s="223">
        <f t="shared" si="3"/>
        <v>1211368.3272048684</v>
      </c>
      <c r="L23" s="223">
        <f t="shared" si="3"/>
        <v>911721.98373954522</v>
      </c>
      <c r="M23" s="114">
        <f t="shared" si="4"/>
        <v>1</v>
      </c>
      <c r="N23" s="114">
        <f t="shared" si="5"/>
        <v>0</v>
      </c>
      <c r="Q23" s="320">
        <f t="shared" si="6"/>
        <v>1200</v>
      </c>
      <c r="R23" s="101">
        <v>1</v>
      </c>
      <c r="S23" s="101">
        <v>0</v>
      </c>
      <c r="T23" s="12"/>
      <c r="U23" s="13"/>
      <c r="V23" s="13"/>
      <c r="W23" s="13"/>
      <c r="X23" s="13"/>
      <c r="Y23" s="13"/>
      <c r="Z23" s="13"/>
      <c r="AA23" s="13"/>
      <c r="AB23" s="13"/>
      <c r="AC23" s="13"/>
      <c r="AD23" s="13"/>
      <c r="AE23" s="13"/>
    </row>
    <row r="24" spans="1:31" ht="18" x14ac:dyDescent="0.3">
      <c r="A24" s="13"/>
      <c r="B24" s="108">
        <v>14</v>
      </c>
      <c r="C24" s="297">
        <v>2166.1015165215226</v>
      </c>
      <c r="D24" s="297">
        <v>3456.4929111573078</v>
      </c>
      <c r="E24" s="297">
        <v>18.637826444199742</v>
      </c>
      <c r="F24" s="297">
        <v>13.755663827965572</v>
      </c>
      <c r="G24" s="322">
        <v>-1290.3913946357852</v>
      </c>
      <c r="H24" s="322">
        <v>4.8821626162341705</v>
      </c>
      <c r="I24" s="322">
        <v>-264.30733592219457</v>
      </c>
      <c r="K24" s="223">
        <f t="shared" si="3"/>
        <v>1116103.4851354631</v>
      </c>
      <c r="L24" s="223">
        <f t="shared" si="3"/>
        <v>821883.33676677698</v>
      </c>
      <c r="M24" s="114">
        <f t="shared" si="4"/>
        <v>1</v>
      </c>
      <c r="N24" s="114">
        <f t="shared" si="5"/>
        <v>0</v>
      </c>
      <c r="Q24" s="320">
        <f t="shared" si="6"/>
        <v>1300</v>
      </c>
      <c r="R24" s="101">
        <v>1</v>
      </c>
      <c r="S24" s="101">
        <v>0</v>
      </c>
      <c r="T24" s="12"/>
      <c r="U24" s="13"/>
      <c r="V24" s="13"/>
      <c r="W24" s="13"/>
      <c r="X24" s="13"/>
      <c r="Y24" s="13"/>
      <c r="Z24" s="13"/>
      <c r="AA24" s="13"/>
      <c r="AB24" s="13"/>
      <c r="AC24" s="13"/>
      <c r="AD24" s="13"/>
      <c r="AE24" s="13"/>
    </row>
    <row r="25" spans="1:31" ht="18" x14ac:dyDescent="0.3">
      <c r="A25" s="13"/>
      <c r="B25" s="108">
        <v>15</v>
      </c>
      <c r="C25" s="297">
        <v>1989.2395874928575</v>
      </c>
      <c r="D25" s="297">
        <v>2490.4674204357116</v>
      </c>
      <c r="E25" s="297">
        <v>20.801434450084457</v>
      </c>
      <c r="F25" s="297">
        <v>15.519673581406783</v>
      </c>
      <c r="G25" s="322">
        <v>-501.22783294285409</v>
      </c>
      <c r="H25" s="322">
        <v>5.281760868677674</v>
      </c>
      <c r="I25" s="322">
        <v>-94.897865580260543</v>
      </c>
      <c r="K25" s="223">
        <f t="shared" si="3"/>
        <v>1246096.8274175746</v>
      </c>
      <c r="L25" s="223">
        <f t="shared" si="3"/>
        <v>928689.94746397121</v>
      </c>
      <c r="M25" s="114">
        <f t="shared" si="4"/>
        <v>1</v>
      </c>
      <c r="N25" s="114">
        <f t="shared" si="5"/>
        <v>0</v>
      </c>
      <c r="Q25" s="320">
        <f t="shared" si="6"/>
        <v>1400</v>
      </c>
      <c r="R25" s="101">
        <v>1</v>
      </c>
      <c r="S25" s="101">
        <v>0</v>
      </c>
      <c r="T25" s="12"/>
      <c r="U25" s="13"/>
      <c r="V25" s="13"/>
      <c r="W25" s="13"/>
      <c r="X25" s="13"/>
      <c r="Y25" s="13"/>
      <c r="Z25" s="13"/>
      <c r="AA25" s="13"/>
      <c r="AB25" s="13"/>
      <c r="AC25" s="13"/>
      <c r="AD25" s="13"/>
      <c r="AE25" s="13"/>
    </row>
    <row r="26" spans="1:31" ht="18" x14ac:dyDescent="0.3">
      <c r="A26" s="13"/>
      <c r="B26" s="108">
        <v>16</v>
      </c>
      <c r="C26" s="297">
        <v>2145.47047894148</v>
      </c>
      <c r="D26" s="297">
        <v>3173.830184536348</v>
      </c>
      <c r="E26" s="297">
        <v>18.644130099704242</v>
      </c>
      <c r="F26" s="297">
        <v>14.752411193755945</v>
      </c>
      <c r="G26" s="322">
        <v>-1028.359705594868</v>
      </c>
      <c r="H26" s="322">
        <v>3.8917189059482968</v>
      </c>
      <c r="I26" s="322">
        <v>-264.24305825969907</v>
      </c>
      <c r="K26" s="223">
        <f t="shared" si="3"/>
        <v>1116502.335503313</v>
      </c>
      <c r="L26" s="223">
        <f t="shared" si="3"/>
        <v>881970.84144082025</v>
      </c>
      <c r="M26" s="114">
        <f t="shared" si="4"/>
        <v>1</v>
      </c>
      <c r="N26" s="114">
        <f t="shared" si="5"/>
        <v>0</v>
      </c>
      <c r="Q26" s="320">
        <f t="shared" si="6"/>
        <v>1500</v>
      </c>
      <c r="R26" s="101">
        <v>1</v>
      </c>
      <c r="S26" s="101">
        <v>0</v>
      </c>
      <c r="T26" s="12"/>
      <c r="U26" s="13"/>
      <c r="V26" s="13"/>
      <c r="W26" s="13"/>
      <c r="X26" s="13"/>
      <c r="Y26" s="13"/>
      <c r="Z26" s="13"/>
      <c r="AA26" s="13"/>
      <c r="AB26" s="13"/>
      <c r="AC26" s="13"/>
      <c r="AD26" s="13"/>
      <c r="AE26" s="13"/>
    </row>
    <row r="27" spans="1:31" ht="18" x14ac:dyDescent="0.3">
      <c r="A27" s="13"/>
      <c r="B27" s="108">
        <v>17</v>
      </c>
      <c r="C27" s="297">
        <v>1704.4710615071913</v>
      </c>
      <c r="D27" s="297">
        <v>3105.3851149648167</v>
      </c>
      <c r="E27" s="297">
        <v>18.689168754102759</v>
      </c>
      <c r="F27" s="297">
        <v>13.815865401425103</v>
      </c>
      <c r="G27" s="322">
        <v>-1400.9140534576254</v>
      </c>
      <c r="H27" s="322">
        <v>4.8733033526776559</v>
      </c>
      <c r="I27" s="322">
        <v>-287.4670325392093</v>
      </c>
      <c r="K27" s="223">
        <f t="shared" si="3"/>
        <v>1119645.6541846583</v>
      </c>
      <c r="L27" s="223">
        <f t="shared" si="3"/>
        <v>825846.53897054144</v>
      </c>
      <c r="M27" s="114">
        <f t="shared" si="4"/>
        <v>1</v>
      </c>
      <c r="N27" s="114">
        <f t="shared" si="5"/>
        <v>0</v>
      </c>
      <c r="Q27" s="320">
        <f t="shared" si="6"/>
        <v>1600</v>
      </c>
      <c r="R27" s="101">
        <v>1</v>
      </c>
      <c r="S27" s="101">
        <v>0</v>
      </c>
      <c r="T27" s="12"/>
      <c r="U27" s="13"/>
      <c r="V27" s="13"/>
      <c r="W27" s="13"/>
      <c r="X27" s="13"/>
      <c r="Y27" s="13"/>
      <c r="Z27" s="13"/>
      <c r="AA27" s="13"/>
      <c r="AB27" s="13"/>
      <c r="AC27" s="13"/>
      <c r="AD27" s="13"/>
      <c r="AE27" s="13"/>
    </row>
    <row r="28" spans="1:31" ht="18" x14ac:dyDescent="0.3">
      <c r="A28" s="13"/>
      <c r="B28" s="108">
        <v>18</v>
      </c>
      <c r="C28" s="297">
        <v>2242.415109036539</v>
      </c>
      <c r="D28" s="297">
        <v>3110.5840853049476</v>
      </c>
      <c r="E28" s="297">
        <v>18.032170146757039</v>
      </c>
      <c r="F28" s="297">
        <v>13.570173538687131</v>
      </c>
      <c r="G28" s="322">
        <v>-868.16897626840864</v>
      </c>
      <c r="H28" s="322">
        <v>4.4619966080699083</v>
      </c>
      <c r="I28" s="322">
        <v>-194.56961816112761</v>
      </c>
      <c r="K28" s="223">
        <f t="shared" si="3"/>
        <v>1079687.7936963858</v>
      </c>
      <c r="L28" s="223">
        <f t="shared" si="3"/>
        <v>811099.82823592285</v>
      </c>
      <c r="M28" s="114">
        <f t="shared" si="4"/>
        <v>1</v>
      </c>
      <c r="N28" s="114">
        <f t="shared" si="5"/>
        <v>0</v>
      </c>
      <c r="Q28" s="320">
        <f t="shared" si="6"/>
        <v>1700</v>
      </c>
      <c r="R28" s="101">
        <v>1</v>
      </c>
      <c r="S28" s="101">
        <v>0</v>
      </c>
      <c r="T28" s="12"/>
      <c r="U28" s="13"/>
      <c r="V28" s="13"/>
      <c r="W28" s="13"/>
      <c r="X28" s="13"/>
      <c r="Y28" s="13"/>
      <c r="Z28" s="13"/>
      <c r="AA28" s="13"/>
      <c r="AB28" s="13"/>
      <c r="AC28" s="13"/>
      <c r="AD28" s="13"/>
      <c r="AE28" s="13"/>
    </row>
    <row r="29" spans="1:31" ht="18" x14ac:dyDescent="0.3">
      <c r="A29" s="13"/>
      <c r="B29" s="108">
        <v>19</v>
      </c>
      <c r="C29" s="297">
        <v>2346.8655146778901</v>
      </c>
      <c r="D29" s="297">
        <v>2964.7208063978728</v>
      </c>
      <c r="E29" s="297">
        <v>17.20089904529226</v>
      </c>
      <c r="F29" s="297">
        <v>12.049807136083572</v>
      </c>
      <c r="G29" s="322">
        <v>-617.85529171998269</v>
      </c>
      <c r="H29" s="322">
        <v>5.151091909208688</v>
      </c>
      <c r="I29" s="322">
        <v>-119.94647010965444</v>
      </c>
      <c r="K29" s="223">
        <f t="shared" si="3"/>
        <v>1029707.0772028578</v>
      </c>
      <c r="L29" s="223">
        <f t="shared" si="3"/>
        <v>720023.70735861652</v>
      </c>
      <c r="M29" s="114">
        <f t="shared" si="4"/>
        <v>1</v>
      </c>
      <c r="N29" s="114">
        <f t="shared" si="5"/>
        <v>0</v>
      </c>
      <c r="Q29" s="320">
        <f t="shared" si="6"/>
        <v>1800</v>
      </c>
      <c r="R29" s="101">
        <v>1</v>
      </c>
      <c r="S29" s="101">
        <v>0</v>
      </c>
      <c r="T29" s="12"/>
      <c r="U29" s="13"/>
      <c r="V29" s="13"/>
      <c r="W29" s="13"/>
      <c r="X29" s="13"/>
      <c r="Y29" s="13"/>
      <c r="Z29" s="13"/>
      <c r="AA29" s="13"/>
      <c r="AB29" s="13"/>
      <c r="AC29" s="13"/>
      <c r="AD29" s="13"/>
      <c r="AE29" s="13"/>
    </row>
    <row r="30" spans="1:31" ht="18" x14ac:dyDescent="0.3">
      <c r="A30" s="13"/>
      <c r="B30" s="108">
        <v>20</v>
      </c>
      <c r="C30" s="297">
        <v>2092.6008685062707</v>
      </c>
      <c r="D30" s="297">
        <v>3197.9181798328063</v>
      </c>
      <c r="E30" s="297">
        <v>21.011203100749107</v>
      </c>
      <c r="F30" s="297">
        <v>14.550082122266181</v>
      </c>
      <c r="G30" s="322">
        <v>-1105.3173113265357</v>
      </c>
      <c r="H30" s="322">
        <v>6.461120978482926</v>
      </c>
      <c r="I30" s="322">
        <v>-171.07206551425148</v>
      </c>
      <c r="K30" s="223">
        <f t="shared" si="3"/>
        <v>1258579.58517644</v>
      </c>
      <c r="L30" s="223">
        <f t="shared" si="3"/>
        <v>869807.00915613794</v>
      </c>
      <c r="M30" s="114">
        <f t="shared" si="4"/>
        <v>1</v>
      </c>
      <c r="N30" s="114">
        <f t="shared" si="5"/>
        <v>0</v>
      </c>
      <c r="Q30" s="320">
        <f t="shared" si="6"/>
        <v>1900</v>
      </c>
      <c r="R30" s="101">
        <v>1</v>
      </c>
      <c r="S30" s="101">
        <v>0</v>
      </c>
      <c r="T30" s="12"/>
      <c r="U30" s="13"/>
      <c r="V30" s="13"/>
      <c r="W30" s="13"/>
      <c r="X30" s="13"/>
      <c r="Y30" s="13"/>
      <c r="Z30" s="13"/>
      <c r="AA30" s="13"/>
      <c r="AB30" s="13"/>
      <c r="AC30" s="13"/>
      <c r="AD30" s="13"/>
      <c r="AE30" s="13"/>
    </row>
    <row r="31" spans="1:31" ht="21" x14ac:dyDescent="0.4">
      <c r="A31" s="210"/>
      <c r="B31" s="108">
        <v>21</v>
      </c>
      <c r="C31" s="297">
        <v>2157.1988610719418</v>
      </c>
      <c r="D31" s="297">
        <v>3548.9384731417404</v>
      </c>
      <c r="E31" s="297">
        <v>20.948786853789915</v>
      </c>
      <c r="F31" s="297">
        <v>14.515123154288867</v>
      </c>
      <c r="G31" s="322">
        <v>-1391.7396120697986</v>
      </c>
      <c r="H31" s="322">
        <v>6.4336636995010483</v>
      </c>
      <c r="I31" s="322">
        <v>-216.32147359174718</v>
      </c>
      <c r="K31" s="223">
        <f t="shared" si="3"/>
        <v>1254770.012366323</v>
      </c>
      <c r="L31" s="223">
        <f t="shared" si="3"/>
        <v>867358.45078419033</v>
      </c>
      <c r="M31" s="114">
        <f t="shared" si="4"/>
        <v>1</v>
      </c>
      <c r="N31" s="114">
        <f t="shared" si="5"/>
        <v>0</v>
      </c>
      <c r="Q31" s="320">
        <f t="shared" si="6"/>
        <v>2000</v>
      </c>
      <c r="R31" s="101">
        <v>1</v>
      </c>
      <c r="S31" s="101">
        <v>0</v>
      </c>
      <c r="T31" s="12"/>
      <c r="U31" s="210"/>
      <c r="V31" s="13"/>
      <c r="W31" s="13"/>
      <c r="X31" s="13"/>
      <c r="Y31" s="13"/>
      <c r="Z31" s="13"/>
      <c r="AA31" s="13"/>
      <c r="AB31" s="13"/>
      <c r="AC31" s="13"/>
      <c r="AD31" s="13"/>
      <c r="AE31" s="13"/>
    </row>
    <row r="32" spans="1:31" ht="21" x14ac:dyDescent="0.4">
      <c r="A32" s="210"/>
      <c r="B32" s="108">
        <v>22</v>
      </c>
      <c r="C32" s="297">
        <v>1951.8248588059546</v>
      </c>
      <c r="D32" s="297">
        <v>2719.1857761938677</v>
      </c>
      <c r="E32" s="297">
        <v>16.956683302530557</v>
      </c>
      <c r="F32" s="297">
        <v>12.391517604456137</v>
      </c>
      <c r="G32" s="322">
        <v>-767.3609173879131</v>
      </c>
      <c r="H32" s="322">
        <v>4.56516569807442</v>
      </c>
      <c r="I32" s="322">
        <v>-168.09048523947001</v>
      </c>
      <c r="K32" s="223">
        <f t="shared" si="3"/>
        <v>1015449.1732930274</v>
      </c>
      <c r="L32" s="223">
        <f t="shared" si="3"/>
        <v>740771.8704911744</v>
      </c>
      <c r="M32" s="114">
        <f t="shared" si="4"/>
        <v>1</v>
      </c>
      <c r="N32" s="114">
        <f t="shared" si="5"/>
        <v>0</v>
      </c>
      <c r="Q32" s="320">
        <f t="shared" si="6"/>
        <v>2100</v>
      </c>
      <c r="R32" s="101">
        <v>1</v>
      </c>
      <c r="S32" s="101">
        <v>0</v>
      </c>
      <c r="T32" s="12"/>
      <c r="U32" s="210"/>
      <c r="V32" s="13"/>
      <c r="W32" s="13"/>
      <c r="X32" s="13"/>
      <c r="Y32" s="13"/>
      <c r="Z32" s="13"/>
      <c r="AA32" s="13"/>
      <c r="AB32" s="13"/>
      <c r="AC32" s="13"/>
      <c r="AD32" s="13"/>
      <c r="AE32" s="13"/>
    </row>
    <row r="33" spans="1:31" ht="21" x14ac:dyDescent="0.4">
      <c r="A33" s="210"/>
      <c r="B33" s="108">
        <v>23</v>
      </c>
      <c r="C33" s="297">
        <v>2218.1026977437341</v>
      </c>
      <c r="D33" s="297">
        <v>3530.7682248591354</v>
      </c>
      <c r="E33" s="297">
        <v>18.474466217767567</v>
      </c>
      <c r="F33" s="297">
        <v>12.800874478906957</v>
      </c>
      <c r="G33" s="322">
        <v>-1312.6655271154013</v>
      </c>
      <c r="H33" s="322">
        <v>5.6735917388606101</v>
      </c>
      <c r="I33" s="322">
        <v>-231.36411422141123</v>
      </c>
      <c r="K33" s="223">
        <f t="shared" si="3"/>
        <v>1106249.8703683103</v>
      </c>
      <c r="L33" s="223">
        <f t="shared" si="3"/>
        <v>764521.70050955832</v>
      </c>
      <c r="M33" s="114">
        <f t="shared" si="4"/>
        <v>1</v>
      </c>
      <c r="N33" s="114">
        <f t="shared" si="5"/>
        <v>0</v>
      </c>
      <c r="Q33" s="320">
        <f t="shared" si="6"/>
        <v>2200</v>
      </c>
      <c r="R33" s="101">
        <v>1</v>
      </c>
      <c r="S33" s="101">
        <v>0</v>
      </c>
      <c r="T33" s="12"/>
      <c r="U33" s="210"/>
      <c r="V33" s="13"/>
      <c r="W33" s="13"/>
      <c r="X33" s="13"/>
      <c r="Y33" s="13"/>
      <c r="Z33" s="13"/>
      <c r="AA33" s="13"/>
      <c r="AB33" s="13"/>
      <c r="AC33" s="13"/>
      <c r="AD33" s="13"/>
      <c r="AE33" s="13"/>
    </row>
    <row r="34" spans="1:31" ht="21" x14ac:dyDescent="0.4">
      <c r="A34" s="210"/>
      <c r="B34" s="108">
        <v>24</v>
      </c>
      <c r="C34" s="297">
        <v>2289.3879410854051</v>
      </c>
      <c r="D34" s="297">
        <v>3022.0911951293997</v>
      </c>
      <c r="E34" s="297">
        <v>19.56631788384755</v>
      </c>
      <c r="F34" s="297">
        <v>14.018487386218574</v>
      </c>
      <c r="G34" s="322">
        <v>-732.70325404399455</v>
      </c>
      <c r="H34" s="322">
        <v>5.5478304976289756</v>
      </c>
      <c r="I34" s="322">
        <v>-132.0702307608598</v>
      </c>
      <c r="K34" s="223">
        <f t="shared" si="3"/>
        <v>1171689.6850897674</v>
      </c>
      <c r="L34" s="223">
        <f t="shared" si="3"/>
        <v>838087.15197798505</v>
      </c>
      <c r="M34" s="114">
        <f t="shared" si="4"/>
        <v>1</v>
      </c>
      <c r="N34" s="114">
        <f t="shared" si="5"/>
        <v>0</v>
      </c>
      <c r="Q34" s="320">
        <f t="shared" si="6"/>
        <v>2300</v>
      </c>
      <c r="R34" s="101">
        <v>1</v>
      </c>
      <c r="S34" s="101">
        <v>0</v>
      </c>
      <c r="T34" s="12"/>
      <c r="U34" s="210"/>
      <c r="V34" s="13"/>
      <c r="W34" s="13"/>
      <c r="X34" s="13"/>
      <c r="Y34" s="13"/>
      <c r="Z34" s="13"/>
      <c r="AA34" s="13"/>
      <c r="AB34" s="13"/>
      <c r="AC34" s="13"/>
      <c r="AD34" s="13"/>
      <c r="AE34" s="13"/>
    </row>
    <row r="35" spans="1:31" ht="21" x14ac:dyDescent="0.4">
      <c r="A35" s="210"/>
      <c r="B35" s="108">
        <v>25</v>
      </c>
      <c r="C35" s="297">
        <v>2182.9673525612266</v>
      </c>
      <c r="D35" s="297">
        <v>3075.1367107550323</v>
      </c>
      <c r="E35" s="297">
        <v>19.162633136768246</v>
      </c>
      <c r="F35" s="297">
        <v>15.149189310954164</v>
      </c>
      <c r="G35" s="322">
        <v>-892.16935819380569</v>
      </c>
      <c r="H35" s="322">
        <v>4.0134438258140825</v>
      </c>
      <c r="I35" s="322">
        <v>-222.29521501097352</v>
      </c>
      <c r="K35" s="223">
        <f t="shared" si="3"/>
        <v>1147575.0208535336</v>
      </c>
      <c r="L35" s="223">
        <f t="shared" si="3"/>
        <v>905876.22194649477</v>
      </c>
      <c r="M35" s="114">
        <f t="shared" si="4"/>
        <v>1</v>
      </c>
      <c r="N35" s="114">
        <f t="shared" si="5"/>
        <v>0</v>
      </c>
      <c r="Q35" s="320">
        <f t="shared" si="6"/>
        <v>2400</v>
      </c>
      <c r="R35" s="101">
        <v>1</v>
      </c>
      <c r="S35" s="101">
        <v>0</v>
      </c>
      <c r="T35" s="12"/>
      <c r="U35" s="210"/>
      <c r="V35" s="13"/>
      <c r="W35" s="13"/>
      <c r="X35" s="13"/>
      <c r="Y35" s="13"/>
      <c r="Z35" s="13"/>
      <c r="AA35" s="13"/>
      <c r="AB35" s="13"/>
      <c r="AC35" s="13"/>
      <c r="AD35" s="13"/>
      <c r="AE35" s="13"/>
    </row>
    <row r="36" spans="1:31" ht="21" x14ac:dyDescent="0.4">
      <c r="A36" s="210"/>
      <c r="B36" s="108">
        <v>26</v>
      </c>
      <c r="C36" s="297">
        <v>1962.1681499521037</v>
      </c>
      <c r="D36" s="297">
        <v>2859.1839243381323</v>
      </c>
      <c r="E36" s="297">
        <v>20.506558937861904</v>
      </c>
      <c r="F36" s="297">
        <v>14.927876951345393</v>
      </c>
      <c r="G36" s="322">
        <v>-897.01577438602862</v>
      </c>
      <c r="H36" s="322">
        <v>5.5786819865165107</v>
      </c>
      <c r="I36" s="322">
        <v>-160.79349505027997</v>
      </c>
      <c r="K36" s="223">
        <f t="shared" si="3"/>
        <v>1228431.3681217621</v>
      </c>
      <c r="L36" s="223">
        <f t="shared" si="3"/>
        <v>892813.43315638555</v>
      </c>
      <c r="M36" s="114">
        <f t="shared" si="4"/>
        <v>1</v>
      </c>
      <c r="N36" s="114">
        <f t="shared" si="5"/>
        <v>0</v>
      </c>
      <c r="Q36" s="320">
        <f t="shared" si="6"/>
        <v>2500</v>
      </c>
      <c r="R36" s="101">
        <v>1</v>
      </c>
      <c r="S36" s="101">
        <v>0</v>
      </c>
      <c r="T36" s="12"/>
      <c r="U36" s="210"/>
      <c r="V36" s="13"/>
      <c r="W36" s="13"/>
      <c r="X36" s="13"/>
      <c r="Y36" s="13"/>
      <c r="Z36" s="13"/>
      <c r="AA36" s="13"/>
      <c r="AB36" s="13"/>
      <c r="AC36" s="13"/>
      <c r="AD36" s="13"/>
      <c r="AE36" s="13"/>
    </row>
    <row r="37" spans="1:31" ht="21" x14ac:dyDescent="0.4">
      <c r="A37" s="210"/>
      <c r="B37" s="108">
        <v>27</v>
      </c>
      <c r="C37" s="297">
        <v>2002.7443694128192</v>
      </c>
      <c r="D37" s="297">
        <v>2968.4817777772032</v>
      </c>
      <c r="E37" s="297">
        <v>20.2558585267228</v>
      </c>
      <c r="F37" s="297">
        <v>15.428594260531021</v>
      </c>
      <c r="G37" s="322">
        <v>-965.73740836438401</v>
      </c>
      <c r="H37" s="322">
        <v>4.8272642661917793</v>
      </c>
      <c r="I37" s="322">
        <v>-200.05894749289388</v>
      </c>
      <c r="K37" s="223">
        <f t="shared" si="3"/>
        <v>1213348.7672339552</v>
      </c>
      <c r="L37" s="223">
        <f t="shared" si="3"/>
        <v>922747.1738540841</v>
      </c>
      <c r="M37" s="114">
        <f t="shared" si="4"/>
        <v>1</v>
      </c>
      <c r="N37" s="114">
        <f t="shared" si="5"/>
        <v>0</v>
      </c>
      <c r="Q37" s="320">
        <f t="shared" si="6"/>
        <v>2600</v>
      </c>
      <c r="R37" s="101">
        <v>1</v>
      </c>
      <c r="S37" s="101">
        <v>0</v>
      </c>
      <c r="T37" s="12"/>
      <c r="U37" s="210"/>
      <c r="V37" s="13"/>
      <c r="W37" s="13"/>
      <c r="X37" s="13"/>
      <c r="Y37" s="13"/>
      <c r="Z37" s="13"/>
      <c r="AA37" s="13"/>
      <c r="AB37" s="13"/>
      <c r="AC37" s="13"/>
      <c r="AD37" s="13"/>
      <c r="AE37" s="13"/>
    </row>
    <row r="38" spans="1:31" ht="21" x14ac:dyDescent="0.4">
      <c r="A38" s="210"/>
      <c r="B38" s="108">
        <v>28</v>
      </c>
      <c r="C38" s="297">
        <v>2070.4078372170579</v>
      </c>
      <c r="D38" s="297">
        <v>3393.0753041898206</v>
      </c>
      <c r="E38" s="297">
        <v>17.718976177228008</v>
      </c>
      <c r="F38" s="297">
        <v>13.19217735140227</v>
      </c>
      <c r="G38" s="322">
        <v>-1322.6674669727627</v>
      </c>
      <c r="H38" s="322">
        <v>4.5267988258257379</v>
      </c>
      <c r="I38" s="322">
        <v>-292.18604975923432</v>
      </c>
      <c r="K38" s="223">
        <f t="shared" si="3"/>
        <v>1061068.1627964636</v>
      </c>
      <c r="L38" s="223">
        <f t="shared" si="3"/>
        <v>788137.5657799464</v>
      </c>
      <c r="M38" s="114">
        <f t="shared" si="4"/>
        <v>1</v>
      </c>
      <c r="N38" s="114">
        <f t="shared" si="5"/>
        <v>0</v>
      </c>
      <c r="Q38" s="320">
        <f t="shared" si="6"/>
        <v>2700</v>
      </c>
      <c r="R38" s="101">
        <v>1</v>
      </c>
      <c r="S38" s="101">
        <v>0</v>
      </c>
      <c r="T38" s="12"/>
      <c r="U38" s="210"/>
      <c r="V38" s="13"/>
      <c r="W38" s="13"/>
      <c r="X38" s="13"/>
      <c r="Y38" s="13"/>
      <c r="Z38" s="13"/>
      <c r="AA38" s="13"/>
      <c r="AB38" s="13"/>
      <c r="AC38" s="13"/>
      <c r="AD38" s="13"/>
      <c r="AE38" s="13"/>
    </row>
    <row r="39" spans="1:31" ht="21" x14ac:dyDescent="0.4">
      <c r="A39" s="210"/>
      <c r="B39" s="108">
        <v>29</v>
      </c>
      <c r="C39" s="297">
        <v>1831.8635271021635</v>
      </c>
      <c r="D39" s="297">
        <v>2723.8013085875396</v>
      </c>
      <c r="E39" s="297">
        <v>18.149128815787957</v>
      </c>
      <c r="F39" s="297">
        <v>14.089999209998785</v>
      </c>
      <c r="G39" s="322">
        <v>-891.93778148537604</v>
      </c>
      <c r="H39" s="322">
        <v>4.0591296057891721</v>
      </c>
      <c r="I39" s="322">
        <v>-219.73621640789327</v>
      </c>
      <c r="K39" s="223">
        <f t="shared" si="3"/>
        <v>1087115.8654201753</v>
      </c>
      <c r="L39" s="223">
        <f t="shared" si="3"/>
        <v>842676.15129133954</v>
      </c>
      <c r="M39" s="114">
        <f t="shared" si="4"/>
        <v>1</v>
      </c>
      <c r="N39" s="114">
        <f t="shared" si="5"/>
        <v>0</v>
      </c>
      <c r="Q39" s="320">
        <f t="shared" si="6"/>
        <v>2800</v>
      </c>
      <c r="R39" s="101">
        <v>1</v>
      </c>
      <c r="S39" s="101">
        <v>0</v>
      </c>
      <c r="T39" s="12"/>
      <c r="U39" s="210"/>
      <c r="V39" s="13"/>
      <c r="W39" s="13"/>
      <c r="X39" s="13"/>
      <c r="Y39" s="13"/>
      <c r="Z39" s="13"/>
      <c r="AA39" s="13"/>
      <c r="AB39" s="13"/>
      <c r="AC39" s="13"/>
      <c r="AD39" s="13"/>
      <c r="AE39" s="13"/>
    </row>
    <row r="40" spans="1:31" ht="21" x14ac:dyDescent="0.4">
      <c r="A40" s="210"/>
      <c r="B40" s="108">
        <v>30</v>
      </c>
      <c r="C40" s="297">
        <v>2062.8392899395171</v>
      </c>
      <c r="D40" s="297">
        <v>3236.7397207721597</v>
      </c>
      <c r="E40" s="297">
        <v>18.034762846753864</v>
      </c>
      <c r="F40" s="297">
        <v>12.941704213558392</v>
      </c>
      <c r="G40" s="322">
        <v>-1173.9004308326425</v>
      </c>
      <c r="H40" s="322">
        <v>5.0930586331954721</v>
      </c>
      <c r="I40" s="322">
        <v>-230.49026437304479</v>
      </c>
      <c r="K40" s="223">
        <f t="shared" si="3"/>
        <v>1080022.9315152923</v>
      </c>
      <c r="L40" s="223">
        <f t="shared" si="3"/>
        <v>773265.51309273136</v>
      </c>
      <c r="M40" s="114">
        <f t="shared" si="4"/>
        <v>1</v>
      </c>
      <c r="N40" s="114">
        <f t="shared" si="5"/>
        <v>0</v>
      </c>
      <c r="Q40" s="320">
        <f t="shared" si="6"/>
        <v>2900</v>
      </c>
      <c r="R40" s="101">
        <v>1</v>
      </c>
      <c r="S40" s="101">
        <v>0</v>
      </c>
      <c r="T40" s="12"/>
      <c r="U40" s="210"/>
      <c r="V40" s="13"/>
      <c r="W40" s="13"/>
      <c r="X40" s="13"/>
      <c r="Y40" s="13"/>
      <c r="Z40" s="13"/>
      <c r="AA40" s="13"/>
      <c r="AB40" s="13"/>
      <c r="AC40" s="13"/>
      <c r="AD40" s="13"/>
      <c r="AE40" s="13"/>
    </row>
    <row r="41" spans="1:31" ht="21" x14ac:dyDescent="0.4">
      <c r="A41" s="210"/>
      <c r="B41" s="108">
        <v>31</v>
      </c>
      <c r="C41" s="297">
        <v>2388.1096901026513</v>
      </c>
      <c r="D41" s="297">
        <v>3196.8150183917705</v>
      </c>
      <c r="E41" s="297">
        <v>20.350623755879727</v>
      </c>
      <c r="F41" s="297">
        <v>15.296403347784889</v>
      </c>
      <c r="G41" s="322">
        <v>-808.70532828911928</v>
      </c>
      <c r="H41" s="322">
        <v>5.0542204080948387</v>
      </c>
      <c r="I41" s="322">
        <v>-160.00594809713817</v>
      </c>
      <c r="K41" s="223">
        <f t="shared" si="3"/>
        <v>1218649.3156626809</v>
      </c>
      <c r="L41" s="223">
        <f t="shared" si="3"/>
        <v>914587.38584870147</v>
      </c>
      <c r="M41" s="114">
        <f t="shared" si="4"/>
        <v>1</v>
      </c>
      <c r="N41" s="114">
        <f t="shared" si="5"/>
        <v>0</v>
      </c>
      <c r="Q41" s="320">
        <f t="shared" si="6"/>
        <v>3000</v>
      </c>
      <c r="R41" s="101">
        <v>1</v>
      </c>
      <c r="S41" s="101">
        <v>0</v>
      </c>
      <c r="T41" s="12"/>
      <c r="U41" s="210"/>
      <c r="V41" s="13"/>
      <c r="W41" s="13"/>
      <c r="X41" s="13"/>
      <c r="Y41" s="13"/>
      <c r="Z41" s="13"/>
      <c r="AA41" s="13"/>
      <c r="AB41" s="13"/>
      <c r="AC41" s="13"/>
      <c r="AD41" s="13"/>
      <c r="AE41" s="13"/>
    </row>
    <row r="42" spans="1:31" ht="21" x14ac:dyDescent="0.4">
      <c r="A42" s="210"/>
      <c r="B42" s="108">
        <v>32</v>
      </c>
      <c r="C42" s="297">
        <v>2010.2311252670706</v>
      </c>
      <c r="D42" s="297">
        <v>2978.8560232707578</v>
      </c>
      <c r="E42" s="297">
        <v>18.658204931398217</v>
      </c>
      <c r="F42" s="297">
        <v>14.609116437352876</v>
      </c>
      <c r="G42" s="322">
        <v>-968.62489800368712</v>
      </c>
      <c r="H42" s="322">
        <v>4.0490884940453409</v>
      </c>
      <c r="I42" s="322">
        <v>-239.22048120908286</v>
      </c>
      <c r="K42" s="223">
        <f t="shared" si="3"/>
        <v>1117482.064758626</v>
      </c>
      <c r="L42" s="223">
        <f t="shared" si="3"/>
        <v>873568.13021790178</v>
      </c>
      <c r="M42" s="114">
        <f t="shared" si="4"/>
        <v>1</v>
      </c>
      <c r="N42" s="114">
        <f t="shared" si="5"/>
        <v>0</v>
      </c>
      <c r="Q42" s="320">
        <f t="shared" si="6"/>
        <v>3100</v>
      </c>
      <c r="R42" s="101">
        <v>1</v>
      </c>
      <c r="S42" s="101">
        <v>0</v>
      </c>
      <c r="T42" s="12"/>
      <c r="U42" s="210"/>
      <c r="V42" s="13"/>
      <c r="W42" s="13"/>
      <c r="X42" s="13"/>
      <c r="Y42" s="13"/>
      <c r="Z42" s="13"/>
      <c r="AA42" s="13"/>
      <c r="AB42" s="13"/>
      <c r="AC42" s="13"/>
      <c r="AD42" s="13"/>
      <c r="AE42" s="13"/>
    </row>
    <row r="43" spans="1:31" ht="21" x14ac:dyDescent="0.4">
      <c r="A43" s="210"/>
      <c r="B43" s="108">
        <v>33</v>
      </c>
      <c r="C43" s="297">
        <v>2161.4930414901678</v>
      </c>
      <c r="D43" s="297">
        <v>2889.7620363873152</v>
      </c>
      <c r="E43" s="297">
        <v>20.398066449980597</v>
      </c>
      <c r="F43" s="297">
        <v>14.544094323052823</v>
      </c>
      <c r="G43" s="322">
        <v>-728.26899489714742</v>
      </c>
      <c r="H43" s="322">
        <v>5.8539721269277738</v>
      </c>
      <c r="I43" s="322">
        <v>-124.40595532513248</v>
      </c>
      <c r="K43" s="223">
        <f t="shared" si="3"/>
        <v>1221722.4939573456</v>
      </c>
      <c r="L43" s="223">
        <f t="shared" si="3"/>
        <v>869755.89734678203</v>
      </c>
      <c r="M43" s="114">
        <f t="shared" si="4"/>
        <v>1</v>
      </c>
      <c r="N43" s="114">
        <f t="shared" si="5"/>
        <v>0</v>
      </c>
      <c r="Q43" s="320">
        <f t="shared" si="6"/>
        <v>3200</v>
      </c>
      <c r="R43" s="101">
        <v>1</v>
      </c>
      <c r="S43" s="101">
        <v>0</v>
      </c>
      <c r="T43" s="12"/>
      <c r="U43" s="210"/>
      <c r="V43" s="13"/>
      <c r="W43" s="13"/>
      <c r="X43" s="13"/>
      <c r="Y43" s="13"/>
      <c r="Z43" s="13"/>
      <c r="AA43" s="13"/>
      <c r="AB43" s="13"/>
      <c r="AC43" s="13"/>
      <c r="AD43" s="13"/>
      <c r="AE43" s="13"/>
    </row>
    <row r="44" spans="1:31" ht="21" x14ac:dyDescent="0.4">
      <c r="A44" s="210"/>
      <c r="B44" s="108">
        <v>34</v>
      </c>
      <c r="C44" s="297">
        <v>2011.9440718525366</v>
      </c>
      <c r="D44" s="297">
        <v>2753.383679549941</v>
      </c>
      <c r="E44" s="297">
        <v>17.132408408725929</v>
      </c>
      <c r="F44" s="297">
        <v>11.604612786245418</v>
      </c>
      <c r="G44" s="322">
        <v>-741.43960769740443</v>
      </c>
      <c r="H44" s="322">
        <v>5.5277956224805109</v>
      </c>
      <c r="I44" s="322">
        <v>-134.12934528225108</v>
      </c>
      <c r="K44" s="223">
        <f t="shared" si="3"/>
        <v>1025932.5604517033</v>
      </c>
      <c r="L44" s="223">
        <f t="shared" si="3"/>
        <v>693523.38349517516</v>
      </c>
      <c r="M44" s="114">
        <f t="shared" si="4"/>
        <v>1</v>
      </c>
      <c r="N44" s="114">
        <f t="shared" si="5"/>
        <v>0</v>
      </c>
      <c r="Q44" s="320">
        <f t="shared" si="6"/>
        <v>3300</v>
      </c>
      <c r="R44" s="101">
        <v>1</v>
      </c>
      <c r="S44" s="101">
        <v>0</v>
      </c>
      <c r="T44" s="12"/>
      <c r="U44" s="210"/>
      <c r="V44" s="13"/>
      <c r="W44" s="13"/>
      <c r="X44" s="13"/>
      <c r="Y44" s="13"/>
      <c r="Z44" s="13"/>
      <c r="AA44" s="13"/>
      <c r="AB44" s="13"/>
      <c r="AC44" s="13"/>
      <c r="AD44" s="13"/>
      <c r="AE44" s="13"/>
    </row>
    <row r="45" spans="1:31" ht="21" x14ac:dyDescent="0.4">
      <c r="A45" s="224"/>
      <c r="B45" s="108">
        <v>35</v>
      </c>
      <c r="C45" s="297">
        <v>2315.7715041829697</v>
      </c>
      <c r="D45" s="297">
        <v>3145.4794814567226</v>
      </c>
      <c r="E45" s="297">
        <v>21.387847690405877</v>
      </c>
      <c r="F45" s="297">
        <v>14.665130462653941</v>
      </c>
      <c r="G45" s="322">
        <v>-829.70797727375293</v>
      </c>
      <c r="H45" s="322">
        <v>6.7227172277519358</v>
      </c>
      <c r="I45" s="322">
        <v>-123.41854478850448</v>
      </c>
      <c r="K45" s="223">
        <f t="shared" si="3"/>
        <v>1280955.0899201697</v>
      </c>
      <c r="L45" s="223">
        <f t="shared" si="3"/>
        <v>876762.34827777976</v>
      </c>
      <c r="M45" s="114">
        <f t="shared" si="4"/>
        <v>1</v>
      </c>
      <c r="N45" s="114">
        <f t="shared" si="5"/>
        <v>0</v>
      </c>
      <c r="Q45" s="320">
        <f t="shared" si="6"/>
        <v>3400</v>
      </c>
      <c r="R45" s="101">
        <v>1</v>
      </c>
      <c r="S45" s="101">
        <v>0</v>
      </c>
      <c r="T45" s="12"/>
      <c r="U45" s="224"/>
      <c r="V45" s="13"/>
      <c r="W45" s="13"/>
      <c r="X45" s="13"/>
      <c r="Y45" s="13"/>
      <c r="Z45" s="13"/>
      <c r="AA45" s="13"/>
      <c r="AB45" s="13"/>
      <c r="AC45" s="13"/>
      <c r="AD45" s="13"/>
      <c r="AE45" s="13"/>
    </row>
    <row r="46" spans="1:31" ht="21" x14ac:dyDescent="0.4">
      <c r="A46" s="210"/>
      <c r="B46" s="108">
        <v>36</v>
      </c>
      <c r="C46" s="297">
        <v>1949.2041880713114</v>
      </c>
      <c r="D46" s="297">
        <v>2472.6986478658</v>
      </c>
      <c r="E46" s="297">
        <v>19.486450136104587</v>
      </c>
      <c r="F46" s="297">
        <v>14.63885299996922</v>
      </c>
      <c r="G46" s="322">
        <v>-523.49445979448865</v>
      </c>
      <c r="H46" s="322">
        <v>4.8475971361353665</v>
      </c>
      <c r="I46" s="322">
        <v>-107.99050438663977</v>
      </c>
      <c r="K46" s="223">
        <f t="shared" si="3"/>
        <v>1167237.8039782038</v>
      </c>
      <c r="L46" s="223">
        <f t="shared" si="3"/>
        <v>875858.48135028745</v>
      </c>
      <c r="M46" s="114">
        <f t="shared" si="4"/>
        <v>1</v>
      </c>
      <c r="N46" s="114">
        <f t="shared" si="5"/>
        <v>0</v>
      </c>
      <c r="Q46" s="320">
        <f t="shared" si="6"/>
        <v>3500</v>
      </c>
      <c r="R46" s="101">
        <v>1</v>
      </c>
      <c r="S46" s="101">
        <v>0</v>
      </c>
      <c r="T46" s="12"/>
      <c r="U46" s="210"/>
      <c r="V46" s="13"/>
      <c r="W46" s="13"/>
      <c r="X46" s="13"/>
      <c r="Y46" s="13"/>
      <c r="Z46" s="13"/>
      <c r="AA46" s="13"/>
      <c r="AB46" s="13"/>
      <c r="AC46" s="13"/>
      <c r="AD46" s="13"/>
      <c r="AE46" s="13"/>
    </row>
    <row r="47" spans="1:31" ht="21" x14ac:dyDescent="0.4">
      <c r="A47" s="210"/>
      <c r="B47" s="108">
        <v>37</v>
      </c>
      <c r="C47" s="297">
        <v>1636.8138773817138</v>
      </c>
      <c r="D47" s="297">
        <v>2435.6722565624077</v>
      </c>
      <c r="E47" s="297">
        <v>18.844664422706153</v>
      </c>
      <c r="F47" s="297">
        <v>14.269118623338091</v>
      </c>
      <c r="G47" s="322">
        <v>-798.85837918069387</v>
      </c>
      <c r="H47" s="322">
        <v>4.5755457993680615</v>
      </c>
      <c r="I47" s="322">
        <v>-174.59302435373414</v>
      </c>
      <c r="K47" s="223">
        <f t="shared" si="3"/>
        <v>1129043.0514849876</v>
      </c>
      <c r="L47" s="223">
        <f t="shared" si="3"/>
        <v>853711.44514372305</v>
      </c>
      <c r="M47" s="114">
        <f t="shared" si="4"/>
        <v>1</v>
      </c>
      <c r="N47" s="114">
        <f t="shared" si="5"/>
        <v>0</v>
      </c>
      <c r="Q47" s="320">
        <f t="shared" si="6"/>
        <v>3600</v>
      </c>
      <c r="R47" s="101">
        <v>1</v>
      </c>
      <c r="S47" s="101">
        <v>0</v>
      </c>
      <c r="T47" s="12"/>
      <c r="U47" s="210"/>
      <c r="V47" s="13"/>
      <c r="W47" s="13"/>
      <c r="X47" s="13"/>
      <c r="Y47" s="13"/>
      <c r="Z47" s="13"/>
      <c r="AA47" s="13"/>
      <c r="AB47" s="13"/>
      <c r="AC47" s="13"/>
      <c r="AD47" s="13"/>
      <c r="AE47" s="13"/>
    </row>
    <row r="48" spans="1:31" ht="21" x14ac:dyDescent="0.4">
      <c r="A48" s="210"/>
      <c r="B48" s="108">
        <v>38</v>
      </c>
      <c r="C48" s="297">
        <v>2206.0592025482752</v>
      </c>
      <c r="D48" s="297">
        <v>3151.953633709848</v>
      </c>
      <c r="E48" s="297">
        <v>19.283160359296488</v>
      </c>
      <c r="F48" s="297">
        <v>13.871386193520681</v>
      </c>
      <c r="G48" s="322">
        <v>-945.89443116157281</v>
      </c>
      <c r="H48" s="322">
        <v>5.4117741657758067</v>
      </c>
      <c r="I48" s="322">
        <v>-174.78453501320001</v>
      </c>
      <c r="K48" s="223">
        <f t="shared" si="3"/>
        <v>1154783.562355241</v>
      </c>
      <c r="L48" s="223">
        <f t="shared" si="3"/>
        <v>829131.21797753102</v>
      </c>
      <c r="M48" s="114">
        <f t="shared" si="4"/>
        <v>1</v>
      </c>
      <c r="N48" s="114">
        <f t="shared" si="5"/>
        <v>0</v>
      </c>
      <c r="Q48" s="320">
        <f t="shared" si="6"/>
        <v>3700</v>
      </c>
      <c r="R48" s="101">
        <v>1</v>
      </c>
      <c r="S48" s="101">
        <v>0</v>
      </c>
      <c r="T48" s="12"/>
      <c r="U48" s="210"/>
      <c r="V48" s="13"/>
      <c r="W48" s="13"/>
      <c r="X48" s="13"/>
      <c r="Y48" s="13"/>
      <c r="Z48" s="13"/>
      <c r="AA48" s="13"/>
      <c r="AB48" s="13"/>
      <c r="AC48" s="13"/>
      <c r="AD48" s="13"/>
      <c r="AE48" s="13"/>
    </row>
    <row r="49" spans="1:31" ht="21" x14ac:dyDescent="0.4">
      <c r="A49" s="210"/>
      <c r="B49" s="108">
        <v>39</v>
      </c>
      <c r="C49" s="297">
        <v>2185.1435046622355</v>
      </c>
      <c r="D49" s="297">
        <v>3360.3159315622593</v>
      </c>
      <c r="E49" s="297">
        <v>21.425620693540566</v>
      </c>
      <c r="F49" s="297">
        <v>16.073283552432073</v>
      </c>
      <c r="G49" s="322">
        <v>-1175.1724269000238</v>
      </c>
      <c r="H49" s="322">
        <v>5.3523371411084923</v>
      </c>
      <c r="I49" s="322">
        <v>-219.56248194347498</v>
      </c>
      <c r="K49" s="223">
        <f t="shared" si="3"/>
        <v>1283352.0981077717</v>
      </c>
      <c r="L49" s="223">
        <f t="shared" si="3"/>
        <v>961036.69721436221</v>
      </c>
      <c r="M49" s="114">
        <f t="shared" si="4"/>
        <v>1</v>
      </c>
      <c r="N49" s="114">
        <f t="shared" si="5"/>
        <v>0</v>
      </c>
      <c r="Q49" s="320">
        <f t="shared" si="6"/>
        <v>3800</v>
      </c>
      <c r="R49" s="101">
        <v>1</v>
      </c>
      <c r="S49" s="101">
        <v>0</v>
      </c>
      <c r="T49" s="12"/>
      <c r="U49" s="210"/>
      <c r="V49" s="13"/>
      <c r="W49" s="13"/>
      <c r="X49" s="13"/>
      <c r="Y49" s="13"/>
      <c r="Z49" s="13"/>
      <c r="AA49" s="13"/>
      <c r="AB49" s="13"/>
      <c r="AC49" s="13"/>
      <c r="AD49" s="13"/>
      <c r="AE49" s="13"/>
    </row>
    <row r="50" spans="1:31" ht="21" x14ac:dyDescent="0.4">
      <c r="A50" s="210"/>
      <c r="B50" s="108">
        <v>40</v>
      </c>
      <c r="C50" s="297">
        <v>2172.1278293582882</v>
      </c>
      <c r="D50" s="297">
        <v>2952.0101682485829</v>
      </c>
      <c r="E50" s="297">
        <v>19.343807554990068</v>
      </c>
      <c r="F50" s="297">
        <v>14.672231443852038</v>
      </c>
      <c r="G50" s="322">
        <v>-779.8823388902947</v>
      </c>
      <c r="H50" s="322">
        <v>4.6715761111380303</v>
      </c>
      <c r="I50" s="322">
        <v>-166.94201707018954</v>
      </c>
      <c r="K50" s="223">
        <f t="shared" si="3"/>
        <v>1158456.3254700459</v>
      </c>
      <c r="L50" s="223">
        <f t="shared" si="3"/>
        <v>877381.87646287377</v>
      </c>
      <c r="M50" s="114">
        <f t="shared" si="4"/>
        <v>1</v>
      </c>
      <c r="N50" s="114">
        <f t="shared" si="5"/>
        <v>0</v>
      </c>
      <c r="Q50" s="320">
        <f t="shared" si="6"/>
        <v>3900</v>
      </c>
      <c r="R50" s="101">
        <v>1</v>
      </c>
      <c r="S50" s="101">
        <v>0</v>
      </c>
      <c r="T50" s="12"/>
      <c r="U50" s="210"/>
      <c r="V50" s="13"/>
      <c r="W50" s="13"/>
      <c r="X50" s="13"/>
      <c r="Y50" s="13"/>
      <c r="Z50" s="13"/>
      <c r="AA50" s="13"/>
      <c r="AB50" s="13"/>
      <c r="AC50" s="13"/>
      <c r="AD50" s="13"/>
      <c r="AE50" s="13"/>
    </row>
    <row r="51" spans="1:31" ht="21" x14ac:dyDescent="0.4">
      <c r="A51" s="210"/>
      <c r="B51" s="108">
        <v>41</v>
      </c>
      <c r="C51" s="297">
        <v>2078.8107832568794</v>
      </c>
      <c r="D51" s="297">
        <v>2887.6196789705546</v>
      </c>
      <c r="E51" s="297">
        <v>17.805076261691237</v>
      </c>
      <c r="F51" s="297">
        <v>12.98589481943967</v>
      </c>
      <c r="G51" s="322">
        <v>-808.80889571367516</v>
      </c>
      <c r="H51" s="322">
        <v>4.8191814422515673</v>
      </c>
      <c r="I51" s="322">
        <v>-167.83117743244628</v>
      </c>
      <c r="K51" s="223">
        <f t="shared" si="3"/>
        <v>1066225.7649182174</v>
      </c>
      <c r="L51" s="223">
        <f t="shared" si="3"/>
        <v>776266.06948740967</v>
      </c>
      <c r="M51" s="114">
        <f t="shared" si="4"/>
        <v>1</v>
      </c>
      <c r="N51" s="114">
        <f t="shared" si="5"/>
        <v>0</v>
      </c>
      <c r="Q51" s="320">
        <f t="shared" si="6"/>
        <v>4000</v>
      </c>
      <c r="R51" s="101">
        <v>1</v>
      </c>
      <c r="S51" s="101">
        <v>0</v>
      </c>
      <c r="T51" s="12"/>
      <c r="U51" s="210"/>
      <c r="V51" s="13"/>
      <c r="W51" s="13"/>
      <c r="X51" s="13"/>
      <c r="Y51" s="13"/>
      <c r="Z51" s="13"/>
      <c r="AA51" s="13"/>
      <c r="AB51" s="13"/>
      <c r="AC51" s="13"/>
      <c r="AD51" s="13"/>
      <c r="AE51" s="13"/>
    </row>
    <row r="52" spans="1:31" ht="21" x14ac:dyDescent="0.4">
      <c r="A52" s="210"/>
      <c r="B52" s="108">
        <v>42</v>
      </c>
      <c r="C52" s="297">
        <v>2009.8005559813546</v>
      </c>
      <c r="D52" s="297">
        <v>2852.2776448023847</v>
      </c>
      <c r="E52" s="297">
        <v>18.489507163152673</v>
      </c>
      <c r="F52" s="297">
        <v>13.197748105601896</v>
      </c>
      <c r="G52" s="322">
        <v>-842.47708882103007</v>
      </c>
      <c r="H52" s="322">
        <v>5.2917590575507774</v>
      </c>
      <c r="I52" s="322">
        <v>-159.20548907435702</v>
      </c>
      <c r="K52" s="223">
        <f t="shared" si="3"/>
        <v>1107360.6292331789</v>
      </c>
      <c r="L52" s="223">
        <f t="shared" si="3"/>
        <v>789012.60869131144</v>
      </c>
      <c r="M52" s="114">
        <f t="shared" si="4"/>
        <v>1</v>
      </c>
      <c r="N52" s="114">
        <f t="shared" si="5"/>
        <v>0</v>
      </c>
      <c r="Q52" s="320">
        <f t="shared" si="6"/>
        <v>4100</v>
      </c>
      <c r="R52" s="101">
        <v>1</v>
      </c>
      <c r="S52" s="101">
        <v>0</v>
      </c>
      <c r="T52" s="12"/>
      <c r="U52" s="210"/>
      <c r="V52" s="13"/>
      <c r="W52" s="13"/>
      <c r="X52" s="13"/>
      <c r="Y52" s="13"/>
      <c r="Z52" s="13"/>
      <c r="AA52" s="13"/>
      <c r="AB52" s="13"/>
      <c r="AC52" s="13"/>
      <c r="AD52" s="13"/>
      <c r="AE52" s="13"/>
    </row>
    <row r="53" spans="1:31" ht="21" x14ac:dyDescent="0.4">
      <c r="A53" s="210"/>
      <c r="B53" s="108">
        <v>43</v>
      </c>
      <c r="C53" s="297">
        <v>2109.0456511290599</v>
      </c>
      <c r="D53" s="297">
        <v>3155.4897583312813</v>
      </c>
      <c r="E53" s="297">
        <v>19.90666847291142</v>
      </c>
      <c r="F53" s="297">
        <v>14.793794761732721</v>
      </c>
      <c r="G53" s="322">
        <v>-1046.4441072022214</v>
      </c>
      <c r="H53" s="322">
        <v>5.1128737111786986</v>
      </c>
      <c r="I53" s="322">
        <v>-204.66848318868</v>
      </c>
      <c r="K53" s="223">
        <f t="shared" si="3"/>
        <v>1192291.0627235563</v>
      </c>
      <c r="L53" s="223">
        <f t="shared" si="3"/>
        <v>884472.19594563195</v>
      </c>
      <c r="M53" s="114">
        <f t="shared" si="4"/>
        <v>1</v>
      </c>
      <c r="N53" s="114">
        <f t="shared" si="5"/>
        <v>0</v>
      </c>
      <c r="Q53" s="320">
        <f t="shared" si="6"/>
        <v>4200</v>
      </c>
      <c r="R53" s="101">
        <v>1</v>
      </c>
      <c r="S53" s="101">
        <v>0</v>
      </c>
      <c r="T53" s="12"/>
      <c r="U53" s="210"/>
      <c r="V53" s="13"/>
      <c r="W53" s="13"/>
      <c r="X53" s="13"/>
      <c r="Y53" s="13"/>
      <c r="Z53" s="13"/>
      <c r="AA53" s="13"/>
      <c r="AB53" s="13"/>
      <c r="AC53" s="13"/>
      <c r="AD53" s="13"/>
      <c r="AE53" s="13"/>
    </row>
    <row r="54" spans="1:31" ht="21" x14ac:dyDescent="0.4">
      <c r="A54" s="210"/>
      <c r="B54" s="108">
        <v>44</v>
      </c>
      <c r="C54" s="297">
        <v>2060.4889291015797</v>
      </c>
      <c r="D54" s="297">
        <v>3227.2185782523038</v>
      </c>
      <c r="E54" s="297">
        <v>20.165009424503637</v>
      </c>
      <c r="F54" s="297">
        <v>15.153783520059763</v>
      </c>
      <c r="G54" s="322">
        <v>-1166.7296491507241</v>
      </c>
      <c r="H54" s="322">
        <v>5.0112259044438741</v>
      </c>
      <c r="I54" s="322">
        <v>-232.82319963186794</v>
      </c>
      <c r="K54" s="223">
        <f t="shared" si="3"/>
        <v>1207840.0765411167</v>
      </c>
      <c r="L54" s="223">
        <f t="shared" si="3"/>
        <v>905999.79262533342</v>
      </c>
      <c r="M54" s="114">
        <f t="shared" si="4"/>
        <v>1</v>
      </c>
      <c r="N54" s="114">
        <f t="shared" si="5"/>
        <v>0</v>
      </c>
      <c r="Q54" s="320">
        <f t="shared" si="6"/>
        <v>4300</v>
      </c>
      <c r="R54" s="101">
        <v>1</v>
      </c>
      <c r="S54" s="101">
        <v>0</v>
      </c>
      <c r="T54" s="12"/>
      <c r="U54" s="210"/>
      <c r="V54" s="13"/>
      <c r="W54" s="13"/>
      <c r="X54" s="13"/>
      <c r="Y54" s="13"/>
      <c r="Z54" s="13"/>
      <c r="AA54" s="13"/>
      <c r="AB54" s="13"/>
      <c r="AC54" s="13"/>
      <c r="AD54" s="13"/>
      <c r="AE54" s="13"/>
    </row>
    <row r="55" spans="1:31" ht="21" x14ac:dyDescent="0.4">
      <c r="A55" s="210"/>
      <c r="B55" s="108">
        <v>45</v>
      </c>
      <c r="C55" s="297">
        <v>1789.5030199673106</v>
      </c>
      <c r="D55" s="297">
        <v>2589.9207816123244</v>
      </c>
      <c r="E55" s="297">
        <v>13.927505710229028</v>
      </c>
      <c r="F55" s="297">
        <v>9.5731784496728647</v>
      </c>
      <c r="G55" s="322">
        <v>-800.4177616450138</v>
      </c>
      <c r="H55" s="322">
        <v>4.3543272605561629</v>
      </c>
      <c r="I55" s="322">
        <v>-183.82122283173985</v>
      </c>
      <c r="K55" s="223">
        <f t="shared" si="3"/>
        <v>833860.83959377429</v>
      </c>
      <c r="L55" s="223">
        <f t="shared" si="3"/>
        <v>571800.78619875957</v>
      </c>
      <c r="M55" s="114">
        <f t="shared" si="4"/>
        <v>1</v>
      </c>
      <c r="N55" s="114">
        <f t="shared" si="5"/>
        <v>0</v>
      </c>
      <c r="Q55" s="320">
        <f t="shared" si="6"/>
        <v>4400</v>
      </c>
      <c r="R55" s="101">
        <v>1</v>
      </c>
      <c r="S55" s="101">
        <v>0</v>
      </c>
      <c r="T55" s="12"/>
      <c r="U55" s="210"/>
      <c r="V55" s="13"/>
      <c r="W55" s="13"/>
      <c r="X55" s="13"/>
      <c r="Y55" s="13"/>
      <c r="Z55" s="13"/>
      <c r="AA55" s="13"/>
      <c r="AB55" s="13"/>
      <c r="AC55" s="13"/>
      <c r="AD55" s="13"/>
      <c r="AE55" s="13"/>
    </row>
    <row r="56" spans="1:31" ht="21" x14ac:dyDescent="0.4">
      <c r="A56" s="210"/>
      <c r="B56" s="108">
        <v>46</v>
      </c>
      <c r="C56" s="297">
        <v>1783.7671331675465</v>
      </c>
      <c r="D56" s="297">
        <v>2830.0376950450845</v>
      </c>
      <c r="E56" s="297">
        <v>19.756446959626686</v>
      </c>
      <c r="F56" s="297">
        <v>13.812664327793648</v>
      </c>
      <c r="G56" s="322">
        <v>-1046.2705618775381</v>
      </c>
      <c r="H56" s="322">
        <v>5.943782631833038</v>
      </c>
      <c r="I56" s="322">
        <v>-176.02772959327964</v>
      </c>
      <c r="K56" s="223">
        <f t="shared" si="3"/>
        <v>1183603.0504444337</v>
      </c>
      <c r="L56" s="223">
        <f t="shared" si="3"/>
        <v>825929.82197257376</v>
      </c>
      <c r="M56" s="114">
        <f t="shared" si="4"/>
        <v>1</v>
      </c>
      <c r="N56" s="114">
        <f t="shared" si="5"/>
        <v>0</v>
      </c>
      <c r="Q56" s="320">
        <f t="shared" si="6"/>
        <v>4500</v>
      </c>
      <c r="R56" s="101">
        <v>1</v>
      </c>
      <c r="S56" s="101">
        <v>0</v>
      </c>
      <c r="T56" s="12"/>
      <c r="U56" s="210"/>
      <c r="V56" s="13"/>
      <c r="W56" s="13"/>
      <c r="X56" s="13"/>
      <c r="Y56" s="13"/>
      <c r="Z56" s="13"/>
      <c r="AA56" s="13"/>
      <c r="AB56" s="13"/>
      <c r="AC56" s="13"/>
      <c r="AD56" s="13"/>
      <c r="AE56" s="13"/>
    </row>
    <row r="57" spans="1:31" ht="21" x14ac:dyDescent="0.4">
      <c r="A57" s="210"/>
      <c r="B57" s="108">
        <v>47</v>
      </c>
      <c r="C57" s="297">
        <v>2239.0332868104297</v>
      </c>
      <c r="D57" s="297">
        <v>3348.3915664021415</v>
      </c>
      <c r="E57" s="297">
        <v>15.042817391859757</v>
      </c>
      <c r="F57" s="297">
        <v>10.809065860546909</v>
      </c>
      <c r="G57" s="322">
        <v>-1109.3582795917118</v>
      </c>
      <c r="H57" s="322">
        <v>4.2337515313128478</v>
      </c>
      <c r="I57" s="322">
        <v>-262.02725204511705</v>
      </c>
      <c r="K57" s="223">
        <f t="shared" si="3"/>
        <v>900330.01022477506</v>
      </c>
      <c r="L57" s="223">
        <f t="shared" si="3"/>
        <v>645195.56006641232</v>
      </c>
      <c r="M57" s="114">
        <f t="shared" si="4"/>
        <v>1</v>
      </c>
      <c r="N57" s="114">
        <f t="shared" si="5"/>
        <v>0</v>
      </c>
      <c r="Q57" s="320">
        <f t="shared" si="6"/>
        <v>4600</v>
      </c>
      <c r="R57" s="101">
        <v>1</v>
      </c>
      <c r="S57" s="101">
        <v>0</v>
      </c>
      <c r="T57" s="12"/>
      <c r="U57" s="210"/>
      <c r="V57" s="13"/>
      <c r="W57" s="13"/>
      <c r="X57" s="13"/>
      <c r="Y57" s="13"/>
      <c r="Z57" s="13"/>
      <c r="AA57" s="13"/>
      <c r="AB57" s="13"/>
      <c r="AC57" s="13"/>
      <c r="AD57" s="13"/>
      <c r="AE57" s="13"/>
    </row>
    <row r="58" spans="1:31" ht="21" x14ac:dyDescent="0.4">
      <c r="A58" s="210"/>
      <c r="B58" s="108">
        <v>48</v>
      </c>
      <c r="C58" s="297">
        <v>2151.9026801958621</v>
      </c>
      <c r="D58" s="297">
        <v>3017.6903230845192</v>
      </c>
      <c r="E58" s="297">
        <v>19.147462953413758</v>
      </c>
      <c r="F58" s="297">
        <v>13.486375744262018</v>
      </c>
      <c r="G58" s="322">
        <v>-865.78764288865705</v>
      </c>
      <c r="H58" s="322">
        <v>5.6610872091517397</v>
      </c>
      <c r="I58" s="322">
        <v>-152.93663759304411</v>
      </c>
      <c r="K58" s="223">
        <f t="shared" si="3"/>
        <v>1146695.8745246297</v>
      </c>
      <c r="L58" s="223">
        <f t="shared" si="3"/>
        <v>806164.85433263658</v>
      </c>
      <c r="M58" s="114">
        <f t="shared" si="4"/>
        <v>1</v>
      </c>
      <c r="N58" s="114">
        <f t="shared" si="5"/>
        <v>0</v>
      </c>
      <c r="Q58" s="320">
        <f t="shared" si="6"/>
        <v>4700</v>
      </c>
      <c r="R58" s="101">
        <v>1</v>
      </c>
      <c r="S58" s="101">
        <v>0</v>
      </c>
      <c r="T58" s="12"/>
      <c r="U58" s="210"/>
      <c r="V58" s="13"/>
      <c r="W58" s="13"/>
      <c r="X58" s="13"/>
      <c r="Y58" s="13"/>
      <c r="Z58" s="13"/>
      <c r="AA58" s="13"/>
      <c r="AB58" s="13"/>
      <c r="AC58" s="13"/>
      <c r="AD58" s="13"/>
      <c r="AE58" s="13"/>
    </row>
    <row r="59" spans="1:31" ht="21" x14ac:dyDescent="0.4">
      <c r="A59" s="210"/>
      <c r="B59" s="108">
        <v>49</v>
      </c>
      <c r="C59" s="297">
        <v>2196.2846669367227</v>
      </c>
      <c r="D59" s="297">
        <v>3251.421053476668</v>
      </c>
      <c r="E59" s="297">
        <v>18.964504573180847</v>
      </c>
      <c r="F59" s="297">
        <v>13.489115944799263</v>
      </c>
      <c r="G59" s="322">
        <v>-1055.1363865399453</v>
      </c>
      <c r="H59" s="322">
        <v>5.4753886283815838</v>
      </c>
      <c r="I59" s="322">
        <v>-192.70529603518256</v>
      </c>
      <c r="K59" s="223">
        <f t="shared" si="3"/>
        <v>1135673.9897239141</v>
      </c>
      <c r="L59" s="223">
        <f t="shared" si="3"/>
        <v>806095.53563447914</v>
      </c>
      <c r="M59" s="114">
        <f t="shared" si="4"/>
        <v>1</v>
      </c>
      <c r="N59" s="114">
        <f t="shared" si="5"/>
        <v>0</v>
      </c>
      <c r="Q59" s="320">
        <f t="shared" si="6"/>
        <v>4800</v>
      </c>
      <c r="R59" s="101">
        <v>1</v>
      </c>
      <c r="S59" s="101">
        <v>0</v>
      </c>
      <c r="T59" s="12"/>
      <c r="U59" s="210"/>
      <c r="V59" s="13"/>
      <c r="W59" s="13"/>
      <c r="X59" s="13"/>
      <c r="Y59" s="13"/>
      <c r="Z59" s="13"/>
      <c r="AA59" s="13"/>
      <c r="AB59" s="13"/>
      <c r="AC59" s="13"/>
      <c r="AD59" s="13"/>
      <c r="AE59" s="13"/>
    </row>
    <row r="60" spans="1:31" ht="21" x14ac:dyDescent="0.4">
      <c r="A60" s="210"/>
      <c r="B60" s="108">
        <v>50</v>
      </c>
      <c r="C60" s="297">
        <v>2043.2744311395968</v>
      </c>
      <c r="D60" s="297">
        <v>2954.4486580696148</v>
      </c>
      <c r="E60" s="297">
        <v>21.042725691077493</v>
      </c>
      <c r="F60" s="297">
        <v>15.083180653209073</v>
      </c>
      <c r="G60" s="322">
        <v>-911.17422693001799</v>
      </c>
      <c r="H60" s="322">
        <v>5.9595450378684198</v>
      </c>
      <c r="I60" s="322">
        <v>-152.89325294803413</v>
      </c>
      <c r="K60" s="223">
        <f t="shared" si="3"/>
        <v>1260520.2670335099</v>
      </c>
      <c r="L60" s="223">
        <f t="shared" si="3"/>
        <v>902036.39053447475</v>
      </c>
      <c r="M60" s="114">
        <f t="shared" si="4"/>
        <v>1</v>
      </c>
      <c r="N60" s="114">
        <f t="shared" si="5"/>
        <v>0</v>
      </c>
      <c r="Q60" s="320">
        <f t="shared" si="6"/>
        <v>4900</v>
      </c>
      <c r="R60" s="101">
        <v>1</v>
      </c>
      <c r="S60" s="101">
        <v>0</v>
      </c>
      <c r="T60" s="12"/>
      <c r="U60" s="210"/>
      <c r="V60" s="13"/>
      <c r="W60" s="13"/>
      <c r="X60" s="13"/>
      <c r="Y60" s="13"/>
      <c r="Z60" s="13"/>
      <c r="AA60" s="13"/>
      <c r="AB60" s="13"/>
      <c r="AC60" s="13"/>
      <c r="AD60" s="13"/>
      <c r="AE60" s="13"/>
    </row>
    <row r="61" spans="1:31" ht="21" x14ac:dyDescent="0.4">
      <c r="A61" s="210"/>
      <c r="B61" s="108">
        <v>51</v>
      </c>
      <c r="C61" s="297">
        <v>2166.240876704916</v>
      </c>
      <c r="D61" s="297">
        <v>3166.3770105826143</v>
      </c>
      <c r="E61" s="297">
        <v>18.07616692378393</v>
      </c>
      <c r="F61" s="297">
        <v>13.545872264456143</v>
      </c>
      <c r="G61" s="322">
        <v>-1000.1361338776983</v>
      </c>
      <c r="H61" s="322">
        <v>4.5302946593277866</v>
      </c>
      <c r="I61" s="322">
        <v>-220.76624349774642</v>
      </c>
      <c r="K61" s="223">
        <f t="shared" si="3"/>
        <v>1082403.7745503308</v>
      </c>
      <c r="L61" s="223">
        <f t="shared" si="3"/>
        <v>809585.95885678602</v>
      </c>
      <c r="M61" s="114">
        <f t="shared" si="4"/>
        <v>1</v>
      </c>
      <c r="N61" s="114">
        <f t="shared" si="5"/>
        <v>0</v>
      </c>
      <c r="Q61" s="320">
        <f t="shared" si="6"/>
        <v>5000</v>
      </c>
      <c r="R61" s="101">
        <v>1</v>
      </c>
      <c r="S61" s="101">
        <v>0</v>
      </c>
      <c r="T61" s="12"/>
      <c r="U61" s="210"/>
      <c r="V61" s="13"/>
      <c r="W61" s="13"/>
      <c r="X61" s="13"/>
      <c r="Y61" s="13"/>
      <c r="Z61" s="13"/>
      <c r="AA61" s="13"/>
      <c r="AB61" s="13"/>
      <c r="AC61" s="13"/>
      <c r="AD61" s="13"/>
      <c r="AE61" s="13"/>
    </row>
    <row r="62" spans="1:31" ht="21" x14ac:dyDescent="0.4">
      <c r="A62" s="210"/>
      <c r="B62" s="108">
        <v>52</v>
      </c>
      <c r="C62" s="297">
        <v>2071.5339402554146</v>
      </c>
      <c r="D62" s="297">
        <v>3382.4139366328004</v>
      </c>
      <c r="E62" s="297">
        <v>18.961669117920191</v>
      </c>
      <c r="F62" s="297">
        <v>13.48229493032585</v>
      </c>
      <c r="G62" s="322">
        <v>-1310.8799963773859</v>
      </c>
      <c r="H62" s="322">
        <v>5.4793741875943418</v>
      </c>
      <c r="I62" s="322">
        <v>-239.23899910783663</v>
      </c>
      <c r="K62" s="223">
        <f t="shared" si="3"/>
        <v>1135628.613134956</v>
      </c>
      <c r="L62" s="223">
        <f t="shared" si="3"/>
        <v>805555.28188291821</v>
      </c>
      <c r="M62" s="114">
        <f t="shared" si="4"/>
        <v>1</v>
      </c>
      <c r="N62" s="114">
        <f t="shared" si="5"/>
        <v>0</v>
      </c>
      <c r="Q62" s="320">
        <f t="shared" si="6"/>
        <v>5100</v>
      </c>
      <c r="R62" s="101">
        <v>1</v>
      </c>
      <c r="S62" s="101">
        <v>0</v>
      </c>
      <c r="T62" s="12"/>
      <c r="U62" s="210"/>
      <c r="V62" s="13"/>
      <c r="W62" s="13"/>
      <c r="X62" s="13"/>
      <c r="Y62" s="13"/>
      <c r="Z62" s="13"/>
      <c r="AA62" s="13"/>
      <c r="AB62" s="13"/>
      <c r="AC62" s="13"/>
      <c r="AD62" s="13"/>
      <c r="AE62" s="13"/>
    </row>
    <row r="63" spans="1:31" ht="21" x14ac:dyDescent="0.4">
      <c r="A63" s="210"/>
      <c r="B63" s="108">
        <v>53</v>
      </c>
      <c r="C63" s="297">
        <v>2387.7231893548696</v>
      </c>
      <c r="D63" s="297">
        <v>3404.8263477099717</v>
      </c>
      <c r="E63" s="297">
        <v>17.194463447621903</v>
      </c>
      <c r="F63" s="297">
        <v>11.771260861032649</v>
      </c>
      <c r="G63" s="322">
        <v>-1017.1031583551021</v>
      </c>
      <c r="H63" s="322">
        <v>5.4232025865892535</v>
      </c>
      <c r="I63" s="322">
        <v>-187.54659117294307</v>
      </c>
      <c r="K63" s="223">
        <f t="shared" si="3"/>
        <v>1029280.0836679593</v>
      </c>
      <c r="L63" s="223">
        <f t="shared" si="3"/>
        <v>702870.82531424903</v>
      </c>
      <c r="M63" s="114">
        <f t="shared" si="4"/>
        <v>1</v>
      </c>
      <c r="N63" s="114">
        <f t="shared" si="5"/>
        <v>0</v>
      </c>
      <c r="Q63" s="320">
        <f t="shared" si="6"/>
        <v>5200</v>
      </c>
      <c r="R63" s="101">
        <v>1</v>
      </c>
      <c r="S63" s="101">
        <v>0</v>
      </c>
      <c r="T63" s="12"/>
      <c r="U63" s="210"/>
      <c r="V63" s="13"/>
      <c r="W63" s="13"/>
      <c r="X63" s="13"/>
      <c r="Y63" s="13"/>
      <c r="Z63" s="13"/>
      <c r="AA63" s="13"/>
      <c r="AB63" s="13"/>
      <c r="AC63" s="13"/>
      <c r="AD63" s="13"/>
      <c r="AE63" s="13"/>
    </row>
    <row r="64" spans="1:31" ht="21" x14ac:dyDescent="0.4">
      <c r="A64" s="210"/>
      <c r="B64" s="108">
        <v>54</v>
      </c>
      <c r="C64" s="297">
        <v>2165.7609052856433</v>
      </c>
      <c r="D64" s="297">
        <v>3281.4961999429152</v>
      </c>
      <c r="E64" s="297">
        <v>20.254877902978489</v>
      </c>
      <c r="F64" s="297">
        <v>14.799631811629155</v>
      </c>
      <c r="G64" s="322">
        <v>-1115.7352946572719</v>
      </c>
      <c r="H64" s="322">
        <v>5.4552460913493341</v>
      </c>
      <c r="I64" s="322">
        <v>-204.52519940879498</v>
      </c>
      <c r="K64" s="223">
        <f t="shared" si="3"/>
        <v>1213126.9132734237</v>
      </c>
      <c r="L64" s="223">
        <f t="shared" si="3"/>
        <v>884696.41249780636</v>
      </c>
      <c r="M64" s="114">
        <f t="shared" si="4"/>
        <v>1</v>
      </c>
      <c r="N64" s="114">
        <f t="shared" si="5"/>
        <v>0</v>
      </c>
      <c r="Q64" s="320">
        <f t="shared" si="6"/>
        <v>5300</v>
      </c>
      <c r="R64" s="101">
        <v>1</v>
      </c>
      <c r="S64" s="101">
        <v>0</v>
      </c>
      <c r="T64" s="12"/>
      <c r="U64" s="210"/>
      <c r="V64" s="13"/>
      <c r="W64" s="13"/>
      <c r="X64" s="13"/>
      <c r="Y64" s="13"/>
      <c r="Z64" s="13"/>
      <c r="AA64" s="13"/>
      <c r="AB64" s="13"/>
      <c r="AC64" s="13"/>
      <c r="AD64" s="13"/>
      <c r="AE64" s="13"/>
    </row>
    <row r="65" spans="1:31" ht="21" x14ac:dyDescent="0.4">
      <c r="A65" s="210"/>
      <c r="B65" s="108">
        <v>55</v>
      </c>
      <c r="C65" s="297">
        <v>2351.8921829877304</v>
      </c>
      <c r="D65" s="297">
        <v>2996.7246761043161</v>
      </c>
      <c r="E65" s="297">
        <v>17.391045877951395</v>
      </c>
      <c r="F65" s="297">
        <v>12.243936812604055</v>
      </c>
      <c r="G65" s="322">
        <v>-644.83249311658574</v>
      </c>
      <c r="H65" s="322">
        <v>5.1471090653473404</v>
      </c>
      <c r="I65" s="322">
        <v>-125.28051862314108</v>
      </c>
      <c r="K65" s="223">
        <f t="shared" si="3"/>
        <v>1041110.8604940959</v>
      </c>
      <c r="L65" s="223">
        <f t="shared" si="3"/>
        <v>731639.48408013908</v>
      </c>
      <c r="M65" s="114">
        <f t="shared" si="4"/>
        <v>1</v>
      </c>
      <c r="N65" s="114">
        <f t="shared" si="5"/>
        <v>0</v>
      </c>
      <c r="Q65" s="320">
        <f t="shared" si="6"/>
        <v>5400</v>
      </c>
      <c r="R65" s="101">
        <v>1</v>
      </c>
      <c r="S65" s="101">
        <v>0</v>
      </c>
      <c r="T65" s="12"/>
      <c r="U65" s="210"/>
      <c r="V65" s="13"/>
      <c r="W65" s="13"/>
      <c r="X65" s="13"/>
      <c r="Y65" s="13"/>
      <c r="Z65" s="13"/>
      <c r="AA65" s="13"/>
      <c r="AB65" s="13"/>
      <c r="AC65" s="13"/>
      <c r="AD65" s="13"/>
      <c r="AE65" s="13"/>
    </row>
    <row r="66" spans="1:31" ht="21" x14ac:dyDescent="0.4">
      <c r="A66" s="210"/>
      <c r="B66" s="108">
        <v>56</v>
      </c>
      <c r="C66" s="297">
        <v>1929.0636811480467</v>
      </c>
      <c r="D66" s="297">
        <v>3104.7461996557431</v>
      </c>
      <c r="E66" s="297">
        <v>19.262454362844423</v>
      </c>
      <c r="F66" s="297">
        <v>14.494643079146432</v>
      </c>
      <c r="G66" s="322">
        <v>-1175.6825185076964</v>
      </c>
      <c r="H66" s="322">
        <v>4.7678112836979913</v>
      </c>
      <c r="I66" s="322">
        <v>-246.58746929174137</v>
      </c>
      <c r="K66" s="223">
        <f t="shared" si="3"/>
        <v>1153818.1980895174</v>
      </c>
      <c r="L66" s="223">
        <f t="shared" si="3"/>
        <v>866573.83854913025</v>
      </c>
      <c r="M66" s="114">
        <f t="shared" si="4"/>
        <v>1</v>
      </c>
      <c r="N66" s="114">
        <f t="shared" si="5"/>
        <v>0</v>
      </c>
      <c r="Q66" s="320">
        <f t="shared" si="6"/>
        <v>5500</v>
      </c>
      <c r="R66" s="101">
        <v>1</v>
      </c>
      <c r="S66" s="101">
        <v>0</v>
      </c>
      <c r="T66" s="12"/>
      <c r="U66" s="210"/>
      <c r="V66" s="13"/>
      <c r="W66" s="13"/>
      <c r="X66" s="13"/>
      <c r="Y66" s="13"/>
      <c r="Z66" s="13"/>
      <c r="AA66" s="13"/>
      <c r="AB66" s="13"/>
      <c r="AC66" s="13"/>
      <c r="AD66" s="13"/>
      <c r="AE66" s="13"/>
    </row>
    <row r="67" spans="1:31" ht="21" x14ac:dyDescent="0.4">
      <c r="A67" s="210"/>
      <c r="B67" s="108">
        <v>57</v>
      </c>
      <c r="C67" s="297">
        <v>1999.1762898652255</v>
      </c>
      <c r="D67" s="297">
        <v>3029.5773535767512</v>
      </c>
      <c r="E67" s="297">
        <v>18.062453778772962</v>
      </c>
      <c r="F67" s="297">
        <v>12.772694466139081</v>
      </c>
      <c r="G67" s="322">
        <v>-1030.4010637115257</v>
      </c>
      <c r="H67" s="322">
        <v>5.2897593126338815</v>
      </c>
      <c r="I67" s="322">
        <v>-194.79167251533559</v>
      </c>
      <c r="K67" s="223">
        <f t="shared" si="3"/>
        <v>1081748.0504365126</v>
      </c>
      <c r="L67" s="223">
        <f t="shared" si="3"/>
        <v>763332.09061476809</v>
      </c>
      <c r="M67" s="114">
        <f t="shared" si="4"/>
        <v>1</v>
      </c>
      <c r="N67" s="114">
        <f t="shared" si="5"/>
        <v>0</v>
      </c>
      <c r="Q67" s="320">
        <f t="shared" si="6"/>
        <v>5600</v>
      </c>
      <c r="R67" s="101">
        <v>1</v>
      </c>
      <c r="S67" s="101">
        <v>0</v>
      </c>
      <c r="T67" s="12"/>
      <c r="U67" s="210"/>
      <c r="V67" s="13"/>
      <c r="W67" s="13"/>
      <c r="X67" s="13"/>
      <c r="Y67" s="13"/>
      <c r="Z67" s="13"/>
      <c r="AA67" s="13"/>
      <c r="AB67" s="13"/>
      <c r="AC67" s="13"/>
      <c r="AD67" s="13"/>
      <c r="AE67" s="13"/>
    </row>
    <row r="68" spans="1:31" ht="21" x14ac:dyDescent="0.4">
      <c r="A68" s="210"/>
      <c r="B68" s="108">
        <v>58</v>
      </c>
      <c r="C68" s="297">
        <v>2063.5156771245602</v>
      </c>
      <c r="D68" s="297">
        <v>2920.7759382456602</v>
      </c>
      <c r="E68" s="297">
        <v>21.360087963790598</v>
      </c>
      <c r="F68" s="297">
        <v>15.657933254896985</v>
      </c>
      <c r="G68" s="322">
        <v>-857.26026112110003</v>
      </c>
      <c r="H68" s="322">
        <v>5.7021547088936124</v>
      </c>
      <c r="I68" s="322">
        <v>-150.33970575790181</v>
      </c>
      <c r="K68" s="223">
        <f t="shared" si="3"/>
        <v>1279541.7621503114</v>
      </c>
      <c r="L68" s="223">
        <f t="shared" si="3"/>
        <v>936555.21935557341</v>
      </c>
      <c r="M68" s="114">
        <f t="shared" si="4"/>
        <v>1</v>
      </c>
      <c r="N68" s="114">
        <f t="shared" si="5"/>
        <v>0</v>
      </c>
      <c r="Q68" s="320">
        <f t="shared" si="6"/>
        <v>5700</v>
      </c>
      <c r="R68" s="101">
        <v>1</v>
      </c>
      <c r="S68" s="101">
        <v>0</v>
      </c>
      <c r="T68" s="12"/>
      <c r="U68" s="210"/>
      <c r="V68" s="13"/>
      <c r="W68" s="13"/>
      <c r="X68" s="13"/>
      <c r="Y68" s="13"/>
      <c r="Z68" s="13"/>
      <c r="AA68" s="13"/>
      <c r="AB68" s="13"/>
      <c r="AC68" s="13"/>
      <c r="AD68" s="13"/>
      <c r="AE68" s="13"/>
    </row>
    <row r="69" spans="1:31" ht="21" x14ac:dyDescent="0.4">
      <c r="A69" s="210"/>
      <c r="B69" s="108">
        <v>59</v>
      </c>
      <c r="C69" s="297">
        <v>2246.186100503237</v>
      </c>
      <c r="D69" s="297">
        <v>3230.5512607892888</v>
      </c>
      <c r="E69" s="297">
        <v>16.982256725594709</v>
      </c>
      <c r="F69" s="297">
        <v>11.886651792204622</v>
      </c>
      <c r="G69" s="322">
        <v>-984.36516028605183</v>
      </c>
      <c r="H69" s="322">
        <v>5.0956049333900868</v>
      </c>
      <c r="I69" s="322">
        <v>-193.17925411284924</v>
      </c>
      <c r="K69" s="223">
        <f t="shared" si="3"/>
        <v>1016689.2174351794</v>
      </c>
      <c r="L69" s="223">
        <f t="shared" si="3"/>
        <v>709968.55627148808</v>
      </c>
      <c r="M69" s="114">
        <f t="shared" si="4"/>
        <v>1</v>
      </c>
      <c r="N69" s="114">
        <f t="shared" si="5"/>
        <v>0</v>
      </c>
      <c r="Q69" s="320">
        <f t="shared" si="6"/>
        <v>5800</v>
      </c>
      <c r="R69" s="101">
        <v>1</v>
      </c>
      <c r="S69" s="101">
        <v>0</v>
      </c>
      <c r="T69" s="12"/>
      <c r="U69" s="210"/>
      <c r="V69" s="13"/>
      <c r="W69" s="13"/>
      <c r="X69" s="13"/>
      <c r="Y69" s="13"/>
      <c r="Z69" s="13"/>
      <c r="AA69" s="13"/>
      <c r="AB69" s="13"/>
      <c r="AC69" s="13"/>
      <c r="AD69" s="13"/>
      <c r="AE69" s="13"/>
    </row>
    <row r="70" spans="1:31" ht="21" x14ac:dyDescent="0.4">
      <c r="A70" s="210"/>
      <c r="B70" s="108">
        <v>60</v>
      </c>
      <c r="C70" s="297">
        <v>2197.388499378289</v>
      </c>
      <c r="D70" s="297">
        <v>2657.4277254101535</v>
      </c>
      <c r="E70" s="297">
        <v>18.981710012700855</v>
      </c>
      <c r="F70" s="297">
        <v>14.748911033461642</v>
      </c>
      <c r="G70" s="322">
        <v>-460.03922603186447</v>
      </c>
      <c r="H70" s="322">
        <v>4.2327989792392131</v>
      </c>
      <c r="I70" s="322">
        <v>-108.6844020441883</v>
      </c>
      <c r="K70" s="223">
        <f t="shared" si="3"/>
        <v>1136705.2122626731</v>
      </c>
      <c r="L70" s="223">
        <f t="shared" si="3"/>
        <v>882277.23428228835</v>
      </c>
      <c r="M70" s="114">
        <f t="shared" si="4"/>
        <v>1</v>
      </c>
      <c r="N70" s="114">
        <f t="shared" si="5"/>
        <v>0</v>
      </c>
      <c r="Q70" s="320">
        <f t="shared" si="6"/>
        <v>5900</v>
      </c>
      <c r="R70" s="101">
        <v>1</v>
      </c>
      <c r="S70" s="101">
        <v>0</v>
      </c>
      <c r="T70" s="12"/>
      <c r="U70" s="210"/>
      <c r="V70" s="13"/>
      <c r="W70" s="13"/>
      <c r="X70" s="13"/>
      <c r="Y70" s="13"/>
      <c r="Z70" s="13"/>
      <c r="AA70" s="13"/>
      <c r="AB70" s="13"/>
      <c r="AC70" s="13"/>
      <c r="AD70" s="13"/>
      <c r="AE70" s="13"/>
    </row>
    <row r="71" spans="1:31" ht="21" x14ac:dyDescent="0.4">
      <c r="A71" s="210"/>
      <c r="B71" s="108">
        <v>61</v>
      </c>
      <c r="C71" s="297">
        <v>2093.009035313904</v>
      </c>
      <c r="D71" s="297">
        <v>3073.4883858922931</v>
      </c>
      <c r="E71" s="297">
        <v>18.92947428452894</v>
      </c>
      <c r="F71" s="297">
        <v>13.385387943489075</v>
      </c>
      <c r="G71" s="322">
        <v>-980.47935057838913</v>
      </c>
      <c r="H71" s="322">
        <v>5.5440863410398649</v>
      </c>
      <c r="I71" s="322">
        <v>-176.85138547003356</v>
      </c>
      <c r="K71" s="223">
        <f t="shared" si="3"/>
        <v>1133675.4480364225</v>
      </c>
      <c r="L71" s="223">
        <f t="shared" si="3"/>
        <v>800049.78822345228</v>
      </c>
      <c r="M71" s="114">
        <f t="shared" si="4"/>
        <v>1</v>
      </c>
      <c r="N71" s="114">
        <f t="shared" si="5"/>
        <v>0</v>
      </c>
      <c r="Q71" s="320">
        <f t="shared" si="6"/>
        <v>6000</v>
      </c>
      <c r="R71" s="101">
        <v>1</v>
      </c>
      <c r="S71" s="101">
        <v>0</v>
      </c>
      <c r="T71" s="12"/>
      <c r="U71" s="210"/>
      <c r="V71" s="13"/>
      <c r="W71" s="13"/>
      <c r="X71" s="13"/>
      <c r="Y71" s="13"/>
      <c r="Z71" s="13"/>
      <c r="AA71" s="13"/>
      <c r="AB71" s="13"/>
      <c r="AC71" s="13"/>
      <c r="AD71" s="13"/>
      <c r="AE71" s="13"/>
    </row>
    <row r="72" spans="1:31" ht="21" x14ac:dyDescent="0.4">
      <c r="A72" s="210"/>
      <c r="B72" s="108">
        <v>62</v>
      </c>
      <c r="C72" s="297">
        <v>2211.1047180574242</v>
      </c>
      <c r="D72" s="297">
        <v>2887.2371032977653</v>
      </c>
      <c r="E72" s="297">
        <v>14.840810882042426</v>
      </c>
      <c r="F72" s="297">
        <v>11.339280701355253</v>
      </c>
      <c r="G72" s="322">
        <v>-676.13238524034114</v>
      </c>
      <c r="H72" s="322">
        <v>3.5015301806871726</v>
      </c>
      <c r="I72" s="322">
        <v>-193.09626087748035</v>
      </c>
      <c r="K72" s="223">
        <f t="shared" si="3"/>
        <v>888237.54820448812</v>
      </c>
      <c r="L72" s="223">
        <f t="shared" si="3"/>
        <v>677469.60497801751</v>
      </c>
      <c r="M72" s="114">
        <f t="shared" si="4"/>
        <v>1</v>
      </c>
      <c r="N72" s="114">
        <f t="shared" si="5"/>
        <v>0</v>
      </c>
      <c r="Q72" s="320">
        <f t="shared" si="6"/>
        <v>6100</v>
      </c>
      <c r="R72" s="101">
        <v>1</v>
      </c>
      <c r="S72" s="101">
        <v>0</v>
      </c>
      <c r="T72" s="12"/>
      <c r="U72" s="210"/>
      <c r="V72" s="13"/>
      <c r="W72" s="13"/>
      <c r="X72" s="13"/>
      <c r="Y72" s="13"/>
      <c r="Z72" s="13"/>
      <c r="AA72" s="13"/>
      <c r="AB72" s="13"/>
      <c r="AC72" s="13"/>
      <c r="AD72" s="13"/>
      <c r="AE72" s="13"/>
    </row>
    <row r="73" spans="1:31" ht="21" x14ac:dyDescent="0.4">
      <c r="A73" s="210"/>
      <c r="B73" s="108">
        <v>63</v>
      </c>
      <c r="C73" s="297">
        <v>1958.2088779765463</v>
      </c>
      <c r="D73" s="297">
        <v>2928.6662649672053</v>
      </c>
      <c r="E73" s="297">
        <v>19.121281015404055</v>
      </c>
      <c r="F73" s="297">
        <v>14.287839108805793</v>
      </c>
      <c r="G73" s="322">
        <v>-970.45738699065896</v>
      </c>
      <c r="H73" s="322">
        <v>4.8334419065982619</v>
      </c>
      <c r="I73" s="322">
        <v>-200.7797767602961</v>
      </c>
      <c r="K73" s="223">
        <f t="shared" si="3"/>
        <v>1145318.6520462667</v>
      </c>
      <c r="L73" s="223">
        <f t="shared" si="3"/>
        <v>854341.6802633804</v>
      </c>
      <c r="M73" s="114">
        <f t="shared" si="4"/>
        <v>1</v>
      </c>
      <c r="N73" s="114">
        <f t="shared" si="5"/>
        <v>0</v>
      </c>
      <c r="Q73" s="320">
        <f t="shared" si="6"/>
        <v>6200</v>
      </c>
      <c r="R73" s="101">
        <v>1</v>
      </c>
      <c r="S73" s="101">
        <v>0</v>
      </c>
      <c r="T73" s="12"/>
      <c r="U73" s="210"/>
      <c r="V73" s="13"/>
      <c r="W73" s="13"/>
      <c r="X73" s="13"/>
      <c r="Y73" s="13"/>
      <c r="Z73" s="13"/>
      <c r="AA73" s="13"/>
      <c r="AB73" s="13"/>
      <c r="AC73" s="13"/>
      <c r="AD73" s="13"/>
      <c r="AE73" s="13"/>
    </row>
    <row r="74" spans="1:31" ht="21" x14ac:dyDescent="0.4">
      <c r="A74" s="210"/>
      <c r="B74" s="108">
        <v>64</v>
      </c>
      <c r="C74" s="297">
        <v>2110.9781464298371</v>
      </c>
      <c r="D74" s="297">
        <v>3420.5467658661837</v>
      </c>
      <c r="E74" s="297">
        <v>18.111379593112989</v>
      </c>
      <c r="F74" s="297">
        <v>12.608683899974011</v>
      </c>
      <c r="G74" s="322">
        <v>-1309.5686194363466</v>
      </c>
      <c r="H74" s="322">
        <v>5.5026956931389783</v>
      </c>
      <c r="I74" s="322">
        <v>-237.98674185621036</v>
      </c>
      <c r="K74" s="223">
        <f t="shared" si="3"/>
        <v>1084571.7974403496</v>
      </c>
      <c r="L74" s="223">
        <f t="shared" si="3"/>
        <v>753100.48723257438</v>
      </c>
      <c r="M74" s="114">
        <f t="shared" si="4"/>
        <v>1</v>
      </c>
      <c r="N74" s="114">
        <f t="shared" si="5"/>
        <v>0</v>
      </c>
      <c r="Q74" s="320">
        <f t="shared" si="6"/>
        <v>6300</v>
      </c>
      <c r="R74" s="101">
        <v>1</v>
      </c>
      <c r="S74" s="101">
        <v>0</v>
      </c>
      <c r="T74" s="12"/>
      <c r="U74" s="210"/>
      <c r="V74" s="13"/>
      <c r="W74" s="13"/>
      <c r="X74" s="13"/>
      <c r="Y74" s="13"/>
      <c r="Z74" s="13"/>
      <c r="AA74" s="13"/>
      <c r="AB74" s="13"/>
      <c r="AC74" s="13"/>
      <c r="AD74" s="13"/>
      <c r="AE74" s="13"/>
    </row>
    <row r="75" spans="1:31" ht="21" x14ac:dyDescent="0.4">
      <c r="A75" s="210"/>
      <c r="B75" s="108">
        <v>65</v>
      </c>
      <c r="C75" s="297">
        <v>1988.4440614568794</v>
      </c>
      <c r="D75" s="297">
        <v>3123.0008419010437</v>
      </c>
      <c r="E75" s="297">
        <v>18.366044600712172</v>
      </c>
      <c r="F75" s="297">
        <v>13.528207661422835</v>
      </c>
      <c r="G75" s="322">
        <v>-1134.5567804441644</v>
      </c>
      <c r="H75" s="322">
        <v>4.8378369392893372</v>
      </c>
      <c r="I75" s="322">
        <v>-234.51736688976274</v>
      </c>
      <c r="K75" s="223">
        <f t="shared" si="3"/>
        <v>1099974.2319812733</v>
      </c>
      <c r="L75" s="223">
        <f t="shared" si="3"/>
        <v>808569.45884346904</v>
      </c>
      <c r="M75" s="114">
        <f t="shared" si="4"/>
        <v>1</v>
      </c>
      <c r="N75" s="114">
        <f t="shared" si="5"/>
        <v>0</v>
      </c>
      <c r="Q75" s="320">
        <f t="shared" si="6"/>
        <v>6400</v>
      </c>
      <c r="R75" s="101">
        <v>1</v>
      </c>
      <c r="S75" s="101">
        <v>0</v>
      </c>
      <c r="T75" s="12"/>
      <c r="U75" s="210"/>
      <c r="V75" s="13"/>
      <c r="W75" s="13"/>
      <c r="X75" s="13"/>
      <c r="Y75" s="13"/>
      <c r="Z75" s="13"/>
      <c r="AA75" s="13"/>
      <c r="AB75" s="13"/>
      <c r="AC75" s="13"/>
      <c r="AD75" s="13"/>
      <c r="AE75" s="13"/>
    </row>
    <row r="76" spans="1:31" ht="21" x14ac:dyDescent="0.4">
      <c r="A76" s="210"/>
      <c r="B76" s="108">
        <v>66</v>
      </c>
      <c r="C76" s="297">
        <v>1894.6505722409322</v>
      </c>
      <c r="D76" s="297">
        <v>2976.3186104038778</v>
      </c>
      <c r="E76" s="297">
        <v>18.857923522917481</v>
      </c>
      <c r="F76" s="297">
        <v>12.977567769424425</v>
      </c>
      <c r="G76" s="322">
        <v>-1081.6680381629455</v>
      </c>
      <c r="H76" s="322">
        <v>5.8803557534930562</v>
      </c>
      <c r="I76" s="322">
        <v>-183.94602019111034</v>
      </c>
      <c r="K76" s="223">
        <f t="shared" ref="K76:L139" si="7">E76*$N$4-C76</f>
        <v>1129580.760802808</v>
      </c>
      <c r="L76" s="223">
        <f t="shared" si="7"/>
        <v>775677.74755506159</v>
      </c>
      <c r="M76" s="114">
        <f t="shared" ref="M76:M139" si="8">IF(MAX(K76:L76)=K76,1,0)</f>
        <v>1</v>
      </c>
      <c r="N76" s="114">
        <f t="shared" ref="N76:N139" si="9">IF(MAX(K76:L76)=L76,1,0)</f>
        <v>0</v>
      </c>
      <c r="Q76" s="320">
        <f t="shared" si="6"/>
        <v>6500</v>
      </c>
      <c r="R76" s="101">
        <v>1</v>
      </c>
      <c r="S76" s="101">
        <v>0</v>
      </c>
      <c r="T76" s="12"/>
      <c r="U76" s="210"/>
      <c r="V76" s="13"/>
      <c r="W76" s="13"/>
      <c r="X76" s="13"/>
      <c r="Y76" s="13"/>
      <c r="Z76" s="13"/>
      <c r="AA76" s="13"/>
      <c r="AB76" s="13"/>
      <c r="AC76" s="13"/>
      <c r="AD76" s="13"/>
      <c r="AE76" s="13"/>
    </row>
    <row r="77" spans="1:31" ht="21" x14ac:dyDescent="0.4">
      <c r="A77" s="210"/>
      <c r="B77" s="108">
        <v>67</v>
      </c>
      <c r="C77" s="297">
        <v>2282.182936365045</v>
      </c>
      <c r="D77" s="297">
        <v>3324.4827889561939</v>
      </c>
      <c r="E77" s="297">
        <v>16.351587167457986</v>
      </c>
      <c r="F77" s="297">
        <v>11.799921892657759</v>
      </c>
      <c r="G77" s="322">
        <v>-1042.2998525911489</v>
      </c>
      <c r="H77" s="322">
        <v>4.5516652748002269</v>
      </c>
      <c r="I77" s="322">
        <v>-228.99308048017559</v>
      </c>
      <c r="K77" s="223">
        <f t="shared" si="7"/>
        <v>978813.04711111414</v>
      </c>
      <c r="L77" s="223">
        <f t="shared" si="7"/>
        <v>704670.83077050943</v>
      </c>
      <c r="M77" s="114">
        <f t="shared" si="8"/>
        <v>1</v>
      </c>
      <c r="N77" s="114">
        <f t="shared" si="9"/>
        <v>0</v>
      </c>
      <c r="Q77" s="320">
        <f t="shared" ref="Q77:Q140" si="10">Q76+100</f>
        <v>6600</v>
      </c>
      <c r="R77" s="101">
        <v>1</v>
      </c>
      <c r="S77" s="101">
        <v>0</v>
      </c>
      <c r="T77" s="12"/>
      <c r="U77" s="210"/>
      <c r="V77" s="13"/>
      <c r="W77" s="13"/>
      <c r="X77" s="13"/>
      <c r="Y77" s="13"/>
      <c r="Z77" s="13"/>
      <c r="AA77" s="13"/>
      <c r="AB77" s="13"/>
      <c r="AC77" s="13"/>
      <c r="AD77" s="13"/>
      <c r="AE77" s="13"/>
    </row>
    <row r="78" spans="1:31" ht="21" x14ac:dyDescent="0.4">
      <c r="A78" s="210"/>
      <c r="B78" s="108">
        <v>68</v>
      </c>
      <c r="C78" s="297">
        <v>2085.9348975324647</v>
      </c>
      <c r="D78" s="297">
        <v>2486.0296783413983</v>
      </c>
      <c r="E78" s="297">
        <v>20.087684995581405</v>
      </c>
      <c r="F78" s="297">
        <v>14.894475823849916</v>
      </c>
      <c r="G78" s="322">
        <v>-400.09478080893359</v>
      </c>
      <c r="H78" s="322">
        <v>5.193209171731489</v>
      </c>
      <c r="I78" s="322">
        <v>-77.041915235533708</v>
      </c>
      <c r="K78" s="223">
        <f t="shared" si="7"/>
        <v>1203175.1648373518</v>
      </c>
      <c r="L78" s="223">
        <f t="shared" si="7"/>
        <v>891182.51975265366</v>
      </c>
      <c r="M78" s="114">
        <f t="shared" si="8"/>
        <v>1</v>
      </c>
      <c r="N78" s="114">
        <f t="shared" si="9"/>
        <v>0</v>
      </c>
      <c r="Q78" s="320">
        <f t="shared" si="10"/>
        <v>6700</v>
      </c>
      <c r="R78" s="101">
        <v>1</v>
      </c>
      <c r="S78" s="101">
        <v>0</v>
      </c>
      <c r="T78" s="12"/>
      <c r="U78" s="210"/>
      <c r="V78" s="13"/>
      <c r="W78" s="13"/>
      <c r="X78" s="13"/>
      <c r="Y78" s="13"/>
      <c r="Z78" s="13"/>
      <c r="AA78" s="13"/>
      <c r="AB78" s="13"/>
      <c r="AC78" s="13"/>
      <c r="AD78" s="13"/>
      <c r="AE78" s="13"/>
    </row>
    <row r="79" spans="1:31" ht="21" x14ac:dyDescent="0.4">
      <c r="A79" s="210"/>
      <c r="B79" s="108">
        <v>69</v>
      </c>
      <c r="C79" s="297">
        <v>1969.6721437010422</v>
      </c>
      <c r="D79" s="297">
        <v>3442.7293890020546</v>
      </c>
      <c r="E79" s="297">
        <v>17.996773994382835</v>
      </c>
      <c r="F79" s="297">
        <v>13.516609231163461</v>
      </c>
      <c r="G79" s="322">
        <v>-1473.0572453010125</v>
      </c>
      <c r="H79" s="322">
        <v>4.4801647632193742</v>
      </c>
      <c r="I79" s="322">
        <v>-328.79532855450105</v>
      </c>
      <c r="K79" s="223">
        <f t="shared" si="7"/>
        <v>1077836.7675192691</v>
      </c>
      <c r="L79" s="223">
        <f t="shared" si="7"/>
        <v>807553.82448080555</v>
      </c>
      <c r="M79" s="114">
        <f t="shared" si="8"/>
        <v>1</v>
      </c>
      <c r="N79" s="114">
        <f t="shared" si="9"/>
        <v>0</v>
      </c>
      <c r="Q79" s="320">
        <f t="shared" si="10"/>
        <v>6800</v>
      </c>
      <c r="R79" s="101">
        <v>1</v>
      </c>
      <c r="S79" s="101">
        <v>0</v>
      </c>
      <c r="T79" s="12"/>
      <c r="U79" s="210"/>
      <c r="V79" s="13"/>
      <c r="W79" s="13"/>
      <c r="X79" s="13"/>
      <c r="Y79" s="13"/>
      <c r="Z79" s="13"/>
      <c r="AA79" s="13"/>
      <c r="AB79" s="13"/>
      <c r="AC79" s="13"/>
      <c r="AD79" s="13"/>
      <c r="AE79" s="13"/>
    </row>
    <row r="80" spans="1:31" ht="21" x14ac:dyDescent="0.4">
      <c r="A80" s="210"/>
      <c r="B80" s="108">
        <v>70</v>
      </c>
      <c r="C80" s="297">
        <v>2180.5058047163034</v>
      </c>
      <c r="D80" s="297">
        <v>2943.2204498584615</v>
      </c>
      <c r="E80" s="297">
        <v>18.481524063956371</v>
      </c>
      <c r="F80" s="297">
        <v>14.098475214276835</v>
      </c>
      <c r="G80" s="322">
        <v>-762.71464514215813</v>
      </c>
      <c r="H80" s="322">
        <v>4.3830488496795361</v>
      </c>
      <c r="I80" s="322">
        <v>-174.01463485809052</v>
      </c>
      <c r="K80" s="223">
        <f t="shared" si="7"/>
        <v>1106710.938032666</v>
      </c>
      <c r="L80" s="223">
        <f t="shared" si="7"/>
        <v>842965.29240675166</v>
      </c>
      <c r="M80" s="114">
        <f t="shared" si="8"/>
        <v>1</v>
      </c>
      <c r="N80" s="114">
        <f t="shared" si="9"/>
        <v>0</v>
      </c>
      <c r="Q80" s="320">
        <f t="shared" si="10"/>
        <v>6900</v>
      </c>
      <c r="R80" s="101">
        <v>1</v>
      </c>
      <c r="S80" s="101">
        <v>0</v>
      </c>
      <c r="T80" s="12"/>
      <c r="U80" s="210"/>
      <c r="V80" s="13"/>
      <c r="W80" s="13"/>
      <c r="X80" s="13"/>
      <c r="Y80" s="13"/>
      <c r="Z80" s="13"/>
      <c r="AA80" s="13"/>
      <c r="AB80" s="13"/>
      <c r="AC80" s="13"/>
      <c r="AD80" s="13"/>
      <c r="AE80" s="13"/>
    </row>
    <row r="81" spans="1:31" ht="21" x14ac:dyDescent="0.4">
      <c r="A81" s="210"/>
      <c r="B81" s="108">
        <v>71</v>
      </c>
      <c r="C81" s="297">
        <v>2134.7101417832196</v>
      </c>
      <c r="D81" s="297">
        <v>2922.7845273914545</v>
      </c>
      <c r="E81" s="297">
        <v>19.029099655448867</v>
      </c>
      <c r="F81" s="297">
        <v>13.62995149771486</v>
      </c>
      <c r="G81" s="322">
        <v>-788.07438560823493</v>
      </c>
      <c r="H81" s="322">
        <v>5.3991481577340075</v>
      </c>
      <c r="I81" s="322">
        <v>-145.9627264496082</v>
      </c>
      <c r="K81" s="223">
        <f t="shared" si="7"/>
        <v>1139611.2691851489</v>
      </c>
      <c r="L81" s="223">
        <f t="shared" si="7"/>
        <v>814874.30533550016</v>
      </c>
      <c r="M81" s="114">
        <f t="shared" si="8"/>
        <v>1</v>
      </c>
      <c r="N81" s="114">
        <f t="shared" si="9"/>
        <v>0</v>
      </c>
      <c r="Q81" s="320">
        <f t="shared" si="10"/>
        <v>7000</v>
      </c>
      <c r="R81" s="101">
        <v>1</v>
      </c>
      <c r="S81" s="101">
        <v>0</v>
      </c>
      <c r="T81" s="12"/>
      <c r="U81" s="210"/>
      <c r="V81" s="13"/>
      <c r="W81" s="13"/>
      <c r="X81" s="13"/>
      <c r="Y81" s="13"/>
      <c r="Z81" s="13"/>
      <c r="AA81" s="13"/>
      <c r="AB81" s="13"/>
      <c r="AC81" s="13"/>
      <c r="AD81" s="13"/>
      <c r="AE81" s="13"/>
    </row>
    <row r="82" spans="1:31" ht="21" x14ac:dyDescent="0.4">
      <c r="A82" s="210"/>
      <c r="B82" s="108">
        <v>72</v>
      </c>
      <c r="C82" s="297">
        <v>2161.2823066855185</v>
      </c>
      <c r="D82" s="297">
        <v>3150.6205982718066</v>
      </c>
      <c r="E82" s="297">
        <v>17.840162896333815</v>
      </c>
      <c r="F82" s="297">
        <v>12.606928484945321</v>
      </c>
      <c r="G82" s="322">
        <v>-989.33829158628805</v>
      </c>
      <c r="H82" s="322">
        <v>5.2332344113884943</v>
      </c>
      <c r="I82" s="322">
        <v>-189.04910688374733</v>
      </c>
      <c r="K82" s="223">
        <f t="shared" si="7"/>
        <v>1068248.4914733435</v>
      </c>
      <c r="L82" s="223">
        <f t="shared" si="7"/>
        <v>753265.08849844744</v>
      </c>
      <c r="M82" s="114">
        <f t="shared" si="8"/>
        <v>1</v>
      </c>
      <c r="N82" s="114">
        <f t="shared" si="9"/>
        <v>0</v>
      </c>
      <c r="Q82" s="320">
        <f t="shared" si="10"/>
        <v>7100</v>
      </c>
      <c r="R82" s="101">
        <v>1</v>
      </c>
      <c r="S82" s="101">
        <v>0</v>
      </c>
      <c r="T82" s="12"/>
      <c r="U82" s="210"/>
      <c r="V82" s="13"/>
      <c r="W82" s="13"/>
      <c r="X82" s="13"/>
      <c r="Y82" s="13"/>
      <c r="Z82" s="13"/>
      <c r="AA82" s="13"/>
      <c r="AB82" s="13"/>
      <c r="AC82" s="13"/>
      <c r="AD82" s="13"/>
      <c r="AE82" s="13"/>
    </row>
    <row r="83" spans="1:31" ht="21" x14ac:dyDescent="0.4">
      <c r="A83" s="210"/>
      <c r="B83" s="108">
        <v>73</v>
      </c>
      <c r="C83" s="297">
        <v>2218.2465083753145</v>
      </c>
      <c r="D83" s="297">
        <v>3169.3352589017099</v>
      </c>
      <c r="E83" s="297">
        <v>17.860406337234945</v>
      </c>
      <c r="F83" s="297">
        <v>12.89985563984504</v>
      </c>
      <c r="G83" s="322">
        <v>-951.08875052639542</v>
      </c>
      <c r="H83" s="322">
        <v>4.9605506973899054</v>
      </c>
      <c r="I83" s="322">
        <v>-191.73047682525049</v>
      </c>
      <c r="K83" s="223">
        <f t="shared" si="7"/>
        <v>1069406.1337257214</v>
      </c>
      <c r="L83" s="223">
        <f t="shared" si="7"/>
        <v>770822.00313180068</v>
      </c>
      <c r="M83" s="114">
        <f t="shared" si="8"/>
        <v>1</v>
      </c>
      <c r="N83" s="114">
        <f t="shared" si="9"/>
        <v>0</v>
      </c>
      <c r="Q83" s="320">
        <f t="shared" si="10"/>
        <v>7200</v>
      </c>
      <c r="R83" s="101">
        <v>1</v>
      </c>
      <c r="S83" s="101">
        <v>0</v>
      </c>
      <c r="T83" s="12"/>
      <c r="U83" s="210"/>
      <c r="V83" s="13"/>
      <c r="W83" s="13"/>
      <c r="X83" s="13"/>
      <c r="Y83" s="13"/>
      <c r="Z83" s="13"/>
      <c r="AA83" s="13"/>
      <c r="AB83" s="13"/>
      <c r="AC83" s="13"/>
      <c r="AD83" s="13"/>
      <c r="AE83" s="13"/>
    </row>
    <row r="84" spans="1:31" ht="21" x14ac:dyDescent="0.4">
      <c r="A84" s="210"/>
      <c r="B84" s="108">
        <v>74</v>
      </c>
      <c r="C84" s="297">
        <v>2116.9930064696246</v>
      </c>
      <c r="D84" s="297">
        <v>3112.9731006999809</v>
      </c>
      <c r="E84" s="297">
        <v>21.040113435227326</v>
      </c>
      <c r="F84" s="297">
        <v>15.139809524468101</v>
      </c>
      <c r="G84" s="322">
        <v>-995.98009423035637</v>
      </c>
      <c r="H84" s="322">
        <v>5.9003039107592254</v>
      </c>
      <c r="I84" s="322">
        <v>-168.80149044766713</v>
      </c>
      <c r="K84" s="223">
        <f t="shared" si="7"/>
        <v>1260289.8131071699</v>
      </c>
      <c r="L84" s="223">
        <f t="shared" si="7"/>
        <v>905275.59836738603</v>
      </c>
      <c r="M84" s="114">
        <f t="shared" si="8"/>
        <v>1</v>
      </c>
      <c r="N84" s="114">
        <f t="shared" si="9"/>
        <v>0</v>
      </c>
      <c r="Q84" s="320">
        <f t="shared" si="10"/>
        <v>7300</v>
      </c>
      <c r="R84" s="101">
        <v>1</v>
      </c>
      <c r="S84" s="101">
        <v>0</v>
      </c>
      <c r="T84" s="12"/>
      <c r="U84" s="210"/>
      <c r="V84" s="13"/>
      <c r="W84" s="13"/>
      <c r="X84" s="13"/>
      <c r="Y84" s="13"/>
      <c r="Z84" s="13"/>
      <c r="AA84" s="13"/>
      <c r="AB84" s="13"/>
      <c r="AC84" s="13"/>
      <c r="AD84" s="13"/>
      <c r="AE84" s="13"/>
    </row>
    <row r="85" spans="1:31" ht="21" x14ac:dyDescent="0.4">
      <c r="A85" s="210"/>
      <c r="B85" s="108">
        <v>75</v>
      </c>
      <c r="C85" s="297">
        <v>2062.2292461764919</v>
      </c>
      <c r="D85" s="297">
        <v>2903.7503783081374</v>
      </c>
      <c r="E85" s="297">
        <v>21.307781573611134</v>
      </c>
      <c r="F85" s="297">
        <v>15.509431557810304</v>
      </c>
      <c r="G85" s="322">
        <v>-841.52113213164557</v>
      </c>
      <c r="H85" s="322">
        <v>5.7983500158008301</v>
      </c>
      <c r="I85" s="322">
        <v>-145.13113727844183</v>
      </c>
      <c r="K85" s="223">
        <f t="shared" si="7"/>
        <v>1276404.6651704914</v>
      </c>
      <c r="L85" s="223">
        <f t="shared" si="7"/>
        <v>927662.14309031016</v>
      </c>
      <c r="M85" s="114">
        <f t="shared" si="8"/>
        <v>1</v>
      </c>
      <c r="N85" s="114">
        <f t="shared" si="9"/>
        <v>0</v>
      </c>
      <c r="Q85" s="320">
        <f t="shared" si="10"/>
        <v>7400</v>
      </c>
      <c r="R85" s="101">
        <v>1</v>
      </c>
      <c r="S85" s="101">
        <v>0</v>
      </c>
      <c r="T85" s="12"/>
      <c r="U85" s="210"/>
      <c r="V85" s="13"/>
      <c r="W85" s="13"/>
      <c r="X85" s="13"/>
      <c r="Y85" s="13"/>
      <c r="Z85" s="13"/>
      <c r="AA85" s="13"/>
      <c r="AB85" s="13"/>
      <c r="AC85" s="13"/>
      <c r="AD85" s="13"/>
      <c r="AE85" s="13"/>
    </row>
    <row r="86" spans="1:31" ht="21" x14ac:dyDescent="0.4">
      <c r="A86" s="210"/>
      <c r="B86" s="108">
        <v>76</v>
      </c>
      <c r="C86" s="297">
        <v>2075.4473386730765</v>
      </c>
      <c r="D86" s="297">
        <v>3894.3658624423178</v>
      </c>
      <c r="E86" s="297">
        <v>17.840688580556652</v>
      </c>
      <c r="F86" s="297">
        <v>13.368964679680078</v>
      </c>
      <c r="G86" s="322">
        <v>-1818.9185237692413</v>
      </c>
      <c r="H86" s="322">
        <v>4.4717239008765741</v>
      </c>
      <c r="I86" s="322">
        <v>-406.76002456517631</v>
      </c>
      <c r="K86" s="223">
        <f t="shared" si="7"/>
        <v>1068365.8674947261</v>
      </c>
      <c r="L86" s="223">
        <f t="shared" si="7"/>
        <v>798243.51491836237</v>
      </c>
      <c r="M86" s="114">
        <f t="shared" si="8"/>
        <v>1</v>
      </c>
      <c r="N86" s="114">
        <f t="shared" si="9"/>
        <v>0</v>
      </c>
      <c r="Q86" s="320">
        <f t="shared" si="10"/>
        <v>7500</v>
      </c>
      <c r="R86" s="101">
        <v>1</v>
      </c>
      <c r="S86" s="101">
        <v>0</v>
      </c>
      <c r="T86" s="12"/>
      <c r="U86" s="210"/>
      <c r="V86" s="13"/>
      <c r="W86" s="13"/>
      <c r="X86" s="13"/>
      <c r="Y86" s="13"/>
      <c r="Z86" s="13"/>
      <c r="AA86" s="13"/>
      <c r="AB86" s="13"/>
      <c r="AC86" s="13"/>
      <c r="AD86" s="13"/>
      <c r="AE86" s="13"/>
    </row>
    <row r="87" spans="1:31" ht="21" x14ac:dyDescent="0.4">
      <c r="A87" s="210"/>
      <c r="B87" s="108">
        <v>77</v>
      </c>
      <c r="C87" s="297">
        <v>1877.4242464680642</v>
      </c>
      <c r="D87" s="297">
        <v>2961.7110382470637</v>
      </c>
      <c r="E87" s="297">
        <v>19.203293232138549</v>
      </c>
      <c r="F87" s="297">
        <v>14.496327130426598</v>
      </c>
      <c r="G87" s="322">
        <v>-1084.2867917789995</v>
      </c>
      <c r="H87" s="322">
        <v>4.7069661017119504</v>
      </c>
      <c r="I87" s="322">
        <v>-230.35789261040955</v>
      </c>
      <c r="K87" s="223">
        <f t="shared" si="7"/>
        <v>1150320.1696818448</v>
      </c>
      <c r="L87" s="223">
        <f t="shared" si="7"/>
        <v>866817.9167873488</v>
      </c>
      <c r="M87" s="114">
        <f t="shared" si="8"/>
        <v>1</v>
      </c>
      <c r="N87" s="114">
        <f t="shared" si="9"/>
        <v>0</v>
      </c>
      <c r="Q87" s="320">
        <f t="shared" si="10"/>
        <v>7600</v>
      </c>
      <c r="R87" s="101">
        <v>1</v>
      </c>
      <c r="S87" s="101">
        <v>0</v>
      </c>
      <c r="T87" s="12"/>
      <c r="U87" s="210"/>
      <c r="V87" s="13"/>
      <c r="W87" s="13"/>
      <c r="X87" s="13"/>
      <c r="Y87" s="13"/>
      <c r="Z87" s="13"/>
      <c r="AA87" s="13"/>
      <c r="AB87" s="13"/>
      <c r="AC87" s="13"/>
      <c r="AD87" s="13"/>
      <c r="AE87" s="13"/>
    </row>
    <row r="88" spans="1:31" ht="21" x14ac:dyDescent="0.4">
      <c r="A88" s="210"/>
      <c r="B88" s="108">
        <v>78</v>
      </c>
      <c r="C88" s="297">
        <v>1852.4901684383622</v>
      </c>
      <c r="D88" s="297">
        <v>2969.0852585985858</v>
      </c>
      <c r="E88" s="297">
        <v>21.280838717344231</v>
      </c>
      <c r="F88" s="297">
        <v>15.442005822424305</v>
      </c>
      <c r="G88" s="322">
        <v>-1116.5950901602237</v>
      </c>
      <c r="H88" s="322">
        <v>5.8388328949199266</v>
      </c>
      <c r="I88" s="322">
        <v>-191.23600730750775</v>
      </c>
      <c r="K88" s="223">
        <f t="shared" si="7"/>
        <v>1274997.8328722157</v>
      </c>
      <c r="L88" s="223">
        <f t="shared" si="7"/>
        <v>923551.26408685977</v>
      </c>
      <c r="M88" s="114">
        <f t="shared" si="8"/>
        <v>1</v>
      </c>
      <c r="N88" s="114">
        <f t="shared" si="9"/>
        <v>0</v>
      </c>
      <c r="Q88" s="320">
        <f t="shared" si="10"/>
        <v>7700</v>
      </c>
      <c r="R88" s="101">
        <v>1</v>
      </c>
      <c r="S88" s="101">
        <v>0</v>
      </c>
      <c r="T88" s="12"/>
      <c r="U88" s="210"/>
      <c r="V88" s="13"/>
      <c r="W88" s="13"/>
      <c r="X88" s="13"/>
      <c r="Y88" s="13"/>
      <c r="Z88" s="13"/>
      <c r="AA88" s="13"/>
      <c r="AB88" s="13"/>
      <c r="AC88" s="13"/>
      <c r="AD88" s="13"/>
      <c r="AE88" s="13"/>
    </row>
    <row r="89" spans="1:31" ht="21" x14ac:dyDescent="0.4">
      <c r="A89" s="210"/>
      <c r="B89" s="108">
        <v>79</v>
      </c>
      <c r="C89" s="297">
        <v>1764.4176475210134</v>
      </c>
      <c r="D89" s="297">
        <v>2911.6961774166539</v>
      </c>
      <c r="E89" s="297">
        <v>20.664241137399493</v>
      </c>
      <c r="F89" s="297">
        <v>15.305586489384202</v>
      </c>
      <c r="G89" s="322">
        <v>-1147.2785298956405</v>
      </c>
      <c r="H89" s="322">
        <v>5.3586546480152908</v>
      </c>
      <c r="I89" s="322">
        <v>-214.09824018432747</v>
      </c>
      <c r="K89" s="223">
        <f t="shared" si="7"/>
        <v>1238090.0505964486</v>
      </c>
      <c r="L89" s="223">
        <f t="shared" si="7"/>
        <v>915423.49318563554</v>
      </c>
      <c r="M89" s="114">
        <f t="shared" si="8"/>
        <v>1</v>
      </c>
      <c r="N89" s="114">
        <f t="shared" si="9"/>
        <v>0</v>
      </c>
      <c r="Q89" s="320">
        <f t="shared" si="10"/>
        <v>7800</v>
      </c>
      <c r="R89" s="101">
        <v>1</v>
      </c>
      <c r="S89" s="101">
        <v>0</v>
      </c>
      <c r="T89" s="12"/>
      <c r="U89" s="210"/>
      <c r="V89" s="13"/>
      <c r="W89" s="13"/>
      <c r="X89" s="13"/>
      <c r="Y89" s="13"/>
      <c r="Z89" s="13"/>
      <c r="AA89" s="13"/>
      <c r="AB89" s="13"/>
      <c r="AC89" s="13"/>
      <c r="AD89" s="13"/>
      <c r="AE89" s="13"/>
    </row>
    <row r="90" spans="1:31" ht="21" x14ac:dyDescent="0.4">
      <c r="A90" s="210"/>
      <c r="B90" s="108">
        <v>80</v>
      </c>
      <c r="C90" s="297">
        <v>1898.0888466936487</v>
      </c>
      <c r="D90" s="297">
        <v>3003.9017215903746</v>
      </c>
      <c r="E90" s="297">
        <v>19.963281416011544</v>
      </c>
      <c r="F90" s="297">
        <v>15.780743249129046</v>
      </c>
      <c r="G90" s="322">
        <v>-1105.8128748967258</v>
      </c>
      <c r="H90" s="322">
        <v>4.1825381668824981</v>
      </c>
      <c r="I90" s="322">
        <v>-264.38799379108974</v>
      </c>
      <c r="K90" s="223">
        <f t="shared" si="7"/>
        <v>1195898.7961139989</v>
      </c>
      <c r="L90" s="223">
        <f t="shared" si="7"/>
        <v>943840.69322615233</v>
      </c>
      <c r="M90" s="114">
        <f t="shared" si="8"/>
        <v>1</v>
      </c>
      <c r="N90" s="114">
        <f t="shared" si="9"/>
        <v>0</v>
      </c>
      <c r="Q90" s="320">
        <f t="shared" si="10"/>
        <v>7900</v>
      </c>
      <c r="R90" s="101">
        <v>1</v>
      </c>
      <c r="S90" s="101">
        <v>0</v>
      </c>
      <c r="T90" s="12"/>
      <c r="U90" s="210"/>
      <c r="V90" s="13"/>
      <c r="W90" s="13"/>
      <c r="X90" s="13"/>
      <c r="Y90" s="13"/>
      <c r="Z90" s="13"/>
      <c r="AA90" s="13"/>
      <c r="AB90" s="13"/>
      <c r="AC90" s="13"/>
      <c r="AD90" s="13"/>
      <c r="AE90" s="13"/>
    </row>
    <row r="91" spans="1:31" ht="21" x14ac:dyDescent="0.4">
      <c r="A91" s="210"/>
      <c r="B91" s="108">
        <v>81</v>
      </c>
      <c r="C91" s="297">
        <v>1999.2340212614063</v>
      </c>
      <c r="D91" s="297">
        <v>3354.2885848774677</v>
      </c>
      <c r="E91" s="297">
        <v>18.937729497866378</v>
      </c>
      <c r="F91" s="297">
        <v>14.247241009891317</v>
      </c>
      <c r="G91" s="322">
        <v>-1355.0545636160614</v>
      </c>
      <c r="H91" s="322">
        <v>4.6904884879750615</v>
      </c>
      <c r="I91" s="322">
        <v>-288.89412415998794</v>
      </c>
      <c r="K91" s="223">
        <f t="shared" si="7"/>
        <v>1134264.5358507214</v>
      </c>
      <c r="L91" s="223">
        <f t="shared" si="7"/>
        <v>851480.17200860148</v>
      </c>
      <c r="M91" s="114">
        <f t="shared" si="8"/>
        <v>1</v>
      </c>
      <c r="N91" s="114">
        <f t="shared" si="9"/>
        <v>0</v>
      </c>
      <c r="Q91" s="320">
        <f t="shared" si="10"/>
        <v>8000</v>
      </c>
      <c r="R91" s="101">
        <v>1</v>
      </c>
      <c r="S91" s="101">
        <v>0</v>
      </c>
      <c r="T91" s="12"/>
      <c r="U91" s="210"/>
      <c r="V91" s="13"/>
      <c r="W91" s="13"/>
      <c r="X91" s="13"/>
      <c r="Y91" s="13"/>
      <c r="Z91" s="13"/>
      <c r="AA91" s="13"/>
      <c r="AB91" s="13"/>
      <c r="AC91" s="13"/>
      <c r="AD91" s="13"/>
      <c r="AE91" s="13"/>
    </row>
    <row r="92" spans="1:31" ht="21" x14ac:dyDescent="0.4">
      <c r="A92" s="210"/>
      <c r="B92" s="108">
        <v>82</v>
      </c>
      <c r="C92" s="297">
        <v>2197.601892248098</v>
      </c>
      <c r="D92" s="297">
        <v>3122.068141868805</v>
      </c>
      <c r="E92" s="297">
        <v>20.130804525372771</v>
      </c>
      <c r="F92" s="297">
        <v>14.373299528004972</v>
      </c>
      <c r="G92" s="322">
        <v>-924.466249620707</v>
      </c>
      <c r="H92" s="322">
        <v>5.7575049973677981</v>
      </c>
      <c r="I92" s="322">
        <v>-160.56716408294082</v>
      </c>
      <c r="K92" s="223">
        <f t="shared" si="7"/>
        <v>1205650.6696301182</v>
      </c>
      <c r="L92" s="223">
        <f t="shared" si="7"/>
        <v>859275.90353842953</v>
      </c>
      <c r="M92" s="114">
        <f t="shared" si="8"/>
        <v>1</v>
      </c>
      <c r="N92" s="114">
        <f t="shared" si="9"/>
        <v>0</v>
      </c>
      <c r="Q92" s="320">
        <f t="shared" si="10"/>
        <v>8100</v>
      </c>
      <c r="R92" s="101">
        <v>1</v>
      </c>
      <c r="S92" s="101">
        <v>0</v>
      </c>
      <c r="T92" s="12"/>
      <c r="U92" s="210"/>
      <c r="V92" s="13"/>
      <c r="W92" s="13"/>
      <c r="X92" s="13"/>
      <c r="Y92" s="13"/>
      <c r="Z92" s="13"/>
      <c r="AA92" s="13"/>
      <c r="AB92" s="13"/>
      <c r="AC92" s="13"/>
      <c r="AD92" s="13"/>
      <c r="AE92" s="13"/>
    </row>
    <row r="93" spans="1:31" ht="21" x14ac:dyDescent="0.4">
      <c r="A93" s="210"/>
      <c r="B93" s="108">
        <v>83</v>
      </c>
      <c r="C93" s="297">
        <v>2367.490863278389</v>
      </c>
      <c r="D93" s="297">
        <v>3714.8801611145477</v>
      </c>
      <c r="E93" s="297">
        <v>19.462349864968765</v>
      </c>
      <c r="F93" s="297">
        <v>13.844045898681468</v>
      </c>
      <c r="G93" s="322">
        <v>-1347.3892978361587</v>
      </c>
      <c r="H93" s="322">
        <v>5.6183039662872964</v>
      </c>
      <c r="I93" s="322">
        <v>-239.82135995510123</v>
      </c>
      <c r="K93" s="223">
        <f t="shared" si="7"/>
        <v>1165373.5010348477</v>
      </c>
      <c r="L93" s="223">
        <f t="shared" si="7"/>
        <v>826927.87375977356</v>
      </c>
      <c r="M93" s="114">
        <f t="shared" si="8"/>
        <v>1</v>
      </c>
      <c r="N93" s="114">
        <f t="shared" si="9"/>
        <v>0</v>
      </c>
      <c r="Q93" s="320">
        <f t="shared" si="10"/>
        <v>8200</v>
      </c>
      <c r="R93" s="101">
        <v>1</v>
      </c>
      <c r="S93" s="101">
        <v>0</v>
      </c>
      <c r="T93" s="12"/>
      <c r="U93" s="210"/>
      <c r="V93" s="13"/>
      <c r="W93" s="13"/>
      <c r="X93" s="13"/>
      <c r="Y93" s="13"/>
      <c r="Z93" s="13"/>
      <c r="AA93" s="13"/>
      <c r="AB93" s="13"/>
      <c r="AC93" s="13"/>
      <c r="AD93" s="13"/>
      <c r="AE93" s="13"/>
    </row>
    <row r="94" spans="1:31" ht="21" x14ac:dyDescent="0.4">
      <c r="A94" s="210"/>
      <c r="B94" s="108">
        <v>84</v>
      </c>
      <c r="C94" s="297">
        <v>2349.7603206960221</v>
      </c>
      <c r="D94" s="297">
        <v>2761.3574587935291</v>
      </c>
      <c r="E94" s="297">
        <v>19.113446883680727</v>
      </c>
      <c r="F94" s="297">
        <v>13.840585137418518</v>
      </c>
      <c r="G94" s="322">
        <v>-411.59713809750701</v>
      </c>
      <c r="H94" s="322">
        <v>5.2728617462622083</v>
      </c>
      <c r="I94" s="322">
        <v>-78.059535391626241</v>
      </c>
      <c r="K94" s="223">
        <f t="shared" si="7"/>
        <v>1144457.0527001475</v>
      </c>
      <c r="L94" s="223">
        <f t="shared" si="7"/>
        <v>827673.75078631751</v>
      </c>
      <c r="M94" s="114">
        <f t="shared" si="8"/>
        <v>1</v>
      </c>
      <c r="N94" s="114">
        <f t="shared" si="9"/>
        <v>0</v>
      </c>
      <c r="Q94" s="320">
        <f t="shared" si="10"/>
        <v>8300</v>
      </c>
      <c r="R94" s="101">
        <v>1</v>
      </c>
      <c r="S94" s="101">
        <v>0</v>
      </c>
      <c r="T94" s="12"/>
      <c r="U94" s="210"/>
      <c r="V94" s="13"/>
      <c r="W94" s="13"/>
      <c r="X94" s="13"/>
      <c r="Y94" s="13"/>
      <c r="Z94" s="13"/>
      <c r="AA94" s="13"/>
      <c r="AB94" s="13"/>
      <c r="AC94" s="13"/>
      <c r="AD94" s="13"/>
      <c r="AE94" s="13"/>
    </row>
    <row r="95" spans="1:31" ht="21" x14ac:dyDescent="0.4">
      <c r="A95" s="210"/>
      <c r="B95" s="108">
        <v>85</v>
      </c>
      <c r="C95" s="297">
        <v>1999.3320778157884</v>
      </c>
      <c r="D95" s="297">
        <v>2924.2714594695162</v>
      </c>
      <c r="E95" s="297">
        <v>18.809080808119411</v>
      </c>
      <c r="F95" s="297">
        <v>14.371518922370791</v>
      </c>
      <c r="G95" s="322">
        <v>-924.93938165372788</v>
      </c>
      <c r="H95" s="322">
        <v>4.4375618857486199</v>
      </c>
      <c r="I95" s="322">
        <v>-208.43413691293006</v>
      </c>
      <c r="K95" s="223">
        <f t="shared" si="7"/>
        <v>1126545.5164093487</v>
      </c>
      <c r="L95" s="223">
        <f t="shared" si="7"/>
        <v>859366.86388277786</v>
      </c>
      <c r="M95" s="114">
        <f t="shared" si="8"/>
        <v>1</v>
      </c>
      <c r="N95" s="114">
        <f t="shared" si="9"/>
        <v>0</v>
      </c>
      <c r="Q95" s="320">
        <f t="shared" si="10"/>
        <v>8400</v>
      </c>
      <c r="R95" s="101">
        <v>1</v>
      </c>
      <c r="S95" s="101">
        <v>0</v>
      </c>
      <c r="T95" s="12"/>
      <c r="U95" s="210"/>
      <c r="V95" s="13"/>
      <c r="W95" s="13"/>
      <c r="X95" s="13"/>
      <c r="Y95" s="13"/>
      <c r="Z95" s="13"/>
      <c r="AA95" s="13"/>
      <c r="AB95" s="13"/>
      <c r="AC95" s="13"/>
      <c r="AD95" s="13"/>
      <c r="AE95" s="13"/>
    </row>
    <row r="96" spans="1:31" ht="21" x14ac:dyDescent="0.4">
      <c r="A96" s="210"/>
      <c r="B96" s="108">
        <v>86</v>
      </c>
      <c r="C96" s="297">
        <v>2099.6685715655963</v>
      </c>
      <c r="D96" s="297">
        <v>3260.5639610870439</v>
      </c>
      <c r="E96" s="297">
        <v>18.682983107841785</v>
      </c>
      <c r="F96" s="297">
        <v>13.452619100369292</v>
      </c>
      <c r="G96" s="322">
        <v>-1160.8953895214477</v>
      </c>
      <c r="H96" s="322">
        <v>5.2303640074724935</v>
      </c>
      <c r="I96" s="322">
        <v>-221.95307780928914</v>
      </c>
      <c r="K96" s="223">
        <f t="shared" si="7"/>
        <v>1118879.3178989417</v>
      </c>
      <c r="L96" s="223">
        <f t="shared" si="7"/>
        <v>803896.58206107048</v>
      </c>
      <c r="M96" s="114">
        <f t="shared" si="8"/>
        <v>1</v>
      </c>
      <c r="N96" s="114">
        <f t="shared" si="9"/>
        <v>0</v>
      </c>
      <c r="Q96" s="320">
        <f t="shared" si="10"/>
        <v>8500</v>
      </c>
      <c r="R96" s="101">
        <v>1</v>
      </c>
      <c r="S96" s="101">
        <v>0</v>
      </c>
      <c r="T96" s="12"/>
      <c r="U96" s="210"/>
      <c r="V96" s="13"/>
      <c r="W96" s="13"/>
      <c r="X96" s="13"/>
      <c r="Y96" s="13"/>
      <c r="Z96" s="13"/>
      <c r="AA96" s="13"/>
      <c r="AB96" s="13"/>
      <c r="AC96" s="13"/>
      <c r="AD96" s="13"/>
      <c r="AE96" s="13"/>
    </row>
    <row r="97" spans="1:31" ht="21" x14ac:dyDescent="0.4">
      <c r="A97" s="210"/>
      <c r="B97" s="108">
        <v>87</v>
      </c>
      <c r="C97" s="297">
        <v>2399.5333095564533</v>
      </c>
      <c r="D97" s="297">
        <v>3907.8979964062846</v>
      </c>
      <c r="E97" s="297">
        <v>17.706832465899868</v>
      </c>
      <c r="F97" s="297">
        <v>12.489398000413091</v>
      </c>
      <c r="G97" s="322">
        <v>-1508.3646868498313</v>
      </c>
      <c r="H97" s="322">
        <v>5.217434465486777</v>
      </c>
      <c r="I97" s="322">
        <v>-289.10084004459145</v>
      </c>
      <c r="K97" s="223">
        <f t="shared" si="7"/>
        <v>1060010.4146444355</v>
      </c>
      <c r="L97" s="223">
        <f t="shared" si="7"/>
        <v>745455.98202837922</v>
      </c>
      <c r="M97" s="114">
        <f t="shared" si="8"/>
        <v>1</v>
      </c>
      <c r="N97" s="114">
        <f t="shared" si="9"/>
        <v>0</v>
      </c>
      <c r="Q97" s="320">
        <f t="shared" si="10"/>
        <v>8600</v>
      </c>
      <c r="R97" s="101">
        <v>1</v>
      </c>
      <c r="S97" s="101">
        <v>0</v>
      </c>
      <c r="T97" s="12"/>
      <c r="U97" s="210"/>
      <c r="V97" s="13"/>
      <c r="W97" s="13"/>
      <c r="X97" s="13"/>
      <c r="Y97" s="13"/>
      <c r="Z97" s="13"/>
      <c r="AA97" s="13"/>
      <c r="AB97" s="13"/>
      <c r="AC97" s="13"/>
      <c r="AD97" s="13"/>
      <c r="AE97" s="13"/>
    </row>
    <row r="98" spans="1:31" ht="21" x14ac:dyDescent="0.4">
      <c r="A98" s="210"/>
      <c r="B98" s="108">
        <v>88</v>
      </c>
      <c r="C98" s="297">
        <v>2078.5282535706428</v>
      </c>
      <c r="D98" s="297">
        <v>3411.244971177297</v>
      </c>
      <c r="E98" s="297">
        <v>21.598136600511435</v>
      </c>
      <c r="F98" s="297">
        <v>15.187748840067014</v>
      </c>
      <c r="G98" s="322">
        <v>-1332.7167176066541</v>
      </c>
      <c r="H98" s="322">
        <v>6.4103877604444204</v>
      </c>
      <c r="I98" s="322">
        <v>-207.89954795406314</v>
      </c>
      <c r="K98" s="223">
        <f t="shared" si="7"/>
        <v>1293809.6677771155</v>
      </c>
      <c r="L98" s="223">
        <f t="shared" si="7"/>
        <v>907853.68543284351</v>
      </c>
      <c r="M98" s="114">
        <f t="shared" si="8"/>
        <v>1</v>
      </c>
      <c r="N98" s="114">
        <f t="shared" si="9"/>
        <v>0</v>
      </c>
      <c r="Q98" s="320">
        <f t="shared" si="10"/>
        <v>8700</v>
      </c>
      <c r="R98" s="101">
        <v>1</v>
      </c>
      <c r="S98" s="101">
        <v>0</v>
      </c>
      <c r="T98" s="12"/>
      <c r="U98" s="210"/>
      <c r="V98" s="13"/>
      <c r="W98" s="13"/>
      <c r="X98" s="13"/>
      <c r="Y98" s="13"/>
      <c r="Z98" s="13"/>
      <c r="AA98" s="13"/>
      <c r="AB98" s="13"/>
      <c r="AC98" s="13"/>
      <c r="AD98" s="13"/>
      <c r="AE98" s="13"/>
    </row>
    <row r="99" spans="1:31" ht="21" x14ac:dyDescent="0.4">
      <c r="A99" s="210"/>
      <c r="B99" s="108">
        <v>89</v>
      </c>
      <c r="C99" s="297">
        <v>2254.3033403355939</v>
      </c>
      <c r="D99" s="297">
        <v>3026.3117618584329</v>
      </c>
      <c r="E99" s="297">
        <v>19.726806475896026</v>
      </c>
      <c r="F99" s="297">
        <v>14.221172918804168</v>
      </c>
      <c r="G99" s="322">
        <v>-772.00842152283894</v>
      </c>
      <c r="H99" s="322">
        <v>5.5056335570918584</v>
      </c>
      <c r="I99" s="322">
        <v>-140.22154099384394</v>
      </c>
      <c r="K99" s="223">
        <f t="shared" si="7"/>
        <v>1181354.085213426</v>
      </c>
      <c r="L99" s="223">
        <f t="shared" si="7"/>
        <v>850244.0633663917</v>
      </c>
      <c r="M99" s="114">
        <f t="shared" si="8"/>
        <v>1</v>
      </c>
      <c r="N99" s="114">
        <f t="shared" si="9"/>
        <v>0</v>
      </c>
      <c r="Q99" s="320">
        <f t="shared" si="10"/>
        <v>8800</v>
      </c>
      <c r="R99" s="101">
        <v>1</v>
      </c>
      <c r="S99" s="101">
        <v>0</v>
      </c>
      <c r="T99" s="12"/>
      <c r="U99" s="210"/>
      <c r="V99" s="13"/>
      <c r="W99" s="13"/>
      <c r="X99" s="13"/>
      <c r="Y99" s="13"/>
      <c r="Z99" s="13"/>
      <c r="AA99" s="13"/>
      <c r="AB99" s="13"/>
      <c r="AC99" s="13"/>
      <c r="AD99" s="13"/>
      <c r="AE99" s="13"/>
    </row>
    <row r="100" spans="1:31" ht="21" x14ac:dyDescent="0.4">
      <c r="A100" s="210"/>
      <c r="B100" s="108">
        <v>90</v>
      </c>
      <c r="C100" s="297">
        <v>2098.1231713730144</v>
      </c>
      <c r="D100" s="297">
        <v>2531.3323379305612</v>
      </c>
      <c r="E100" s="297">
        <v>15.766715278798884</v>
      </c>
      <c r="F100" s="297">
        <v>11.624404474770881</v>
      </c>
      <c r="G100" s="322">
        <v>-433.20916655754672</v>
      </c>
      <c r="H100" s="322">
        <v>4.1423108040280034</v>
      </c>
      <c r="I100" s="322">
        <v>-104.58152153534496</v>
      </c>
      <c r="K100" s="223">
        <f t="shared" si="7"/>
        <v>943904.79355655995</v>
      </c>
      <c r="L100" s="223">
        <f t="shared" si="7"/>
        <v>694932.9361483223</v>
      </c>
      <c r="M100" s="114">
        <f t="shared" si="8"/>
        <v>1</v>
      </c>
      <c r="N100" s="114">
        <f t="shared" si="9"/>
        <v>0</v>
      </c>
      <c r="Q100" s="320">
        <f t="shared" si="10"/>
        <v>8900</v>
      </c>
      <c r="R100" s="101">
        <v>1</v>
      </c>
      <c r="S100" s="101">
        <v>0</v>
      </c>
      <c r="T100" s="12"/>
      <c r="U100" s="210"/>
      <c r="V100" s="13"/>
      <c r="W100" s="13"/>
      <c r="X100" s="13"/>
      <c r="Y100" s="13"/>
      <c r="Z100" s="13"/>
      <c r="AA100" s="13"/>
      <c r="AB100" s="13"/>
      <c r="AC100" s="13"/>
      <c r="AD100" s="13"/>
      <c r="AE100" s="13"/>
    </row>
    <row r="101" spans="1:31" ht="21" x14ac:dyDescent="0.4">
      <c r="A101" s="210"/>
      <c r="B101" s="108">
        <v>91</v>
      </c>
      <c r="C101" s="297">
        <v>2136.056201986466</v>
      </c>
      <c r="D101" s="297">
        <v>3402.2901786807624</v>
      </c>
      <c r="E101" s="297">
        <v>19.819684341695556</v>
      </c>
      <c r="F101" s="297">
        <v>14.765362302499932</v>
      </c>
      <c r="G101" s="322">
        <v>-1266.2339766942964</v>
      </c>
      <c r="H101" s="322">
        <v>5.0543220391956236</v>
      </c>
      <c r="I101" s="322">
        <v>-250.5249896771146</v>
      </c>
      <c r="K101" s="223">
        <f t="shared" si="7"/>
        <v>1187045.0042997468</v>
      </c>
      <c r="L101" s="223">
        <f t="shared" si="7"/>
        <v>882519.44797131512</v>
      </c>
      <c r="M101" s="114">
        <f t="shared" si="8"/>
        <v>1</v>
      </c>
      <c r="N101" s="114">
        <f t="shared" si="9"/>
        <v>0</v>
      </c>
      <c r="Q101" s="320">
        <f t="shared" si="10"/>
        <v>9000</v>
      </c>
      <c r="R101" s="101">
        <v>1</v>
      </c>
      <c r="S101" s="101">
        <v>0</v>
      </c>
      <c r="T101" s="12"/>
      <c r="U101" s="210"/>
      <c r="V101" s="13"/>
      <c r="W101" s="13"/>
      <c r="X101" s="13"/>
      <c r="Y101" s="13"/>
      <c r="Z101" s="13"/>
      <c r="AA101" s="13"/>
      <c r="AB101" s="13"/>
      <c r="AC101" s="13"/>
      <c r="AD101" s="13"/>
      <c r="AE101" s="13"/>
    </row>
    <row r="102" spans="1:31" ht="21" x14ac:dyDescent="0.4">
      <c r="A102" s="210"/>
      <c r="B102" s="108">
        <v>92</v>
      </c>
      <c r="C102" s="297">
        <v>1893.4861472758748</v>
      </c>
      <c r="D102" s="297">
        <v>2867.3839306395735</v>
      </c>
      <c r="E102" s="297">
        <v>20.347352881021536</v>
      </c>
      <c r="F102" s="297">
        <v>15.607912151732872</v>
      </c>
      <c r="G102" s="322">
        <v>-973.89778336369864</v>
      </c>
      <c r="H102" s="322">
        <v>4.7394407292886633</v>
      </c>
      <c r="I102" s="322">
        <v>-205.48791281326345</v>
      </c>
      <c r="K102" s="223">
        <f t="shared" si="7"/>
        <v>1218947.6867140161</v>
      </c>
      <c r="L102" s="223">
        <f t="shared" si="7"/>
        <v>933607.34517333272</v>
      </c>
      <c r="M102" s="114">
        <f t="shared" si="8"/>
        <v>1</v>
      </c>
      <c r="N102" s="114">
        <f t="shared" si="9"/>
        <v>0</v>
      </c>
      <c r="Q102" s="320">
        <f t="shared" si="10"/>
        <v>9100</v>
      </c>
      <c r="R102" s="101">
        <v>1</v>
      </c>
      <c r="S102" s="101">
        <v>0</v>
      </c>
      <c r="T102" s="12"/>
      <c r="U102" s="210"/>
      <c r="V102" s="13"/>
      <c r="W102" s="13"/>
      <c r="X102" s="13"/>
      <c r="Y102" s="13"/>
      <c r="Z102" s="13"/>
      <c r="AA102" s="13"/>
      <c r="AB102" s="13"/>
      <c r="AC102" s="13"/>
      <c r="AD102" s="13"/>
      <c r="AE102" s="13"/>
    </row>
    <row r="103" spans="1:31" ht="21" x14ac:dyDescent="0.4">
      <c r="A103" s="210"/>
      <c r="B103" s="108">
        <v>93</v>
      </c>
      <c r="C103" s="297">
        <v>2082.0739058121681</v>
      </c>
      <c r="D103" s="297">
        <v>3268.0919201943352</v>
      </c>
      <c r="E103" s="297">
        <v>20.705734409947301</v>
      </c>
      <c r="F103" s="297">
        <v>15.58211897466988</v>
      </c>
      <c r="G103" s="322">
        <v>-1186.0180143821672</v>
      </c>
      <c r="H103" s="322">
        <v>5.1236154352774204</v>
      </c>
      <c r="I103" s="322">
        <v>-231.48068573143209</v>
      </c>
      <c r="K103" s="223">
        <f t="shared" si="7"/>
        <v>1240261.990691026</v>
      </c>
      <c r="L103" s="223">
        <f t="shared" si="7"/>
        <v>931659.04655999853</v>
      </c>
      <c r="M103" s="114">
        <f t="shared" si="8"/>
        <v>1</v>
      </c>
      <c r="N103" s="114">
        <f t="shared" si="9"/>
        <v>0</v>
      </c>
      <c r="Q103" s="320">
        <f t="shared" si="10"/>
        <v>9200</v>
      </c>
      <c r="R103" s="101">
        <v>1</v>
      </c>
      <c r="S103" s="101">
        <v>0</v>
      </c>
      <c r="T103" s="12"/>
      <c r="U103" s="210"/>
      <c r="V103" s="13"/>
      <c r="W103" s="13"/>
      <c r="X103" s="13"/>
      <c r="Y103" s="13"/>
      <c r="Z103" s="13"/>
      <c r="AA103" s="13"/>
      <c r="AB103" s="13"/>
      <c r="AC103" s="13"/>
      <c r="AD103" s="13"/>
      <c r="AE103" s="13"/>
    </row>
    <row r="104" spans="1:31" ht="21" x14ac:dyDescent="0.4">
      <c r="A104" s="210"/>
      <c r="B104" s="108">
        <v>94</v>
      </c>
      <c r="C104" s="297">
        <v>2171.3013209125115</v>
      </c>
      <c r="D104" s="297">
        <v>3260.8797115161155</v>
      </c>
      <c r="E104" s="297">
        <v>16.023945430867723</v>
      </c>
      <c r="F104" s="297">
        <v>9.8941543129094445</v>
      </c>
      <c r="G104" s="322">
        <v>-1089.578390603604</v>
      </c>
      <c r="H104" s="322">
        <v>6.1297911179582787</v>
      </c>
      <c r="I104" s="322">
        <v>-177.75130826424027</v>
      </c>
      <c r="K104" s="223">
        <f t="shared" si="7"/>
        <v>959265.42453115084</v>
      </c>
      <c r="L104" s="223">
        <f t="shared" si="7"/>
        <v>590388.37906305061</v>
      </c>
      <c r="M104" s="114">
        <f t="shared" si="8"/>
        <v>1</v>
      </c>
      <c r="N104" s="114">
        <f t="shared" si="9"/>
        <v>0</v>
      </c>
      <c r="Q104" s="320">
        <f t="shared" si="10"/>
        <v>9300</v>
      </c>
      <c r="R104" s="101">
        <v>1</v>
      </c>
      <c r="S104" s="101">
        <v>0</v>
      </c>
      <c r="T104" s="12"/>
      <c r="U104" s="210"/>
      <c r="V104" s="13"/>
      <c r="W104" s="13"/>
      <c r="X104" s="13"/>
      <c r="Y104" s="13"/>
      <c r="Z104" s="13"/>
      <c r="AA104" s="13"/>
      <c r="AB104" s="13"/>
      <c r="AC104" s="13"/>
      <c r="AD104" s="13"/>
      <c r="AE104" s="13"/>
    </row>
    <row r="105" spans="1:31" ht="21" x14ac:dyDescent="0.4">
      <c r="A105" s="210"/>
      <c r="B105" s="108">
        <v>95</v>
      </c>
      <c r="C105" s="297">
        <v>1957.8611139972018</v>
      </c>
      <c r="D105" s="297">
        <v>2413.4083642192736</v>
      </c>
      <c r="E105" s="297">
        <v>17.735513339636324</v>
      </c>
      <c r="F105" s="297">
        <v>12.754760844099929</v>
      </c>
      <c r="G105" s="322">
        <v>-455.54725022207185</v>
      </c>
      <c r="H105" s="322">
        <v>4.9807524955363949</v>
      </c>
      <c r="I105" s="322">
        <v>-91.461531290767809</v>
      </c>
      <c r="K105" s="223">
        <f t="shared" si="7"/>
        <v>1062172.9392641822</v>
      </c>
      <c r="L105" s="223">
        <f t="shared" si="7"/>
        <v>762872.2422817765</v>
      </c>
      <c r="M105" s="114">
        <f t="shared" si="8"/>
        <v>1</v>
      </c>
      <c r="N105" s="114">
        <f t="shared" si="9"/>
        <v>0</v>
      </c>
      <c r="Q105" s="320">
        <f t="shared" si="10"/>
        <v>9400</v>
      </c>
      <c r="R105" s="101">
        <v>1</v>
      </c>
      <c r="S105" s="101">
        <v>0</v>
      </c>
      <c r="T105" s="12"/>
      <c r="U105" s="210"/>
      <c r="V105" s="13"/>
      <c r="W105" s="13"/>
      <c r="X105" s="13"/>
      <c r="Y105" s="13"/>
      <c r="Z105" s="13"/>
      <c r="AA105" s="13"/>
      <c r="AB105" s="13"/>
      <c r="AC105" s="13"/>
      <c r="AD105" s="13"/>
      <c r="AE105" s="13"/>
    </row>
    <row r="106" spans="1:31" ht="21" x14ac:dyDescent="0.4">
      <c r="A106" s="210"/>
      <c r="B106" s="108">
        <v>96</v>
      </c>
      <c r="C106" s="297">
        <v>2442.3838068527984</v>
      </c>
      <c r="D106" s="297">
        <v>3119.9894817248019</v>
      </c>
      <c r="E106" s="297">
        <v>17.154127446954725</v>
      </c>
      <c r="F106" s="297">
        <v>11.669956812451792</v>
      </c>
      <c r="G106" s="322">
        <v>-677.60567487200342</v>
      </c>
      <c r="H106" s="322">
        <v>5.4841706345029326</v>
      </c>
      <c r="I106" s="322">
        <v>-123.55663600416391</v>
      </c>
      <c r="K106" s="223">
        <f t="shared" si="7"/>
        <v>1026805.2630104306</v>
      </c>
      <c r="L106" s="223">
        <f t="shared" si="7"/>
        <v>697077.41926538269</v>
      </c>
      <c r="M106" s="114">
        <f t="shared" si="8"/>
        <v>1</v>
      </c>
      <c r="N106" s="114">
        <f t="shared" si="9"/>
        <v>0</v>
      </c>
      <c r="Q106" s="320">
        <f t="shared" si="10"/>
        <v>9500</v>
      </c>
      <c r="R106" s="101">
        <v>1</v>
      </c>
      <c r="S106" s="101">
        <v>0</v>
      </c>
      <c r="T106" s="12"/>
      <c r="U106" s="210"/>
      <c r="V106" s="13"/>
      <c r="W106" s="13"/>
      <c r="X106" s="13"/>
      <c r="Y106" s="13"/>
      <c r="Z106" s="13"/>
      <c r="AA106" s="13"/>
      <c r="AB106" s="13"/>
      <c r="AC106" s="13"/>
      <c r="AD106" s="13"/>
      <c r="AE106" s="13"/>
    </row>
    <row r="107" spans="1:31" ht="21" x14ac:dyDescent="0.4">
      <c r="A107" s="210"/>
      <c r="B107" s="108">
        <v>97</v>
      </c>
      <c r="C107" s="297">
        <v>2220.0832039882143</v>
      </c>
      <c r="D107" s="297">
        <v>3209.2157899587173</v>
      </c>
      <c r="E107" s="297">
        <v>17.964826407413408</v>
      </c>
      <c r="F107" s="297">
        <v>13.2133254614801</v>
      </c>
      <c r="G107" s="322">
        <v>-989.13258597050299</v>
      </c>
      <c r="H107" s="322">
        <v>4.7515009459333086</v>
      </c>
      <c r="I107" s="322">
        <v>-208.17265896097041</v>
      </c>
      <c r="K107" s="223">
        <f t="shared" si="7"/>
        <v>1075669.5012408164</v>
      </c>
      <c r="L107" s="223">
        <f t="shared" si="7"/>
        <v>789590.31189884723</v>
      </c>
      <c r="M107" s="114">
        <f t="shared" si="8"/>
        <v>1</v>
      </c>
      <c r="N107" s="114">
        <f t="shared" si="9"/>
        <v>0</v>
      </c>
      <c r="Q107" s="320">
        <f t="shared" si="10"/>
        <v>9600</v>
      </c>
      <c r="R107" s="101">
        <v>1</v>
      </c>
      <c r="S107" s="101">
        <v>0</v>
      </c>
      <c r="T107" s="12"/>
      <c r="U107" s="210"/>
      <c r="V107" s="13"/>
      <c r="W107" s="13"/>
      <c r="X107" s="13"/>
      <c r="Y107" s="13"/>
      <c r="Z107" s="13"/>
      <c r="AA107" s="13"/>
      <c r="AB107" s="13"/>
      <c r="AC107" s="13"/>
      <c r="AD107" s="13"/>
      <c r="AE107" s="13"/>
    </row>
    <row r="108" spans="1:31" ht="21" x14ac:dyDescent="0.4">
      <c r="A108" s="210"/>
      <c r="B108" s="108">
        <v>98</v>
      </c>
      <c r="C108" s="297">
        <v>1858.511625514876</v>
      </c>
      <c r="D108" s="297">
        <v>2844.8864719059152</v>
      </c>
      <c r="E108" s="297">
        <v>20.513932845590151</v>
      </c>
      <c r="F108" s="297">
        <v>15.596808463913979</v>
      </c>
      <c r="G108" s="322">
        <v>-986.37484639103923</v>
      </c>
      <c r="H108" s="322">
        <v>4.9171243816761727</v>
      </c>
      <c r="I108" s="322">
        <v>-200.59993805867467</v>
      </c>
      <c r="K108" s="223">
        <f t="shared" si="7"/>
        <v>1228977.4591098942</v>
      </c>
      <c r="L108" s="223">
        <f t="shared" si="7"/>
        <v>932963.62136293284</v>
      </c>
      <c r="M108" s="114">
        <f t="shared" si="8"/>
        <v>1</v>
      </c>
      <c r="N108" s="114">
        <f t="shared" si="9"/>
        <v>0</v>
      </c>
      <c r="Q108" s="320">
        <f t="shared" si="10"/>
        <v>9700</v>
      </c>
      <c r="R108" s="101">
        <v>1</v>
      </c>
      <c r="S108" s="101">
        <v>0</v>
      </c>
      <c r="T108" s="12"/>
      <c r="U108" s="210"/>
      <c r="V108" s="13"/>
      <c r="W108" s="13"/>
      <c r="X108" s="13"/>
      <c r="Y108" s="13"/>
      <c r="Z108" s="13"/>
      <c r="AA108" s="13"/>
      <c r="AB108" s="13"/>
      <c r="AC108" s="13"/>
      <c r="AD108" s="13"/>
      <c r="AE108" s="13"/>
    </row>
    <row r="109" spans="1:31" ht="21" x14ac:dyDescent="0.4">
      <c r="A109" s="210"/>
      <c r="B109" s="108">
        <v>99</v>
      </c>
      <c r="C109" s="297">
        <v>1801.4930558007823</v>
      </c>
      <c r="D109" s="297">
        <v>2794.1517967750342</v>
      </c>
      <c r="E109" s="297">
        <v>20.721302341968418</v>
      </c>
      <c r="F109" s="297">
        <v>14.788555859138437</v>
      </c>
      <c r="G109" s="322">
        <v>-992.65874097425194</v>
      </c>
      <c r="H109" s="322">
        <v>5.9327464828299803</v>
      </c>
      <c r="I109" s="322">
        <v>-167.31858403980607</v>
      </c>
      <c r="K109" s="223">
        <f t="shared" si="7"/>
        <v>1241476.6474623044</v>
      </c>
      <c r="L109" s="223">
        <f t="shared" si="7"/>
        <v>884519.19975153124</v>
      </c>
      <c r="M109" s="114">
        <f t="shared" si="8"/>
        <v>1</v>
      </c>
      <c r="N109" s="114">
        <f t="shared" si="9"/>
        <v>0</v>
      </c>
      <c r="Q109" s="320">
        <f t="shared" si="10"/>
        <v>9800</v>
      </c>
      <c r="R109" s="101">
        <v>1</v>
      </c>
      <c r="S109" s="101">
        <v>0</v>
      </c>
      <c r="T109" s="12"/>
      <c r="U109" s="210"/>
      <c r="V109" s="13"/>
      <c r="W109" s="13"/>
      <c r="X109" s="13"/>
      <c r="Y109" s="13"/>
      <c r="Z109" s="13"/>
      <c r="AA109" s="13"/>
      <c r="AB109" s="13"/>
      <c r="AC109" s="13"/>
      <c r="AD109" s="13"/>
      <c r="AE109" s="13"/>
    </row>
    <row r="110" spans="1:31" ht="21" x14ac:dyDescent="0.4">
      <c r="A110" s="210"/>
      <c r="B110" s="108">
        <v>100</v>
      </c>
      <c r="C110" s="297">
        <v>2377.6791616384667</v>
      </c>
      <c r="D110" s="297">
        <v>3060.7690689430406</v>
      </c>
      <c r="E110" s="297">
        <v>16.699010323461813</v>
      </c>
      <c r="F110" s="297">
        <v>11.77354548123864</v>
      </c>
      <c r="G110" s="322">
        <v>-683.0899073045739</v>
      </c>
      <c r="H110" s="322">
        <v>4.9254648422231728</v>
      </c>
      <c r="I110" s="322">
        <v>-138.68536862730957</v>
      </c>
      <c r="K110" s="223">
        <f t="shared" si="7"/>
        <v>999562.94024607027</v>
      </c>
      <c r="L110" s="223">
        <f t="shared" si="7"/>
        <v>703351.95980537543</v>
      </c>
      <c r="M110" s="114">
        <f t="shared" si="8"/>
        <v>1</v>
      </c>
      <c r="N110" s="114">
        <f t="shared" si="9"/>
        <v>0</v>
      </c>
      <c r="Q110" s="320">
        <f t="shared" si="10"/>
        <v>9900</v>
      </c>
      <c r="R110" s="101">
        <v>1</v>
      </c>
      <c r="S110" s="101">
        <v>0</v>
      </c>
      <c r="T110" s="12"/>
      <c r="U110" s="210"/>
      <c r="V110" s="13"/>
      <c r="W110" s="13"/>
      <c r="X110" s="13"/>
      <c r="Y110" s="13"/>
      <c r="Z110" s="13"/>
      <c r="AA110" s="13"/>
      <c r="AB110" s="13"/>
      <c r="AC110" s="13"/>
      <c r="AD110" s="13"/>
      <c r="AE110" s="13"/>
    </row>
    <row r="111" spans="1:31" ht="21" x14ac:dyDescent="0.4">
      <c r="A111" s="210"/>
      <c r="B111" s="108">
        <v>101</v>
      </c>
      <c r="C111" s="297">
        <v>2014.1259280943495</v>
      </c>
      <c r="D111" s="297">
        <v>2939.3290261105299</v>
      </c>
      <c r="E111" s="297">
        <v>19.131204043583203</v>
      </c>
      <c r="F111" s="297">
        <v>13.610089673769689</v>
      </c>
      <c r="G111" s="322">
        <v>-925.20309801618032</v>
      </c>
      <c r="H111" s="322">
        <v>5.5211143698135139</v>
      </c>
      <c r="I111" s="322">
        <v>-167.57542699616832</v>
      </c>
      <c r="K111" s="223">
        <f t="shared" si="7"/>
        <v>1145858.1166868978</v>
      </c>
      <c r="L111" s="223">
        <f t="shared" si="7"/>
        <v>813666.05140007078</v>
      </c>
      <c r="M111" s="114">
        <f t="shared" si="8"/>
        <v>1</v>
      </c>
      <c r="N111" s="114">
        <f t="shared" si="9"/>
        <v>0</v>
      </c>
      <c r="Q111" s="320">
        <f t="shared" si="10"/>
        <v>10000</v>
      </c>
      <c r="R111" s="101">
        <v>1</v>
      </c>
      <c r="S111" s="101">
        <v>0</v>
      </c>
      <c r="T111" s="12"/>
      <c r="U111" s="210"/>
      <c r="V111" s="13"/>
      <c r="W111" s="13"/>
      <c r="X111" s="13"/>
      <c r="Y111" s="13"/>
      <c r="Z111" s="13"/>
      <c r="AA111" s="13"/>
      <c r="AB111" s="13"/>
      <c r="AC111" s="13"/>
      <c r="AD111" s="13"/>
      <c r="AE111" s="13"/>
    </row>
    <row r="112" spans="1:31" ht="21" x14ac:dyDescent="0.4">
      <c r="A112" s="210"/>
      <c r="B112" s="108">
        <v>102</v>
      </c>
      <c r="C112" s="297">
        <v>2340.6051557422652</v>
      </c>
      <c r="D112" s="297">
        <v>3221.6745637080335</v>
      </c>
      <c r="E112" s="297">
        <v>19.635000984824966</v>
      </c>
      <c r="F112" s="297">
        <v>14.907836079399065</v>
      </c>
      <c r="G112" s="322">
        <v>-881.06940796576828</v>
      </c>
      <c r="H112" s="322">
        <v>4.7271649054259015</v>
      </c>
      <c r="I112" s="322">
        <v>-186.38431821036437</v>
      </c>
      <c r="K112" s="223">
        <f t="shared" si="7"/>
        <v>1175759.4539337556</v>
      </c>
      <c r="L112" s="223">
        <f t="shared" si="7"/>
        <v>891248.49020023586</v>
      </c>
      <c r="M112" s="114">
        <f t="shared" si="8"/>
        <v>1</v>
      </c>
      <c r="N112" s="114">
        <f t="shared" si="9"/>
        <v>0</v>
      </c>
      <c r="Q112" s="320">
        <f t="shared" si="10"/>
        <v>10100</v>
      </c>
      <c r="R112" s="101">
        <v>1</v>
      </c>
      <c r="S112" s="101">
        <v>0</v>
      </c>
      <c r="T112" s="12"/>
      <c r="U112" s="210"/>
      <c r="V112" s="13"/>
      <c r="W112" s="13"/>
      <c r="X112" s="13"/>
      <c r="Y112" s="13"/>
      <c r="Z112" s="13"/>
      <c r="AA112" s="13"/>
      <c r="AB112" s="13"/>
      <c r="AC112" s="13"/>
      <c r="AD112" s="13"/>
      <c r="AE112" s="13"/>
    </row>
    <row r="113" spans="1:31" ht="21" x14ac:dyDescent="0.4">
      <c r="A113" s="210"/>
      <c r="B113" s="108">
        <v>103</v>
      </c>
      <c r="C113" s="297">
        <v>2050.6578025703802</v>
      </c>
      <c r="D113" s="297">
        <v>2595.3352788384254</v>
      </c>
      <c r="E113" s="297">
        <v>18.026949215195017</v>
      </c>
      <c r="F113" s="297">
        <v>13.525087741503217</v>
      </c>
      <c r="G113" s="322">
        <v>-544.67747626804521</v>
      </c>
      <c r="H113" s="322">
        <v>4.5018614736918003</v>
      </c>
      <c r="I113" s="322">
        <v>-120.98939060010137</v>
      </c>
      <c r="K113" s="223">
        <f t="shared" si="7"/>
        <v>1079566.2951091307</v>
      </c>
      <c r="L113" s="223">
        <f t="shared" si="7"/>
        <v>808909.92921135458</v>
      </c>
      <c r="M113" s="114">
        <f t="shared" si="8"/>
        <v>1</v>
      </c>
      <c r="N113" s="114">
        <f t="shared" si="9"/>
        <v>0</v>
      </c>
      <c r="Q113" s="320">
        <f t="shared" si="10"/>
        <v>10200</v>
      </c>
      <c r="R113" s="101">
        <v>1</v>
      </c>
      <c r="S113" s="101">
        <v>0</v>
      </c>
      <c r="T113" s="12"/>
      <c r="U113" s="210"/>
      <c r="V113" s="13"/>
      <c r="W113" s="13"/>
      <c r="X113" s="13"/>
      <c r="Y113" s="13"/>
      <c r="Z113" s="13"/>
      <c r="AA113" s="13"/>
      <c r="AB113" s="13"/>
      <c r="AC113" s="13"/>
      <c r="AD113" s="13"/>
      <c r="AE113" s="13"/>
    </row>
    <row r="114" spans="1:31" ht="21" x14ac:dyDescent="0.4">
      <c r="A114" s="210"/>
      <c r="B114" s="108">
        <v>104</v>
      </c>
      <c r="C114" s="297">
        <v>2421.4174280616708</v>
      </c>
      <c r="D114" s="297">
        <v>3230.9151410227196</v>
      </c>
      <c r="E114" s="297">
        <v>19.288671119891124</v>
      </c>
      <c r="F114" s="297">
        <v>14.265911552014492</v>
      </c>
      <c r="G114" s="322">
        <v>-809.49771296104882</v>
      </c>
      <c r="H114" s="322">
        <v>5.0227595678766317</v>
      </c>
      <c r="I114" s="322">
        <v>-161.16592921115344</v>
      </c>
      <c r="K114" s="223">
        <f t="shared" si="7"/>
        <v>1154898.8497654058</v>
      </c>
      <c r="L114" s="223">
        <f t="shared" si="7"/>
        <v>852723.77797984669</v>
      </c>
      <c r="M114" s="114">
        <f t="shared" si="8"/>
        <v>1</v>
      </c>
      <c r="N114" s="114">
        <f t="shared" si="9"/>
        <v>0</v>
      </c>
      <c r="Q114" s="320">
        <f t="shared" si="10"/>
        <v>10300</v>
      </c>
      <c r="R114" s="101">
        <v>1</v>
      </c>
      <c r="S114" s="101">
        <v>0</v>
      </c>
      <c r="T114" s="12"/>
      <c r="U114" s="210"/>
      <c r="V114" s="13"/>
      <c r="W114" s="13"/>
      <c r="X114" s="13"/>
      <c r="Y114" s="13"/>
      <c r="Z114" s="13"/>
      <c r="AA114" s="13"/>
      <c r="AB114" s="13"/>
      <c r="AC114" s="13"/>
      <c r="AD114" s="13"/>
      <c r="AE114" s="13"/>
    </row>
    <row r="115" spans="1:31" ht="21" x14ac:dyDescent="0.4">
      <c r="A115" s="210"/>
      <c r="B115" s="108">
        <v>105</v>
      </c>
      <c r="C115" s="297">
        <v>2145.6391553926674</v>
      </c>
      <c r="D115" s="297">
        <v>3390.8536133851176</v>
      </c>
      <c r="E115" s="297">
        <v>19.76369056180561</v>
      </c>
      <c r="F115" s="297">
        <v>14.114243834910893</v>
      </c>
      <c r="G115" s="322">
        <v>-1245.2144579924502</v>
      </c>
      <c r="H115" s="322">
        <v>5.6494467268947179</v>
      </c>
      <c r="I115" s="322">
        <v>-220.41352333928396</v>
      </c>
      <c r="K115" s="223">
        <f t="shared" si="7"/>
        <v>1183675.7945529439</v>
      </c>
      <c r="L115" s="223">
        <f t="shared" si="7"/>
        <v>843463.77648126846</v>
      </c>
      <c r="M115" s="114">
        <f t="shared" si="8"/>
        <v>1</v>
      </c>
      <c r="N115" s="114">
        <f t="shared" si="9"/>
        <v>0</v>
      </c>
      <c r="Q115" s="320">
        <f t="shared" si="10"/>
        <v>10400</v>
      </c>
      <c r="R115" s="101">
        <v>1</v>
      </c>
      <c r="S115" s="101">
        <v>0</v>
      </c>
      <c r="T115" s="12"/>
      <c r="U115" s="210"/>
      <c r="V115" s="13"/>
      <c r="W115" s="13"/>
      <c r="X115" s="13"/>
      <c r="Y115" s="13"/>
      <c r="Z115" s="13"/>
      <c r="AA115" s="13"/>
      <c r="AB115" s="13"/>
      <c r="AC115" s="13"/>
      <c r="AD115" s="13"/>
      <c r="AE115" s="13"/>
    </row>
    <row r="116" spans="1:31" ht="21" x14ac:dyDescent="0.4">
      <c r="A116" s="210"/>
      <c r="B116" s="108">
        <v>106</v>
      </c>
      <c r="C116" s="297">
        <v>2314.0233384545545</v>
      </c>
      <c r="D116" s="297">
        <v>3227.6909107012571</v>
      </c>
      <c r="E116" s="297">
        <v>19.771131513515719</v>
      </c>
      <c r="F116" s="297">
        <v>14.357360925115414</v>
      </c>
      <c r="G116" s="322">
        <v>-913.66757224670255</v>
      </c>
      <c r="H116" s="322">
        <v>5.4137705884003058</v>
      </c>
      <c r="I116" s="322">
        <v>-168.76732349988231</v>
      </c>
      <c r="K116" s="223">
        <f t="shared" si="7"/>
        <v>1183953.8674724887</v>
      </c>
      <c r="L116" s="223">
        <f t="shared" si="7"/>
        <v>858213.96459622355</v>
      </c>
      <c r="M116" s="114">
        <f t="shared" si="8"/>
        <v>1</v>
      </c>
      <c r="N116" s="114">
        <f t="shared" si="9"/>
        <v>0</v>
      </c>
      <c r="Q116" s="320">
        <f t="shared" si="10"/>
        <v>10500</v>
      </c>
      <c r="R116" s="101">
        <v>1</v>
      </c>
      <c r="S116" s="101">
        <v>0</v>
      </c>
      <c r="T116" s="12"/>
      <c r="U116" s="210"/>
      <c r="V116" s="13"/>
      <c r="W116" s="13"/>
      <c r="X116" s="13"/>
      <c r="Y116" s="13"/>
      <c r="Z116" s="13"/>
      <c r="AA116" s="13"/>
      <c r="AB116" s="13"/>
      <c r="AC116" s="13"/>
      <c r="AD116" s="13"/>
      <c r="AE116" s="13"/>
    </row>
    <row r="117" spans="1:31" ht="21" x14ac:dyDescent="0.4">
      <c r="A117" s="210"/>
      <c r="B117" s="108">
        <v>107</v>
      </c>
      <c r="C117" s="297">
        <v>2102.3939378924165</v>
      </c>
      <c r="D117" s="297">
        <v>2768.1729352776129</v>
      </c>
      <c r="E117" s="297">
        <v>18.223732725632694</v>
      </c>
      <c r="F117" s="297">
        <v>13.25495864288775</v>
      </c>
      <c r="G117" s="322">
        <v>-665.77899738519636</v>
      </c>
      <c r="H117" s="322">
        <v>4.9687740827449431</v>
      </c>
      <c r="I117" s="322">
        <v>-133.99260789441936</v>
      </c>
      <c r="K117" s="223">
        <f t="shared" si="7"/>
        <v>1091321.5696000692</v>
      </c>
      <c r="L117" s="223">
        <f t="shared" si="7"/>
        <v>792529.34563798748</v>
      </c>
      <c r="M117" s="114">
        <f t="shared" si="8"/>
        <v>1</v>
      </c>
      <c r="N117" s="114">
        <f t="shared" si="9"/>
        <v>0</v>
      </c>
      <c r="Q117" s="320">
        <f t="shared" si="10"/>
        <v>10600</v>
      </c>
      <c r="R117" s="101">
        <v>1</v>
      </c>
      <c r="S117" s="101">
        <v>0</v>
      </c>
      <c r="T117" s="12"/>
      <c r="U117" s="210"/>
      <c r="V117" s="13"/>
      <c r="W117" s="13"/>
      <c r="X117" s="13"/>
      <c r="Y117" s="13"/>
      <c r="Z117" s="13"/>
      <c r="AA117" s="13"/>
      <c r="AB117" s="13"/>
      <c r="AC117" s="13"/>
      <c r="AD117" s="13"/>
      <c r="AE117" s="13"/>
    </row>
    <row r="118" spans="1:31" ht="21" x14ac:dyDescent="0.4">
      <c r="A118" s="210"/>
      <c r="B118" s="108">
        <v>108</v>
      </c>
      <c r="C118" s="297">
        <v>2327.3739978514286</v>
      </c>
      <c r="D118" s="297">
        <v>3143.5261718400648</v>
      </c>
      <c r="E118" s="297">
        <v>17.637792644053452</v>
      </c>
      <c r="F118" s="297">
        <v>12.071552528968105</v>
      </c>
      <c r="G118" s="322">
        <v>-816.15217398863615</v>
      </c>
      <c r="H118" s="322">
        <v>5.5662401150853462</v>
      </c>
      <c r="I118" s="322">
        <v>-146.62539831451778</v>
      </c>
      <c r="K118" s="223">
        <f t="shared" si="7"/>
        <v>1055940.1846453557</v>
      </c>
      <c r="L118" s="223">
        <f t="shared" si="7"/>
        <v>721149.62556624634</v>
      </c>
      <c r="M118" s="114">
        <f t="shared" si="8"/>
        <v>1</v>
      </c>
      <c r="N118" s="114">
        <f t="shared" si="9"/>
        <v>0</v>
      </c>
      <c r="Q118" s="320">
        <f t="shared" si="10"/>
        <v>10700</v>
      </c>
      <c r="R118" s="101">
        <v>1</v>
      </c>
      <c r="S118" s="101">
        <v>0</v>
      </c>
      <c r="T118" s="12"/>
      <c r="U118" s="210"/>
      <c r="V118" s="13"/>
      <c r="W118" s="13"/>
      <c r="X118" s="13"/>
      <c r="Y118" s="13"/>
      <c r="Z118" s="13"/>
      <c r="AA118" s="13"/>
      <c r="AB118" s="13"/>
      <c r="AC118" s="13"/>
      <c r="AD118" s="13"/>
      <c r="AE118" s="13"/>
    </row>
    <row r="119" spans="1:31" ht="21" x14ac:dyDescent="0.4">
      <c r="A119" s="210"/>
      <c r="B119" s="108">
        <v>109</v>
      </c>
      <c r="C119" s="297">
        <v>2143.0211288875253</v>
      </c>
      <c r="D119" s="297">
        <v>3542.6754071660844</v>
      </c>
      <c r="E119" s="297">
        <v>16.60240698430982</v>
      </c>
      <c r="F119" s="297">
        <v>12.577592604244405</v>
      </c>
      <c r="G119" s="322">
        <v>-1399.6542782785591</v>
      </c>
      <c r="H119" s="322">
        <v>4.0248143800654148</v>
      </c>
      <c r="I119" s="322">
        <v>-347.75623074965529</v>
      </c>
      <c r="K119" s="223">
        <f t="shared" si="7"/>
        <v>994001.3979297016</v>
      </c>
      <c r="L119" s="223">
        <f t="shared" si="7"/>
        <v>751112.88084749819</v>
      </c>
      <c r="M119" s="114">
        <f t="shared" si="8"/>
        <v>1</v>
      </c>
      <c r="N119" s="114">
        <f t="shared" si="9"/>
        <v>0</v>
      </c>
      <c r="Q119" s="320">
        <f t="shared" si="10"/>
        <v>10800</v>
      </c>
      <c r="R119" s="101">
        <v>1</v>
      </c>
      <c r="S119" s="101">
        <v>0</v>
      </c>
      <c r="T119" s="12"/>
      <c r="U119" s="210"/>
      <c r="V119" s="13"/>
      <c r="W119" s="13"/>
      <c r="X119" s="13"/>
      <c r="Y119" s="13"/>
      <c r="Z119" s="13"/>
      <c r="AA119" s="13"/>
      <c r="AB119" s="13"/>
      <c r="AC119" s="13"/>
      <c r="AD119" s="13"/>
      <c r="AE119" s="13"/>
    </row>
    <row r="120" spans="1:31" ht="21" x14ac:dyDescent="0.4">
      <c r="A120" s="210"/>
      <c r="B120" s="108">
        <v>110</v>
      </c>
      <c r="C120" s="297">
        <v>2248.6282975533304</v>
      </c>
      <c r="D120" s="297">
        <v>2982.3267796383589</v>
      </c>
      <c r="E120" s="297">
        <v>17.629183175963732</v>
      </c>
      <c r="F120" s="297">
        <v>13.546232683193667</v>
      </c>
      <c r="G120" s="322">
        <v>-733.69848208502844</v>
      </c>
      <c r="H120" s="322">
        <v>4.0829504927700651</v>
      </c>
      <c r="I120" s="322">
        <v>-179.69810885148721</v>
      </c>
      <c r="K120" s="223">
        <f t="shared" si="7"/>
        <v>1055502.3622602704</v>
      </c>
      <c r="L120" s="223">
        <f t="shared" si="7"/>
        <v>809791.63421198167</v>
      </c>
      <c r="M120" s="114">
        <f t="shared" si="8"/>
        <v>1</v>
      </c>
      <c r="N120" s="114">
        <f t="shared" si="9"/>
        <v>0</v>
      </c>
      <c r="Q120" s="320">
        <f t="shared" si="10"/>
        <v>10900</v>
      </c>
      <c r="R120" s="101">
        <v>1</v>
      </c>
      <c r="S120" s="101">
        <v>0</v>
      </c>
      <c r="T120" s="12"/>
      <c r="U120" s="210"/>
      <c r="V120" s="13"/>
      <c r="W120" s="13"/>
      <c r="X120" s="13"/>
      <c r="Y120" s="13"/>
      <c r="Z120" s="13"/>
      <c r="AA120" s="13"/>
      <c r="AB120" s="13"/>
      <c r="AC120" s="13"/>
      <c r="AD120" s="13"/>
      <c r="AE120" s="13"/>
    </row>
    <row r="121" spans="1:31" ht="21" x14ac:dyDescent="0.4">
      <c r="A121" s="210"/>
      <c r="B121" s="108">
        <v>111</v>
      </c>
      <c r="C121" s="297">
        <v>2169.5315949734263</v>
      </c>
      <c r="D121" s="297">
        <v>2856.6359042452009</v>
      </c>
      <c r="E121" s="297">
        <v>19.729176428849627</v>
      </c>
      <c r="F121" s="297">
        <v>14.277418088719447</v>
      </c>
      <c r="G121" s="322">
        <v>-687.10430927177458</v>
      </c>
      <c r="H121" s="322">
        <v>5.4517583401301799</v>
      </c>
      <c r="I121" s="322">
        <v>-126.03352283868246</v>
      </c>
      <c r="K121" s="223">
        <f t="shared" si="7"/>
        <v>1181581.0541360041</v>
      </c>
      <c r="L121" s="223">
        <f t="shared" si="7"/>
        <v>853788.44941892161</v>
      </c>
      <c r="M121" s="114">
        <f t="shared" si="8"/>
        <v>1</v>
      </c>
      <c r="N121" s="114">
        <f t="shared" si="9"/>
        <v>0</v>
      </c>
      <c r="Q121" s="320">
        <f t="shared" si="10"/>
        <v>11000</v>
      </c>
      <c r="R121" s="101">
        <v>1</v>
      </c>
      <c r="S121" s="101">
        <v>0</v>
      </c>
      <c r="T121" s="12"/>
      <c r="U121" s="210"/>
      <c r="V121" s="13"/>
      <c r="W121" s="13"/>
      <c r="X121" s="13"/>
      <c r="Y121" s="13"/>
      <c r="Z121" s="13"/>
      <c r="AA121" s="13"/>
      <c r="AB121" s="13"/>
      <c r="AC121" s="13"/>
      <c r="AD121" s="13"/>
      <c r="AE121" s="13"/>
    </row>
    <row r="122" spans="1:31" ht="21" x14ac:dyDescent="0.4">
      <c r="A122" s="210"/>
      <c r="B122" s="108">
        <v>112</v>
      </c>
      <c r="C122" s="297">
        <v>1831.4904433977733</v>
      </c>
      <c r="D122" s="297">
        <v>2874.4161043287322</v>
      </c>
      <c r="E122" s="297">
        <v>19.018215915489705</v>
      </c>
      <c r="F122" s="297">
        <v>14.048427898391319</v>
      </c>
      <c r="G122" s="322">
        <v>-1042.9256609309589</v>
      </c>
      <c r="H122" s="322">
        <v>4.9697880170983861</v>
      </c>
      <c r="I122" s="322">
        <v>-209.85314813082746</v>
      </c>
      <c r="K122" s="223">
        <f t="shared" si="7"/>
        <v>1139261.4644859845</v>
      </c>
      <c r="L122" s="223">
        <f t="shared" si="7"/>
        <v>840031.25779915042</v>
      </c>
      <c r="M122" s="114">
        <f t="shared" si="8"/>
        <v>1</v>
      </c>
      <c r="N122" s="114">
        <f t="shared" si="9"/>
        <v>0</v>
      </c>
      <c r="Q122" s="320">
        <f t="shared" si="10"/>
        <v>11100</v>
      </c>
      <c r="R122" s="101">
        <v>1</v>
      </c>
      <c r="S122" s="101">
        <v>0</v>
      </c>
      <c r="T122" s="12"/>
      <c r="U122" s="210"/>
      <c r="V122" s="13"/>
      <c r="W122" s="13"/>
      <c r="X122" s="13"/>
      <c r="Y122" s="13"/>
      <c r="Z122" s="13"/>
      <c r="AA122" s="13"/>
      <c r="AB122" s="13"/>
      <c r="AC122" s="13"/>
      <c r="AD122" s="13"/>
      <c r="AE122" s="13"/>
    </row>
    <row r="123" spans="1:31" ht="21" x14ac:dyDescent="0.4">
      <c r="A123" s="210"/>
      <c r="B123" s="108">
        <v>113</v>
      </c>
      <c r="C123" s="297">
        <v>2259.9337597541385</v>
      </c>
      <c r="D123" s="297">
        <v>3683.7737751264785</v>
      </c>
      <c r="E123" s="297">
        <v>18.419973420774742</v>
      </c>
      <c r="F123" s="297">
        <v>13.140962075316764</v>
      </c>
      <c r="G123" s="322">
        <v>-1423.8400153723401</v>
      </c>
      <c r="H123" s="322">
        <v>5.2790113454579775</v>
      </c>
      <c r="I123" s="322">
        <v>-269.71717281824021</v>
      </c>
      <c r="K123" s="223">
        <f t="shared" si="7"/>
        <v>1102938.4714867305</v>
      </c>
      <c r="L123" s="223">
        <f t="shared" si="7"/>
        <v>784773.95074387942</v>
      </c>
      <c r="M123" s="114">
        <f t="shared" si="8"/>
        <v>1</v>
      </c>
      <c r="N123" s="114">
        <f t="shared" si="9"/>
        <v>0</v>
      </c>
      <c r="Q123" s="320">
        <f t="shared" si="10"/>
        <v>11200</v>
      </c>
      <c r="R123" s="101">
        <v>1</v>
      </c>
      <c r="S123" s="101">
        <v>0</v>
      </c>
      <c r="T123" s="12"/>
      <c r="U123" s="210"/>
      <c r="V123" s="13"/>
      <c r="W123" s="13"/>
      <c r="X123" s="13"/>
      <c r="Y123" s="13"/>
      <c r="Z123" s="13"/>
      <c r="AA123" s="13"/>
      <c r="AB123" s="13"/>
      <c r="AC123" s="13"/>
      <c r="AD123" s="13"/>
      <c r="AE123" s="13"/>
    </row>
    <row r="124" spans="1:31" ht="21" x14ac:dyDescent="0.4">
      <c r="A124" s="210"/>
      <c r="B124" s="108">
        <v>114</v>
      </c>
      <c r="C124" s="297">
        <v>2258.3606040186155</v>
      </c>
      <c r="D124" s="297">
        <v>3442.825153477911</v>
      </c>
      <c r="E124" s="297">
        <v>18.080505225337415</v>
      </c>
      <c r="F124" s="297">
        <v>13.376470636694968</v>
      </c>
      <c r="G124" s="322">
        <v>-1184.4645494592955</v>
      </c>
      <c r="H124" s="322">
        <v>4.7040345886424468</v>
      </c>
      <c r="I124" s="322">
        <v>-251.79758506008864</v>
      </c>
      <c r="K124" s="223">
        <f t="shared" si="7"/>
        <v>1082571.9529162261</v>
      </c>
      <c r="L124" s="223">
        <f t="shared" si="7"/>
        <v>799145.4130482201</v>
      </c>
      <c r="M124" s="114">
        <f t="shared" si="8"/>
        <v>1</v>
      </c>
      <c r="N124" s="114">
        <f t="shared" si="9"/>
        <v>0</v>
      </c>
      <c r="Q124" s="320">
        <f t="shared" si="10"/>
        <v>11300</v>
      </c>
      <c r="R124" s="101">
        <v>1</v>
      </c>
      <c r="S124" s="101">
        <v>0</v>
      </c>
      <c r="T124" s="12"/>
      <c r="U124" s="210"/>
      <c r="V124" s="13"/>
      <c r="W124" s="13"/>
      <c r="X124" s="13"/>
      <c r="Y124" s="13"/>
      <c r="Z124" s="13"/>
      <c r="AA124" s="13"/>
      <c r="AB124" s="13"/>
      <c r="AC124" s="13"/>
      <c r="AD124" s="13"/>
      <c r="AE124" s="13"/>
    </row>
    <row r="125" spans="1:31" ht="21" x14ac:dyDescent="0.4">
      <c r="A125" s="210"/>
      <c r="B125" s="108">
        <v>115</v>
      </c>
      <c r="C125" s="297">
        <v>2139.2088456420415</v>
      </c>
      <c r="D125" s="297">
        <v>3245.5401996911978</v>
      </c>
      <c r="E125" s="297">
        <v>19.044575297986739</v>
      </c>
      <c r="F125" s="297">
        <v>13.945443163200318</v>
      </c>
      <c r="G125" s="322">
        <v>-1106.3313540491563</v>
      </c>
      <c r="H125" s="322">
        <v>5.0991321347864211</v>
      </c>
      <c r="I125" s="322">
        <v>-216.96463727655399</v>
      </c>
      <c r="K125" s="223">
        <f t="shared" si="7"/>
        <v>1140535.3090335624</v>
      </c>
      <c r="L125" s="223">
        <f t="shared" si="7"/>
        <v>833481.04959232791</v>
      </c>
      <c r="M125" s="114">
        <f t="shared" si="8"/>
        <v>1</v>
      </c>
      <c r="N125" s="114">
        <f t="shared" si="9"/>
        <v>0</v>
      </c>
      <c r="Q125" s="320">
        <f t="shared" si="10"/>
        <v>11400</v>
      </c>
      <c r="R125" s="101">
        <v>1</v>
      </c>
      <c r="S125" s="101">
        <v>0</v>
      </c>
      <c r="T125" s="12"/>
      <c r="U125" s="210"/>
      <c r="V125" s="13"/>
      <c r="W125" s="13"/>
      <c r="X125" s="13"/>
      <c r="Y125" s="13"/>
      <c r="Z125" s="13"/>
      <c r="AA125" s="13"/>
      <c r="AB125" s="13"/>
      <c r="AC125" s="13"/>
      <c r="AD125" s="13"/>
      <c r="AE125" s="13"/>
    </row>
    <row r="126" spans="1:31" ht="21" x14ac:dyDescent="0.4">
      <c r="A126" s="210"/>
      <c r="B126" s="108">
        <v>116</v>
      </c>
      <c r="C126" s="297">
        <v>2145.8158555700047</v>
      </c>
      <c r="D126" s="297">
        <v>3245.3636260948942</v>
      </c>
      <c r="E126" s="297">
        <v>16.976944722917537</v>
      </c>
      <c r="F126" s="297">
        <v>12.459155813939352</v>
      </c>
      <c r="G126" s="322">
        <v>-1099.5477705248895</v>
      </c>
      <c r="H126" s="322">
        <v>4.5177889089781846</v>
      </c>
      <c r="I126" s="322">
        <v>-243.3818384785005</v>
      </c>
      <c r="K126" s="223">
        <f t="shared" si="7"/>
        <v>1016470.8675194822</v>
      </c>
      <c r="L126" s="223">
        <f t="shared" si="7"/>
        <v>744303.98521026631</v>
      </c>
      <c r="M126" s="114">
        <f t="shared" si="8"/>
        <v>1</v>
      </c>
      <c r="N126" s="114">
        <f t="shared" si="9"/>
        <v>0</v>
      </c>
      <c r="Q126" s="320">
        <f t="shared" si="10"/>
        <v>11500</v>
      </c>
      <c r="R126" s="101">
        <v>1</v>
      </c>
      <c r="S126" s="101">
        <v>0</v>
      </c>
      <c r="T126" s="12"/>
      <c r="U126" s="210"/>
      <c r="V126" s="13"/>
      <c r="W126" s="13"/>
      <c r="X126" s="13"/>
      <c r="Y126" s="13"/>
      <c r="Z126" s="13"/>
      <c r="AA126" s="13"/>
      <c r="AB126" s="13"/>
      <c r="AC126" s="13"/>
      <c r="AD126" s="13"/>
      <c r="AE126" s="13"/>
    </row>
    <row r="127" spans="1:31" ht="21" x14ac:dyDescent="0.4">
      <c r="A127" s="210"/>
      <c r="B127" s="108">
        <v>117</v>
      </c>
      <c r="C127" s="297">
        <v>2109.3567307322464</v>
      </c>
      <c r="D127" s="297">
        <v>2822.4252633481933</v>
      </c>
      <c r="E127" s="297">
        <v>18.9859527129668</v>
      </c>
      <c r="F127" s="297">
        <v>14.134277273043361</v>
      </c>
      <c r="G127" s="322">
        <v>-713.06853261594688</v>
      </c>
      <c r="H127" s="322">
        <v>4.8516754399234383</v>
      </c>
      <c r="I127" s="322">
        <v>-146.97366743625361</v>
      </c>
      <c r="K127" s="223">
        <f t="shared" si="7"/>
        <v>1137047.8060472759</v>
      </c>
      <c r="L127" s="223">
        <f t="shared" si="7"/>
        <v>845234.21111925354</v>
      </c>
      <c r="M127" s="114">
        <f t="shared" si="8"/>
        <v>1</v>
      </c>
      <c r="N127" s="114">
        <f t="shared" si="9"/>
        <v>0</v>
      </c>
      <c r="Q127" s="320">
        <f t="shared" si="10"/>
        <v>11600</v>
      </c>
      <c r="R127" s="101">
        <v>1</v>
      </c>
      <c r="S127" s="101">
        <v>0</v>
      </c>
      <c r="T127" s="12"/>
      <c r="U127" s="210"/>
      <c r="V127" s="13"/>
      <c r="W127" s="13"/>
      <c r="X127" s="13"/>
      <c r="Y127" s="13"/>
      <c r="Z127" s="13"/>
      <c r="AA127" s="13"/>
      <c r="AB127" s="13"/>
      <c r="AC127" s="13"/>
      <c r="AD127" s="13"/>
      <c r="AE127" s="13"/>
    </row>
    <row r="128" spans="1:31" ht="21" x14ac:dyDescent="0.4">
      <c r="A128" s="210"/>
      <c r="B128" s="108">
        <v>118</v>
      </c>
      <c r="C128" s="297">
        <v>2261.3046313513596</v>
      </c>
      <c r="D128" s="297">
        <v>3057.8010858284083</v>
      </c>
      <c r="E128" s="297">
        <v>18.680426668201548</v>
      </c>
      <c r="F128" s="297">
        <v>12.803108140149989</v>
      </c>
      <c r="G128" s="322">
        <v>-796.4964544770487</v>
      </c>
      <c r="H128" s="322">
        <v>5.8773185280515587</v>
      </c>
      <c r="I128" s="322">
        <v>-135.52038241172241</v>
      </c>
      <c r="K128" s="223">
        <f t="shared" si="7"/>
        <v>1118564.2954607417</v>
      </c>
      <c r="L128" s="223">
        <f t="shared" si="7"/>
        <v>765128.68732317095</v>
      </c>
      <c r="M128" s="114">
        <f t="shared" si="8"/>
        <v>1</v>
      </c>
      <c r="N128" s="114">
        <f t="shared" si="9"/>
        <v>0</v>
      </c>
      <c r="Q128" s="320">
        <f t="shared" si="10"/>
        <v>11700</v>
      </c>
      <c r="R128" s="101">
        <v>1</v>
      </c>
      <c r="S128" s="101">
        <v>0</v>
      </c>
      <c r="T128" s="12"/>
      <c r="U128" s="210"/>
      <c r="V128" s="13"/>
      <c r="W128" s="13"/>
      <c r="X128" s="13"/>
      <c r="Y128" s="13"/>
      <c r="Z128" s="13"/>
      <c r="AA128" s="13"/>
      <c r="AB128" s="13"/>
      <c r="AC128" s="13"/>
      <c r="AD128" s="13"/>
      <c r="AE128" s="13"/>
    </row>
    <row r="129" spans="1:31" ht="21" x14ac:dyDescent="0.4">
      <c r="A129" s="210"/>
      <c r="B129" s="108">
        <v>119</v>
      </c>
      <c r="C129" s="297">
        <v>1774.1009170548095</v>
      </c>
      <c r="D129" s="297">
        <v>2955.8150597646281</v>
      </c>
      <c r="E129" s="297">
        <v>20.095101221781825</v>
      </c>
      <c r="F129" s="297">
        <v>14.624656211403989</v>
      </c>
      <c r="G129" s="322">
        <v>-1181.7141427098186</v>
      </c>
      <c r="H129" s="322">
        <v>5.4704450103778353</v>
      </c>
      <c r="I129" s="322">
        <v>-216.01791818910897</v>
      </c>
      <c r="K129" s="223">
        <f t="shared" si="7"/>
        <v>1203931.9723898547</v>
      </c>
      <c r="L129" s="223">
        <f t="shared" si="7"/>
        <v>874523.55762447475</v>
      </c>
      <c r="M129" s="114">
        <f t="shared" si="8"/>
        <v>1</v>
      </c>
      <c r="N129" s="114">
        <f t="shared" si="9"/>
        <v>0</v>
      </c>
      <c r="Q129" s="320">
        <f t="shared" si="10"/>
        <v>11800</v>
      </c>
      <c r="R129" s="101">
        <v>1</v>
      </c>
      <c r="S129" s="101">
        <v>0</v>
      </c>
      <c r="T129" s="12"/>
      <c r="U129" s="210"/>
      <c r="V129" s="13"/>
      <c r="W129" s="13"/>
      <c r="X129" s="13"/>
      <c r="Y129" s="13"/>
      <c r="Z129" s="13"/>
      <c r="AA129" s="13"/>
      <c r="AB129" s="13"/>
      <c r="AC129" s="13"/>
      <c r="AD129" s="13"/>
      <c r="AE129" s="13"/>
    </row>
    <row r="130" spans="1:31" ht="21" x14ac:dyDescent="0.4">
      <c r="A130" s="210"/>
      <c r="B130" s="108">
        <v>120</v>
      </c>
      <c r="C130" s="297">
        <v>2178.3390380145888</v>
      </c>
      <c r="D130" s="297">
        <v>2789.151102154643</v>
      </c>
      <c r="E130" s="297">
        <v>18.547588462257107</v>
      </c>
      <c r="F130" s="297">
        <v>13.413299141754196</v>
      </c>
      <c r="G130" s="322">
        <v>-610.81206414005419</v>
      </c>
      <c r="H130" s="322">
        <v>5.1342893205029103</v>
      </c>
      <c r="I130" s="322">
        <v>-118.96720773036303</v>
      </c>
      <c r="K130" s="223">
        <f t="shared" si="7"/>
        <v>1110676.9686974117</v>
      </c>
      <c r="L130" s="223">
        <f t="shared" si="7"/>
        <v>802008.79740309715</v>
      </c>
      <c r="M130" s="114">
        <f t="shared" si="8"/>
        <v>1</v>
      </c>
      <c r="N130" s="114">
        <f t="shared" si="9"/>
        <v>0</v>
      </c>
      <c r="Q130" s="320">
        <f t="shared" si="10"/>
        <v>11900</v>
      </c>
      <c r="R130" s="101">
        <v>1</v>
      </c>
      <c r="S130" s="101">
        <v>0</v>
      </c>
      <c r="T130" s="12"/>
      <c r="U130" s="210"/>
      <c r="V130" s="13"/>
      <c r="W130" s="13"/>
      <c r="X130" s="13"/>
      <c r="Y130" s="13"/>
      <c r="Z130" s="13"/>
      <c r="AA130" s="13"/>
      <c r="AB130" s="13"/>
      <c r="AC130" s="13"/>
      <c r="AD130" s="13"/>
      <c r="AE130" s="13"/>
    </row>
    <row r="131" spans="1:31" ht="21" x14ac:dyDescent="0.4">
      <c r="A131" s="210"/>
      <c r="B131" s="108">
        <v>121</v>
      </c>
      <c r="C131" s="297">
        <v>2181.320811245891</v>
      </c>
      <c r="D131" s="297">
        <v>3587.2492700528078</v>
      </c>
      <c r="E131" s="297">
        <v>18.92599259998369</v>
      </c>
      <c r="F131" s="297">
        <v>13.581414035125347</v>
      </c>
      <c r="G131" s="322">
        <v>-1405.9284588069168</v>
      </c>
      <c r="H131" s="322">
        <v>5.3445785648583435</v>
      </c>
      <c r="I131" s="322">
        <v>-263.05693549930641</v>
      </c>
      <c r="K131" s="223">
        <f t="shared" si="7"/>
        <v>1133378.2351877757</v>
      </c>
      <c r="L131" s="223">
        <f t="shared" si="7"/>
        <v>811297.59283746802</v>
      </c>
      <c r="M131" s="114">
        <f t="shared" si="8"/>
        <v>1</v>
      </c>
      <c r="N131" s="114">
        <f t="shared" si="9"/>
        <v>0</v>
      </c>
      <c r="Q131" s="320">
        <f t="shared" si="10"/>
        <v>12000</v>
      </c>
      <c r="R131" s="101">
        <v>1</v>
      </c>
      <c r="S131" s="101">
        <v>0</v>
      </c>
      <c r="T131" s="12"/>
      <c r="U131" s="210"/>
      <c r="V131" s="13"/>
      <c r="W131" s="13"/>
      <c r="X131" s="13"/>
      <c r="Y131" s="13"/>
      <c r="Z131" s="13"/>
      <c r="AA131" s="13"/>
      <c r="AB131" s="13"/>
      <c r="AC131" s="13"/>
      <c r="AD131" s="13"/>
      <c r="AE131" s="13"/>
    </row>
    <row r="132" spans="1:31" ht="21" x14ac:dyDescent="0.4">
      <c r="A132" s="210"/>
      <c r="B132" s="108">
        <v>122</v>
      </c>
      <c r="C132" s="297">
        <v>2133.7284831079382</v>
      </c>
      <c r="D132" s="297">
        <v>2872.369479785656</v>
      </c>
      <c r="E132" s="297">
        <v>21.474617353608373</v>
      </c>
      <c r="F132" s="297">
        <v>14.896340039198725</v>
      </c>
      <c r="G132" s="322">
        <v>-738.64099667771779</v>
      </c>
      <c r="H132" s="322">
        <v>6.5782773144096485</v>
      </c>
      <c r="I132" s="322">
        <v>-112.28486750774893</v>
      </c>
      <c r="K132" s="223">
        <f t="shared" si="7"/>
        <v>1286343.3127333946</v>
      </c>
      <c r="L132" s="223">
        <f t="shared" si="7"/>
        <v>890908.03287213785</v>
      </c>
      <c r="M132" s="114">
        <f t="shared" si="8"/>
        <v>1</v>
      </c>
      <c r="N132" s="114">
        <f t="shared" si="9"/>
        <v>0</v>
      </c>
      <c r="Q132" s="320">
        <f t="shared" si="10"/>
        <v>12100</v>
      </c>
      <c r="R132" s="101">
        <v>1</v>
      </c>
      <c r="S132" s="101">
        <v>0</v>
      </c>
      <c r="T132" s="12"/>
      <c r="U132" s="210"/>
      <c r="V132" s="13"/>
      <c r="W132" s="13"/>
      <c r="X132" s="13"/>
      <c r="Y132" s="13"/>
      <c r="Z132" s="13"/>
      <c r="AA132" s="13"/>
      <c r="AB132" s="13"/>
      <c r="AC132" s="13"/>
      <c r="AD132" s="13"/>
      <c r="AE132" s="13"/>
    </row>
    <row r="133" spans="1:31" ht="21" x14ac:dyDescent="0.4">
      <c r="A133" s="210"/>
      <c r="B133" s="108">
        <v>123</v>
      </c>
      <c r="C133" s="297">
        <v>2015.151409527462</v>
      </c>
      <c r="D133" s="297">
        <v>3240.2355783251851</v>
      </c>
      <c r="E133" s="297">
        <v>20.070762071070405</v>
      </c>
      <c r="F133" s="297">
        <v>14.577319843296381</v>
      </c>
      <c r="G133" s="322">
        <v>-1225.0841687977231</v>
      </c>
      <c r="H133" s="322">
        <v>5.4934422277740236</v>
      </c>
      <c r="I133" s="322">
        <v>-223.00847410461159</v>
      </c>
      <c r="K133" s="223">
        <f t="shared" si="7"/>
        <v>1202230.5728546968</v>
      </c>
      <c r="L133" s="223">
        <f t="shared" si="7"/>
        <v>871398.95501945761</v>
      </c>
      <c r="M133" s="114">
        <f t="shared" si="8"/>
        <v>1</v>
      </c>
      <c r="N133" s="114">
        <f t="shared" si="9"/>
        <v>0</v>
      </c>
      <c r="Q133" s="320">
        <f t="shared" si="10"/>
        <v>12200</v>
      </c>
      <c r="R133" s="101">
        <v>1</v>
      </c>
      <c r="S133" s="101">
        <v>0</v>
      </c>
      <c r="T133" s="12"/>
      <c r="U133" s="210"/>
      <c r="V133" s="13"/>
      <c r="W133" s="13"/>
      <c r="X133" s="13"/>
      <c r="Y133" s="13"/>
      <c r="Z133" s="13"/>
      <c r="AA133" s="13"/>
      <c r="AB133" s="13"/>
      <c r="AC133" s="13"/>
      <c r="AD133" s="13"/>
      <c r="AE133" s="13"/>
    </row>
    <row r="134" spans="1:31" ht="21" x14ac:dyDescent="0.4">
      <c r="A134" s="210"/>
      <c r="B134" s="108">
        <v>124</v>
      </c>
      <c r="C134" s="297">
        <v>2029.5042841857698</v>
      </c>
      <c r="D134" s="297">
        <v>2930.7775567028693</v>
      </c>
      <c r="E134" s="297">
        <v>19.661734368717568</v>
      </c>
      <c r="F134" s="297">
        <v>15.085594016411566</v>
      </c>
      <c r="G134" s="322">
        <v>-901.27327251709949</v>
      </c>
      <c r="H134" s="322">
        <v>4.5761403523060018</v>
      </c>
      <c r="I134" s="322">
        <v>-196.95053104368426</v>
      </c>
      <c r="K134" s="223">
        <f t="shared" si="7"/>
        <v>1177674.5578388683</v>
      </c>
      <c r="L134" s="223">
        <f t="shared" si="7"/>
        <v>902204.86342799116</v>
      </c>
      <c r="M134" s="114">
        <f t="shared" si="8"/>
        <v>1</v>
      </c>
      <c r="N134" s="114">
        <f t="shared" si="9"/>
        <v>0</v>
      </c>
      <c r="Q134" s="320">
        <f t="shared" si="10"/>
        <v>12300</v>
      </c>
      <c r="R134" s="101">
        <v>1</v>
      </c>
      <c r="S134" s="101">
        <v>0</v>
      </c>
      <c r="T134" s="12"/>
      <c r="U134" s="210"/>
      <c r="V134" s="13"/>
      <c r="W134" s="13"/>
      <c r="X134" s="13"/>
      <c r="Y134" s="13"/>
      <c r="Z134" s="13"/>
      <c r="AA134" s="13"/>
      <c r="AB134" s="13"/>
      <c r="AC134" s="13"/>
      <c r="AD134" s="13"/>
      <c r="AE134" s="13"/>
    </row>
    <row r="135" spans="1:31" ht="21" x14ac:dyDescent="0.4">
      <c r="A135" s="210"/>
      <c r="B135" s="108">
        <v>125</v>
      </c>
      <c r="C135" s="297">
        <v>1972.4424550504882</v>
      </c>
      <c r="D135" s="297">
        <v>2824.9845309275142</v>
      </c>
      <c r="E135" s="297">
        <v>17.84083458803536</v>
      </c>
      <c r="F135" s="297">
        <v>13.685649474934637</v>
      </c>
      <c r="G135" s="322">
        <v>-852.54207587702604</v>
      </c>
      <c r="H135" s="322">
        <v>4.1551851131007229</v>
      </c>
      <c r="I135" s="322">
        <v>-205.17547417781196</v>
      </c>
      <c r="K135" s="223">
        <f t="shared" si="7"/>
        <v>1068477.632827071</v>
      </c>
      <c r="L135" s="223">
        <f t="shared" si="7"/>
        <v>818313.98396515078</v>
      </c>
      <c r="M135" s="114">
        <f t="shared" si="8"/>
        <v>1</v>
      </c>
      <c r="N135" s="114">
        <f t="shared" si="9"/>
        <v>0</v>
      </c>
      <c r="Q135" s="320">
        <f t="shared" si="10"/>
        <v>12400</v>
      </c>
      <c r="R135" s="101">
        <v>1</v>
      </c>
      <c r="S135" s="101">
        <v>0</v>
      </c>
      <c r="T135" s="12"/>
      <c r="U135" s="210"/>
      <c r="V135" s="13"/>
      <c r="W135" s="13"/>
      <c r="X135" s="13"/>
      <c r="Y135" s="13"/>
      <c r="Z135" s="13"/>
      <c r="AA135" s="13"/>
      <c r="AB135" s="13"/>
      <c r="AC135" s="13"/>
      <c r="AD135" s="13"/>
      <c r="AE135" s="13"/>
    </row>
    <row r="136" spans="1:31" ht="21" x14ac:dyDescent="0.4">
      <c r="A136" s="210"/>
      <c r="B136" s="108">
        <v>126</v>
      </c>
      <c r="C136" s="297">
        <v>2112.4366062524241</v>
      </c>
      <c r="D136" s="297">
        <v>2873.0147373869986</v>
      </c>
      <c r="E136" s="297">
        <v>19.419268998725581</v>
      </c>
      <c r="F136" s="297">
        <v>13.09660964626525</v>
      </c>
      <c r="G136" s="322">
        <v>-760.57813113457451</v>
      </c>
      <c r="H136" s="322">
        <v>6.322659352460331</v>
      </c>
      <c r="I136" s="322">
        <v>-120.29402324808332</v>
      </c>
      <c r="K136" s="223">
        <f t="shared" si="7"/>
        <v>1163043.7033172825</v>
      </c>
      <c r="L136" s="223">
        <f t="shared" si="7"/>
        <v>782923.56403852801</v>
      </c>
      <c r="M136" s="114">
        <f t="shared" si="8"/>
        <v>1</v>
      </c>
      <c r="N136" s="114">
        <f t="shared" si="9"/>
        <v>0</v>
      </c>
      <c r="Q136" s="320">
        <f t="shared" si="10"/>
        <v>12500</v>
      </c>
      <c r="R136" s="101">
        <v>1</v>
      </c>
      <c r="S136" s="101">
        <v>0</v>
      </c>
      <c r="T136" s="12"/>
      <c r="U136" s="210"/>
      <c r="V136" s="13"/>
      <c r="W136" s="13"/>
      <c r="X136" s="13"/>
      <c r="Y136" s="13"/>
      <c r="Z136" s="13"/>
      <c r="AA136" s="13"/>
      <c r="AB136" s="13"/>
      <c r="AC136" s="13"/>
      <c r="AD136" s="13"/>
      <c r="AE136" s="13"/>
    </row>
    <row r="137" spans="1:31" ht="21" x14ac:dyDescent="0.4">
      <c r="A137" s="210"/>
      <c r="B137" s="108">
        <v>127</v>
      </c>
      <c r="C137" s="297">
        <v>2001.7959163324558</v>
      </c>
      <c r="D137" s="297">
        <v>2895.5556522113948</v>
      </c>
      <c r="E137" s="297">
        <v>19.656120528477572</v>
      </c>
      <c r="F137" s="297">
        <v>14.33273706072098</v>
      </c>
      <c r="G137" s="322">
        <v>-893.75973587893895</v>
      </c>
      <c r="H137" s="322">
        <v>5.3233834677565923</v>
      </c>
      <c r="I137" s="322">
        <v>-167.89317194457001</v>
      </c>
      <c r="K137" s="223">
        <f t="shared" si="7"/>
        <v>1177365.435792322</v>
      </c>
      <c r="L137" s="223">
        <f t="shared" si="7"/>
        <v>857068.66799104738</v>
      </c>
      <c r="M137" s="114">
        <f t="shared" si="8"/>
        <v>1</v>
      </c>
      <c r="N137" s="114">
        <f t="shared" si="9"/>
        <v>0</v>
      </c>
      <c r="Q137" s="320">
        <f t="shared" si="10"/>
        <v>12600</v>
      </c>
      <c r="R137" s="101">
        <v>1</v>
      </c>
      <c r="S137" s="101">
        <v>0</v>
      </c>
      <c r="T137" s="12"/>
      <c r="U137" s="210"/>
      <c r="V137" s="13"/>
      <c r="W137" s="13"/>
      <c r="X137" s="13"/>
      <c r="Y137" s="13"/>
      <c r="Z137" s="13"/>
      <c r="AA137" s="13"/>
      <c r="AB137" s="13"/>
      <c r="AC137" s="13"/>
      <c r="AD137" s="13"/>
      <c r="AE137" s="13"/>
    </row>
    <row r="138" spans="1:31" ht="21" x14ac:dyDescent="0.4">
      <c r="A138" s="210"/>
      <c r="B138" s="108">
        <v>128</v>
      </c>
      <c r="C138" s="297">
        <v>1863.5166747314872</v>
      </c>
      <c r="D138" s="297">
        <v>3080.5975395390765</v>
      </c>
      <c r="E138" s="297">
        <v>19.818498247868717</v>
      </c>
      <c r="F138" s="297">
        <v>15.236053208447727</v>
      </c>
      <c r="G138" s="322">
        <v>-1217.0808648075893</v>
      </c>
      <c r="H138" s="322">
        <v>4.5824450394209908</v>
      </c>
      <c r="I138" s="322">
        <v>-265.59639108325717</v>
      </c>
      <c r="K138" s="223">
        <f t="shared" si="7"/>
        <v>1187246.3781973918</v>
      </c>
      <c r="L138" s="223">
        <f t="shared" si="7"/>
        <v>911082.59496732452</v>
      </c>
      <c r="M138" s="114">
        <f t="shared" si="8"/>
        <v>1</v>
      </c>
      <c r="N138" s="114">
        <f t="shared" si="9"/>
        <v>0</v>
      </c>
      <c r="Q138" s="320">
        <f t="shared" si="10"/>
        <v>12700</v>
      </c>
      <c r="R138" s="101">
        <v>1</v>
      </c>
      <c r="S138" s="101">
        <v>0</v>
      </c>
      <c r="T138" s="12"/>
      <c r="U138" s="210"/>
      <c r="V138" s="13"/>
      <c r="W138" s="13"/>
      <c r="X138" s="13"/>
      <c r="Y138" s="13"/>
      <c r="Z138" s="13"/>
      <c r="AA138" s="13"/>
      <c r="AB138" s="13"/>
      <c r="AC138" s="13"/>
      <c r="AD138" s="13"/>
      <c r="AE138" s="13"/>
    </row>
    <row r="139" spans="1:31" ht="21" x14ac:dyDescent="0.4">
      <c r="A139" s="210"/>
      <c r="B139" s="108">
        <v>129</v>
      </c>
      <c r="C139" s="297">
        <v>2095.9264647550294</v>
      </c>
      <c r="D139" s="297">
        <v>3250.0390395296126</v>
      </c>
      <c r="E139" s="297">
        <v>20.796140938367778</v>
      </c>
      <c r="F139" s="297">
        <v>15.053698908049356</v>
      </c>
      <c r="G139" s="322">
        <v>-1154.1125747745832</v>
      </c>
      <c r="H139" s="322">
        <v>5.742442030318422</v>
      </c>
      <c r="I139" s="322">
        <v>-200.97940365461329</v>
      </c>
      <c r="K139" s="223">
        <f t="shared" si="7"/>
        <v>1245672.5298373115</v>
      </c>
      <c r="L139" s="223">
        <f t="shared" si="7"/>
        <v>899971.89544343168</v>
      </c>
      <c r="M139" s="114">
        <f t="shared" si="8"/>
        <v>1</v>
      </c>
      <c r="N139" s="114">
        <f t="shared" si="9"/>
        <v>0</v>
      </c>
      <c r="Q139" s="320">
        <f t="shared" si="10"/>
        <v>12800</v>
      </c>
      <c r="R139" s="101">
        <v>1</v>
      </c>
      <c r="S139" s="101">
        <v>0</v>
      </c>
      <c r="T139" s="12"/>
      <c r="U139" s="210"/>
      <c r="V139" s="13"/>
      <c r="W139" s="13"/>
      <c r="X139" s="13"/>
      <c r="Y139" s="13"/>
      <c r="Z139" s="13"/>
      <c r="AA139" s="13"/>
      <c r="AB139" s="13"/>
      <c r="AC139" s="13"/>
      <c r="AD139" s="13"/>
      <c r="AE139" s="13"/>
    </row>
    <row r="140" spans="1:31" ht="21" x14ac:dyDescent="0.4">
      <c r="A140" s="210"/>
      <c r="B140" s="108">
        <v>130</v>
      </c>
      <c r="C140" s="297">
        <v>2236.4327725651156</v>
      </c>
      <c r="D140" s="297">
        <v>3155.6709881932939</v>
      </c>
      <c r="E140" s="297">
        <v>19.02376443254343</v>
      </c>
      <c r="F140" s="297">
        <v>13.152136427662919</v>
      </c>
      <c r="G140" s="322">
        <v>-919.2382156281783</v>
      </c>
      <c r="H140" s="322">
        <v>5.8716280048805114</v>
      </c>
      <c r="I140" s="322">
        <v>-156.55593557086812</v>
      </c>
      <c r="K140" s="223">
        <f t="shared" ref="K140:L203" si="11">E140*$N$4-C140</f>
        <v>1139189.4331800407</v>
      </c>
      <c r="L140" s="223">
        <f t="shared" si="11"/>
        <v>785972.51467158191</v>
      </c>
      <c r="M140" s="114">
        <f t="shared" ref="M140:M203" si="12">IF(MAX(K140:L140)=K140,1,0)</f>
        <v>1</v>
      </c>
      <c r="N140" s="114">
        <f t="shared" ref="N140:N203" si="13">IF(MAX(K140:L140)=L140,1,0)</f>
        <v>0</v>
      </c>
      <c r="Q140" s="320">
        <f t="shared" si="10"/>
        <v>12900</v>
      </c>
      <c r="R140" s="101">
        <v>1</v>
      </c>
      <c r="S140" s="101">
        <v>0</v>
      </c>
      <c r="T140" s="12"/>
      <c r="U140" s="210"/>
      <c r="V140" s="13"/>
      <c r="W140" s="13"/>
      <c r="X140" s="13"/>
      <c r="Y140" s="13"/>
      <c r="Z140" s="13"/>
      <c r="AA140" s="13"/>
      <c r="AB140" s="13"/>
      <c r="AC140" s="13"/>
      <c r="AD140" s="13"/>
      <c r="AE140" s="13"/>
    </row>
    <row r="141" spans="1:31" ht="21" x14ac:dyDescent="0.4">
      <c r="A141" s="210"/>
      <c r="B141" s="108">
        <v>131</v>
      </c>
      <c r="C141" s="297">
        <v>2056.7471244717808</v>
      </c>
      <c r="D141" s="297">
        <v>2979.4659546519069</v>
      </c>
      <c r="E141" s="297">
        <v>18.48031914953383</v>
      </c>
      <c r="F141" s="297">
        <v>11.963126190515638</v>
      </c>
      <c r="G141" s="322">
        <v>-922.71883018012613</v>
      </c>
      <c r="H141" s="322">
        <v>6.5171929590181925</v>
      </c>
      <c r="I141" s="322">
        <v>-141.58224806023429</v>
      </c>
      <c r="K141" s="223">
        <f t="shared" si="11"/>
        <v>1106762.4018475581</v>
      </c>
      <c r="L141" s="223">
        <f t="shared" si="11"/>
        <v>714808.10547628638</v>
      </c>
      <c r="M141" s="114">
        <f t="shared" si="12"/>
        <v>1</v>
      </c>
      <c r="N141" s="114">
        <f t="shared" si="13"/>
        <v>0</v>
      </c>
      <c r="Q141" s="320">
        <f t="shared" ref="Q141:Q204" si="14">Q140+100</f>
        <v>13000</v>
      </c>
      <c r="R141" s="101">
        <v>1</v>
      </c>
      <c r="S141" s="101">
        <v>0</v>
      </c>
      <c r="T141" s="12"/>
      <c r="U141" s="210"/>
      <c r="V141" s="13"/>
      <c r="W141" s="13"/>
      <c r="X141" s="13"/>
      <c r="Y141" s="13"/>
      <c r="Z141" s="13"/>
      <c r="AA141" s="13"/>
      <c r="AB141" s="13"/>
      <c r="AC141" s="13"/>
      <c r="AD141" s="13"/>
      <c r="AE141" s="13"/>
    </row>
    <row r="142" spans="1:31" ht="21" x14ac:dyDescent="0.4">
      <c r="A142" s="210"/>
      <c r="B142" s="108">
        <v>132</v>
      </c>
      <c r="C142" s="297">
        <v>1740.71666767545</v>
      </c>
      <c r="D142" s="297">
        <v>2414.6526022123335</v>
      </c>
      <c r="E142" s="297">
        <v>18.53873863691971</v>
      </c>
      <c r="F142" s="297">
        <v>12.804666815028598</v>
      </c>
      <c r="G142" s="322">
        <v>-673.93593453688345</v>
      </c>
      <c r="H142" s="322">
        <v>5.7340718218911118</v>
      </c>
      <c r="I142" s="322">
        <v>-117.53182650485491</v>
      </c>
      <c r="K142" s="223">
        <f t="shared" si="11"/>
        <v>1110583.6015475071</v>
      </c>
      <c r="L142" s="223">
        <f t="shared" si="11"/>
        <v>765865.35629950347</v>
      </c>
      <c r="M142" s="114">
        <f t="shared" si="12"/>
        <v>1</v>
      </c>
      <c r="N142" s="114">
        <f t="shared" si="13"/>
        <v>0</v>
      </c>
      <c r="Q142" s="320">
        <f t="shared" si="14"/>
        <v>13100</v>
      </c>
      <c r="R142" s="101">
        <v>1</v>
      </c>
      <c r="S142" s="101">
        <v>0</v>
      </c>
      <c r="T142" s="12"/>
      <c r="U142" s="210"/>
      <c r="V142" s="13"/>
      <c r="W142" s="13"/>
      <c r="X142" s="13"/>
      <c r="Y142" s="13"/>
      <c r="Z142" s="13"/>
      <c r="AA142" s="13"/>
      <c r="AB142" s="13"/>
      <c r="AC142" s="13"/>
      <c r="AD142" s="13"/>
      <c r="AE142" s="13"/>
    </row>
    <row r="143" spans="1:31" ht="21" x14ac:dyDescent="0.4">
      <c r="A143" s="210"/>
      <c r="B143" s="108">
        <v>133</v>
      </c>
      <c r="C143" s="297">
        <v>1954.1635401556014</v>
      </c>
      <c r="D143" s="297">
        <v>2883.2842641057186</v>
      </c>
      <c r="E143" s="297">
        <v>19.653289987374411</v>
      </c>
      <c r="F143" s="297">
        <v>14.286458316650968</v>
      </c>
      <c r="G143" s="322">
        <v>-929.12072395011728</v>
      </c>
      <c r="H143" s="322">
        <v>5.3668316707234425</v>
      </c>
      <c r="I143" s="322">
        <v>-173.12276235875922</v>
      </c>
      <c r="K143" s="223">
        <f t="shared" si="11"/>
        <v>1177243.2357023091</v>
      </c>
      <c r="L143" s="223">
        <f t="shared" si="11"/>
        <v>854304.21473495231</v>
      </c>
      <c r="M143" s="114">
        <f t="shared" si="12"/>
        <v>1</v>
      </c>
      <c r="N143" s="114">
        <f t="shared" si="13"/>
        <v>0</v>
      </c>
      <c r="Q143" s="320">
        <f t="shared" si="14"/>
        <v>13200</v>
      </c>
      <c r="R143" s="101">
        <v>1</v>
      </c>
      <c r="S143" s="101">
        <v>0</v>
      </c>
      <c r="T143" s="12"/>
      <c r="U143" s="210"/>
      <c r="V143" s="13"/>
      <c r="W143" s="13"/>
      <c r="X143" s="13"/>
      <c r="Y143" s="13"/>
      <c r="Z143" s="13"/>
      <c r="AA143" s="13"/>
      <c r="AB143" s="13"/>
      <c r="AC143" s="13"/>
      <c r="AD143" s="13"/>
      <c r="AE143" s="13"/>
    </row>
    <row r="144" spans="1:31" ht="21" x14ac:dyDescent="0.4">
      <c r="A144" s="210"/>
      <c r="B144" s="108">
        <v>134</v>
      </c>
      <c r="C144" s="297">
        <v>1882.2143411451134</v>
      </c>
      <c r="D144" s="297">
        <v>2746.9589887030661</v>
      </c>
      <c r="E144" s="297">
        <v>18.534185137094909</v>
      </c>
      <c r="F144" s="297">
        <v>13.121134312623735</v>
      </c>
      <c r="G144" s="322">
        <v>-864.7446475579527</v>
      </c>
      <c r="H144" s="322">
        <v>5.4130508244711741</v>
      </c>
      <c r="I144" s="322">
        <v>-159.75180643947374</v>
      </c>
      <c r="K144" s="223">
        <f t="shared" si="11"/>
        <v>1110168.8938845496</v>
      </c>
      <c r="L144" s="223">
        <f t="shared" si="11"/>
        <v>784521.09976872103</v>
      </c>
      <c r="M144" s="114">
        <f t="shared" si="12"/>
        <v>1</v>
      </c>
      <c r="N144" s="114">
        <f t="shared" si="13"/>
        <v>0</v>
      </c>
      <c r="Q144" s="320">
        <f t="shared" si="14"/>
        <v>13300</v>
      </c>
      <c r="R144" s="101">
        <v>1</v>
      </c>
      <c r="S144" s="101">
        <v>0</v>
      </c>
      <c r="T144" s="12"/>
      <c r="U144" s="210"/>
      <c r="V144" s="13"/>
      <c r="W144" s="13"/>
      <c r="X144" s="13"/>
      <c r="Y144" s="13"/>
      <c r="Z144" s="13"/>
      <c r="AA144" s="13"/>
      <c r="AB144" s="13"/>
      <c r="AC144" s="13"/>
      <c r="AD144" s="13"/>
      <c r="AE144" s="13"/>
    </row>
    <row r="145" spans="1:31" ht="21" x14ac:dyDescent="0.4">
      <c r="A145" s="210"/>
      <c r="B145" s="108">
        <v>135</v>
      </c>
      <c r="C145" s="297">
        <v>2208.7104385907296</v>
      </c>
      <c r="D145" s="297">
        <v>3641.3751132342923</v>
      </c>
      <c r="E145" s="297">
        <v>19.167885808355429</v>
      </c>
      <c r="F145" s="297">
        <v>13.891933697173538</v>
      </c>
      <c r="G145" s="322">
        <v>-1432.6646746435626</v>
      </c>
      <c r="H145" s="322">
        <v>5.2759521111818906</v>
      </c>
      <c r="I145" s="322">
        <v>-271.54618625274531</v>
      </c>
      <c r="K145" s="223">
        <f t="shared" si="11"/>
        <v>1147864.4380627349</v>
      </c>
      <c r="L145" s="223">
        <f t="shared" si="11"/>
        <v>829874.64671717805</v>
      </c>
      <c r="M145" s="114">
        <f t="shared" si="12"/>
        <v>1</v>
      </c>
      <c r="N145" s="114">
        <f t="shared" si="13"/>
        <v>0</v>
      </c>
      <c r="Q145" s="320">
        <f t="shared" si="14"/>
        <v>13400</v>
      </c>
      <c r="R145" s="101">
        <v>1</v>
      </c>
      <c r="S145" s="101">
        <v>0</v>
      </c>
      <c r="T145" s="12"/>
      <c r="U145" s="210"/>
      <c r="V145" s="13"/>
      <c r="W145" s="13"/>
      <c r="X145" s="13"/>
      <c r="Y145" s="13"/>
      <c r="Z145" s="13"/>
      <c r="AA145" s="13"/>
      <c r="AB145" s="13"/>
      <c r="AC145" s="13"/>
      <c r="AD145" s="13"/>
      <c r="AE145" s="13"/>
    </row>
    <row r="146" spans="1:31" ht="21" x14ac:dyDescent="0.4">
      <c r="A146" s="210"/>
      <c r="B146" s="108">
        <v>136</v>
      </c>
      <c r="C146" s="297">
        <v>1863.0129344465875</v>
      </c>
      <c r="D146" s="297">
        <v>3200.7337190106527</v>
      </c>
      <c r="E146" s="297">
        <v>19.807558581004489</v>
      </c>
      <c r="F146" s="297">
        <v>14.976730456125772</v>
      </c>
      <c r="G146" s="322">
        <v>-1337.7207845640653</v>
      </c>
      <c r="H146" s="322">
        <v>4.8308281248787175</v>
      </c>
      <c r="I146" s="322">
        <v>-276.91334694248724</v>
      </c>
      <c r="K146" s="223">
        <f t="shared" si="11"/>
        <v>1186590.5019258228</v>
      </c>
      <c r="L146" s="223">
        <f t="shared" si="11"/>
        <v>895403.09364853567</v>
      </c>
      <c r="M146" s="114">
        <f t="shared" si="12"/>
        <v>1</v>
      </c>
      <c r="N146" s="114">
        <f t="shared" si="13"/>
        <v>0</v>
      </c>
      <c r="Q146" s="320">
        <f t="shared" si="14"/>
        <v>13500</v>
      </c>
      <c r="R146" s="101">
        <v>1</v>
      </c>
      <c r="S146" s="101">
        <v>0</v>
      </c>
      <c r="T146" s="12"/>
      <c r="U146" s="210"/>
      <c r="V146" s="13"/>
      <c r="W146" s="13"/>
      <c r="X146" s="13"/>
      <c r="Y146" s="13"/>
      <c r="Z146" s="13"/>
      <c r="AA146" s="13"/>
      <c r="AB146" s="13"/>
      <c r="AC146" s="13"/>
      <c r="AD146" s="13"/>
      <c r="AE146" s="13"/>
    </row>
    <row r="147" spans="1:31" ht="21" x14ac:dyDescent="0.4">
      <c r="A147" s="210"/>
      <c r="B147" s="108">
        <v>137</v>
      </c>
      <c r="C147" s="297">
        <v>2172.5485339220531</v>
      </c>
      <c r="D147" s="297">
        <v>3311.3902130833749</v>
      </c>
      <c r="E147" s="297">
        <v>17.951510633495641</v>
      </c>
      <c r="F147" s="297">
        <v>13.978295708767865</v>
      </c>
      <c r="G147" s="322">
        <v>-1138.8416791613217</v>
      </c>
      <c r="H147" s="322">
        <v>3.9732149247277757</v>
      </c>
      <c r="I147" s="322">
        <v>-286.62976978003508</v>
      </c>
      <c r="K147" s="223">
        <f t="shared" si="11"/>
        <v>1074918.0894758163</v>
      </c>
      <c r="L147" s="223">
        <f t="shared" si="11"/>
        <v>835386.35231298849</v>
      </c>
      <c r="M147" s="114">
        <f t="shared" si="12"/>
        <v>1</v>
      </c>
      <c r="N147" s="114">
        <f t="shared" si="13"/>
        <v>0</v>
      </c>
      <c r="Q147" s="320">
        <f t="shared" si="14"/>
        <v>13600</v>
      </c>
      <c r="R147" s="101">
        <v>1</v>
      </c>
      <c r="S147" s="101">
        <v>0</v>
      </c>
      <c r="T147" s="12"/>
      <c r="U147" s="210"/>
      <c r="V147" s="13"/>
      <c r="W147" s="13"/>
      <c r="X147" s="13"/>
      <c r="Y147" s="13"/>
      <c r="Z147" s="13"/>
      <c r="AA147" s="13"/>
      <c r="AB147" s="13"/>
      <c r="AC147" s="13"/>
      <c r="AD147" s="13"/>
      <c r="AE147" s="13"/>
    </row>
    <row r="148" spans="1:31" ht="21" x14ac:dyDescent="0.4">
      <c r="A148" s="210"/>
      <c r="B148" s="108">
        <v>138</v>
      </c>
      <c r="C148" s="297">
        <v>1990.5035586768799</v>
      </c>
      <c r="D148" s="297">
        <v>3100.3609022823161</v>
      </c>
      <c r="E148" s="297">
        <v>16.67708138026196</v>
      </c>
      <c r="F148" s="297">
        <v>13.042703079116089</v>
      </c>
      <c r="G148" s="322">
        <v>-1109.8573436054362</v>
      </c>
      <c r="H148" s="322">
        <v>3.6343783011458708</v>
      </c>
      <c r="I148" s="322">
        <v>-305.37749558308587</v>
      </c>
      <c r="K148" s="223">
        <f t="shared" si="11"/>
        <v>998634.37925704068</v>
      </c>
      <c r="L148" s="223">
        <f t="shared" si="11"/>
        <v>779461.82384468301</v>
      </c>
      <c r="M148" s="114">
        <f t="shared" si="12"/>
        <v>1</v>
      </c>
      <c r="N148" s="114">
        <f t="shared" si="13"/>
        <v>0</v>
      </c>
      <c r="Q148" s="320">
        <f t="shared" si="14"/>
        <v>13700</v>
      </c>
      <c r="R148" s="101">
        <v>1</v>
      </c>
      <c r="S148" s="101">
        <v>0</v>
      </c>
      <c r="T148" s="12"/>
      <c r="U148" s="210"/>
      <c r="V148" s="13"/>
      <c r="W148" s="13"/>
      <c r="X148" s="13"/>
      <c r="Y148" s="13"/>
      <c r="Z148" s="13"/>
      <c r="AA148" s="13"/>
      <c r="AB148" s="13"/>
      <c r="AC148" s="13"/>
      <c r="AD148" s="13"/>
      <c r="AE148" s="13"/>
    </row>
    <row r="149" spans="1:31" ht="21" x14ac:dyDescent="0.4">
      <c r="A149" s="210"/>
      <c r="B149" s="108">
        <v>139</v>
      </c>
      <c r="C149" s="297">
        <v>2182.839163745783</v>
      </c>
      <c r="D149" s="297">
        <v>3047.0471316696585</v>
      </c>
      <c r="E149" s="297">
        <v>20.75540913431815</v>
      </c>
      <c r="F149" s="297">
        <v>15.059834800888744</v>
      </c>
      <c r="G149" s="322">
        <v>-864.20796792387546</v>
      </c>
      <c r="H149" s="322">
        <v>5.6955743334294056</v>
      </c>
      <c r="I149" s="322">
        <v>-151.73324362593661</v>
      </c>
      <c r="K149" s="223">
        <f t="shared" si="11"/>
        <v>1243141.7088953431</v>
      </c>
      <c r="L149" s="223">
        <f t="shared" si="11"/>
        <v>900543.0409216549</v>
      </c>
      <c r="M149" s="114">
        <f t="shared" si="12"/>
        <v>1</v>
      </c>
      <c r="N149" s="114">
        <f t="shared" si="13"/>
        <v>0</v>
      </c>
      <c r="Q149" s="320">
        <f t="shared" si="14"/>
        <v>13800</v>
      </c>
      <c r="R149" s="101">
        <v>1</v>
      </c>
      <c r="S149" s="101">
        <v>0</v>
      </c>
      <c r="T149" s="12"/>
      <c r="U149" s="210"/>
      <c r="V149" s="13"/>
      <c r="W149" s="13"/>
      <c r="X149" s="13"/>
      <c r="Y149" s="13"/>
      <c r="Z149" s="13"/>
      <c r="AA149" s="13"/>
      <c r="AB149" s="13"/>
      <c r="AC149" s="13"/>
      <c r="AD149" s="13"/>
      <c r="AE149" s="13"/>
    </row>
    <row r="150" spans="1:31" ht="21" x14ac:dyDescent="0.4">
      <c r="A150" s="210"/>
      <c r="B150" s="108">
        <v>140</v>
      </c>
      <c r="C150" s="297">
        <v>2196.4168229586226</v>
      </c>
      <c r="D150" s="297">
        <v>3472.7933922223215</v>
      </c>
      <c r="E150" s="297">
        <v>19.550117258728012</v>
      </c>
      <c r="F150" s="297">
        <v>14.42585304352721</v>
      </c>
      <c r="G150" s="322">
        <v>-1276.3765692636989</v>
      </c>
      <c r="H150" s="322">
        <v>5.1242642152008013</v>
      </c>
      <c r="I150" s="322">
        <v>-249.08484724058718</v>
      </c>
      <c r="K150" s="223">
        <f t="shared" si="11"/>
        <v>1170810.618700722</v>
      </c>
      <c r="L150" s="223">
        <f t="shared" si="11"/>
        <v>862078.38921941025</v>
      </c>
      <c r="M150" s="114">
        <f t="shared" si="12"/>
        <v>1</v>
      </c>
      <c r="N150" s="114">
        <f t="shared" si="13"/>
        <v>0</v>
      </c>
      <c r="Q150" s="320">
        <f t="shared" si="14"/>
        <v>13900</v>
      </c>
      <c r="R150" s="101">
        <v>1</v>
      </c>
      <c r="S150" s="101">
        <v>0</v>
      </c>
      <c r="T150" s="12"/>
      <c r="U150" s="210"/>
      <c r="V150" s="13"/>
      <c r="W150" s="13"/>
      <c r="X150" s="13"/>
      <c r="Y150" s="13"/>
      <c r="Z150" s="13"/>
      <c r="AA150" s="13"/>
      <c r="AB150" s="13"/>
      <c r="AC150" s="13"/>
      <c r="AD150" s="13"/>
      <c r="AE150" s="13"/>
    </row>
    <row r="151" spans="1:31" ht="21" x14ac:dyDescent="0.4">
      <c r="A151" s="210"/>
      <c r="B151" s="108">
        <v>141</v>
      </c>
      <c r="C151" s="297">
        <v>2137.1444969365698</v>
      </c>
      <c r="D151" s="297">
        <v>2994.0452647927141</v>
      </c>
      <c r="E151" s="297">
        <v>15.36153540263083</v>
      </c>
      <c r="F151" s="297">
        <v>11.082748853759394</v>
      </c>
      <c r="G151" s="322">
        <v>-856.90076785614428</v>
      </c>
      <c r="H151" s="322">
        <v>4.2787865488714356</v>
      </c>
      <c r="I151" s="322">
        <v>-200.26723886989848</v>
      </c>
      <c r="K151" s="223">
        <f t="shared" si="11"/>
        <v>919554.97966091323</v>
      </c>
      <c r="L151" s="223">
        <f t="shared" si="11"/>
        <v>661970.88596077089</v>
      </c>
      <c r="M151" s="114">
        <f t="shared" si="12"/>
        <v>1</v>
      </c>
      <c r="N151" s="114">
        <f t="shared" si="13"/>
        <v>0</v>
      </c>
      <c r="Q151" s="320">
        <f t="shared" si="14"/>
        <v>14000</v>
      </c>
      <c r="R151" s="101">
        <v>1</v>
      </c>
      <c r="S151" s="101">
        <v>0</v>
      </c>
      <c r="T151" s="12"/>
      <c r="U151" s="210"/>
      <c r="V151" s="13"/>
      <c r="W151" s="13"/>
      <c r="X151" s="13"/>
      <c r="Y151" s="13"/>
      <c r="Z151" s="13"/>
      <c r="AA151" s="13"/>
      <c r="AB151" s="13"/>
      <c r="AC151" s="13"/>
      <c r="AD151" s="13"/>
      <c r="AE151" s="13"/>
    </row>
    <row r="152" spans="1:31" ht="21" x14ac:dyDescent="0.4">
      <c r="A152" s="210"/>
      <c r="B152" s="108">
        <v>142</v>
      </c>
      <c r="C152" s="297">
        <v>2039.5709662854692</v>
      </c>
      <c r="D152" s="297">
        <v>3460.7492530958889</v>
      </c>
      <c r="E152" s="297">
        <v>20.099082754597095</v>
      </c>
      <c r="F152" s="297">
        <v>15.666398985966937</v>
      </c>
      <c r="G152" s="322">
        <v>-1421.1782868104196</v>
      </c>
      <c r="H152" s="322">
        <v>4.4326837686301577</v>
      </c>
      <c r="I152" s="322">
        <v>-320.61350662278568</v>
      </c>
      <c r="K152" s="223">
        <f t="shared" si="11"/>
        <v>1203905.3943095403</v>
      </c>
      <c r="L152" s="223">
        <f t="shared" si="11"/>
        <v>936523.18990492029</v>
      </c>
      <c r="M152" s="114">
        <f t="shared" si="12"/>
        <v>1</v>
      </c>
      <c r="N152" s="114">
        <f t="shared" si="13"/>
        <v>0</v>
      </c>
      <c r="Q152" s="320">
        <f t="shared" si="14"/>
        <v>14100</v>
      </c>
      <c r="R152" s="101">
        <v>1</v>
      </c>
      <c r="S152" s="101">
        <v>0</v>
      </c>
      <c r="T152" s="12"/>
      <c r="U152" s="210"/>
      <c r="V152" s="13"/>
      <c r="W152" s="13"/>
      <c r="X152" s="13"/>
      <c r="Y152" s="13"/>
      <c r="Z152" s="13"/>
      <c r="AA152" s="13"/>
      <c r="AB152" s="13"/>
      <c r="AC152" s="13"/>
      <c r="AD152" s="13"/>
      <c r="AE152" s="13"/>
    </row>
    <row r="153" spans="1:31" ht="21" x14ac:dyDescent="0.4">
      <c r="A153" s="210"/>
      <c r="B153" s="108">
        <v>143</v>
      </c>
      <c r="C153" s="297">
        <v>1769.2295613760114</v>
      </c>
      <c r="D153" s="297">
        <v>3035.3278386615266</v>
      </c>
      <c r="E153" s="297">
        <v>18.624477946120457</v>
      </c>
      <c r="F153" s="297">
        <v>13.128251534646049</v>
      </c>
      <c r="G153" s="322">
        <v>-1266.0982772855152</v>
      </c>
      <c r="H153" s="322">
        <v>5.4962264114744084</v>
      </c>
      <c r="I153" s="322">
        <v>-230.3577368360038</v>
      </c>
      <c r="K153" s="223">
        <f t="shared" si="11"/>
        <v>1115699.4472058516</v>
      </c>
      <c r="L153" s="223">
        <f t="shared" si="11"/>
        <v>784659.76424010145</v>
      </c>
      <c r="M153" s="114">
        <f t="shared" si="12"/>
        <v>1</v>
      </c>
      <c r="N153" s="114">
        <f t="shared" si="13"/>
        <v>0</v>
      </c>
      <c r="Q153" s="320">
        <f t="shared" si="14"/>
        <v>14200</v>
      </c>
      <c r="R153" s="101">
        <v>1</v>
      </c>
      <c r="S153" s="101">
        <v>0</v>
      </c>
      <c r="T153" s="12"/>
      <c r="U153" s="210"/>
      <c r="V153" s="13"/>
      <c r="W153" s="13"/>
      <c r="X153" s="13"/>
      <c r="Y153" s="13"/>
      <c r="Z153" s="13"/>
      <c r="AA153" s="13"/>
      <c r="AB153" s="13"/>
      <c r="AC153" s="13"/>
      <c r="AD153" s="13"/>
      <c r="AE153" s="13"/>
    </row>
    <row r="154" spans="1:31" ht="21" x14ac:dyDescent="0.4">
      <c r="A154" s="210"/>
      <c r="B154" s="108">
        <v>144</v>
      </c>
      <c r="C154" s="297">
        <v>2021.6585678577057</v>
      </c>
      <c r="D154" s="297">
        <v>3216.8664551538504</v>
      </c>
      <c r="E154" s="297">
        <v>20.859313911156633</v>
      </c>
      <c r="F154" s="297">
        <v>14.478504911956366</v>
      </c>
      <c r="G154" s="322">
        <v>-1195.2078872961447</v>
      </c>
      <c r="H154" s="322">
        <v>6.3808089992002675</v>
      </c>
      <c r="I154" s="322">
        <v>-187.31290772783592</v>
      </c>
      <c r="K154" s="223">
        <f t="shared" si="11"/>
        <v>1249537.1761015402</v>
      </c>
      <c r="L154" s="223">
        <f t="shared" si="11"/>
        <v>865493.42826222815</v>
      </c>
      <c r="M154" s="114">
        <f t="shared" si="12"/>
        <v>1</v>
      </c>
      <c r="N154" s="114">
        <f t="shared" si="13"/>
        <v>0</v>
      </c>
      <c r="Q154" s="320">
        <f t="shared" si="14"/>
        <v>14300</v>
      </c>
      <c r="R154" s="101">
        <v>1</v>
      </c>
      <c r="S154" s="101">
        <v>0</v>
      </c>
      <c r="T154" s="12"/>
      <c r="U154" s="210"/>
      <c r="V154" s="13"/>
      <c r="W154" s="13"/>
      <c r="X154" s="13"/>
      <c r="Y154" s="13"/>
      <c r="Z154" s="13"/>
      <c r="AA154" s="13"/>
      <c r="AB154" s="13"/>
      <c r="AC154" s="13"/>
      <c r="AD154" s="13"/>
      <c r="AE154" s="13"/>
    </row>
    <row r="155" spans="1:31" ht="21" x14ac:dyDescent="0.4">
      <c r="A155" s="210"/>
      <c r="B155" s="108">
        <v>145</v>
      </c>
      <c r="C155" s="297">
        <v>2515.9393098747569</v>
      </c>
      <c r="D155" s="297">
        <v>3629.3096637099293</v>
      </c>
      <c r="E155" s="297">
        <v>19.538880504159671</v>
      </c>
      <c r="F155" s="297">
        <v>13.559367972555973</v>
      </c>
      <c r="G155" s="322">
        <v>-1113.3703538351724</v>
      </c>
      <c r="H155" s="322">
        <v>5.9795125316036977</v>
      </c>
      <c r="I155" s="322">
        <v>-186.19751157818342</v>
      </c>
      <c r="K155" s="223">
        <f t="shared" si="11"/>
        <v>1169816.8909397055</v>
      </c>
      <c r="L155" s="223">
        <f t="shared" si="11"/>
        <v>809932.76868964848</v>
      </c>
      <c r="M155" s="114">
        <f t="shared" si="12"/>
        <v>1</v>
      </c>
      <c r="N155" s="114">
        <f t="shared" si="13"/>
        <v>0</v>
      </c>
      <c r="Q155" s="320">
        <f t="shared" si="14"/>
        <v>14400</v>
      </c>
      <c r="R155" s="101">
        <v>1</v>
      </c>
      <c r="S155" s="101">
        <v>0</v>
      </c>
      <c r="T155" s="12"/>
      <c r="U155" s="210"/>
      <c r="V155" s="13"/>
      <c r="W155" s="13"/>
      <c r="X155" s="13"/>
      <c r="Y155" s="13"/>
      <c r="Z155" s="13"/>
      <c r="AA155" s="13"/>
      <c r="AB155" s="13"/>
      <c r="AC155" s="13"/>
      <c r="AD155" s="13"/>
      <c r="AE155" s="13"/>
    </row>
    <row r="156" spans="1:31" ht="21" x14ac:dyDescent="0.4">
      <c r="A156" s="210"/>
      <c r="B156" s="108">
        <v>146</v>
      </c>
      <c r="C156" s="297">
        <v>2413.8710893286066</v>
      </c>
      <c r="D156" s="297">
        <v>3178.1100608632491</v>
      </c>
      <c r="E156" s="297">
        <v>18.637792237664204</v>
      </c>
      <c r="F156" s="297">
        <v>13.179330567224316</v>
      </c>
      <c r="G156" s="322">
        <v>-764.23897153464259</v>
      </c>
      <c r="H156" s="322">
        <v>5.4584616704398883</v>
      </c>
      <c r="I156" s="322">
        <v>-140.00995475947968</v>
      </c>
      <c r="K156" s="223">
        <f t="shared" si="11"/>
        <v>1115853.6631705237</v>
      </c>
      <c r="L156" s="223">
        <f t="shared" si="11"/>
        <v>787581.72397259576</v>
      </c>
      <c r="M156" s="114">
        <f t="shared" si="12"/>
        <v>1</v>
      </c>
      <c r="N156" s="114">
        <f t="shared" si="13"/>
        <v>0</v>
      </c>
      <c r="Q156" s="320">
        <f t="shared" si="14"/>
        <v>14500</v>
      </c>
      <c r="R156" s="101">
        <v>1</v>
      </c>
      <c r="S156" s="101">
        <v>0</v>
      </c>
      <c r="T156" s="12"/>
      <c r="U156" s="210"/>
      <c r="V156" s="13"/>
      <c r="W156" s="13"/>
      <c r="X156" s="13"/>
      <c r="Y156" s="13"/>
      <c r="Z156" s="13"/>
      <c r="AA156" s="13"/>
      <c r="AB156" s="13"/>
      <c r="AC156" s="13"/>
      <c r="AD156" s="13"/>
      <c r="AE156" s="13"/>
    </row>
    <row r="157" spans="1:31" ht="21" x14ac:dyDescent="0.4">
      <c r="A157" s="210"/>
      <c r="B157" s="108">
        <v>147</v>
      </c>
      <c r="C157" s="297">
        <v>2188.4029223119019</v>
      </c>
      <c r="D157" s="297">
        <v>3604.8556551829838</v>
      </c>
      <c r="E157" s="297">
        <v>19.959877767611314</v>
      </c>
      <c r="F157" s="297">
        <v>15.286159255704211</v>
      </c>
      <c r="G157" s="322">
        <v>-1416.4527328710819</v>
      </c>
      <c r="H157" s="322">
        <v>4.6737185119071025</v>
      </c>
      <c r="I157" s="322">
        <v>-303.06761720082727</v>
      </c>
      <c r="K157" s="223">
        <f t="shared" si="11"/>
        <v>1195404.2631343671</v>
      </c>
      <c r="L157" s="223">
        <f t="shared" si="11"/>
        <v>913564.69968706975</v>
      </c>
      <c r="M157" s="114">
        <f t="shared" si="12"/>
        <v>1</v>
      </c>
      <c r="N157" s="114">
        <f t="shared" si="13"/>
        <v>0</v>
      </c>
      <c r="Q157" s="320">
        <f t="shared" si="14"/>
        <v>14600</v>
      </c>
      <c r="R157" s="101">
        <v>1</v>
      </c>
      <c r="S157" s="101">
        <v>0</v>
      </c>
      <c r="T157" s="12"/>
      <c r="U157" s="210"/>
      <c r="V157" s="13"/>
      <c r="W157" s="13"/>
      <c r="X157" s="13"/>
      <c r="Y157" s="13"/>
      <c r="Z157" s="13"/>
      <c r="AA157" s="13"/>
      <c r="AB157" s="13"/>
      <c r="AC157" s="13"/>
      <c r="AD157" s="13"/>
      <c r="AE157" s="13"/>
    </row>
    <row r="158" spans="1:31" ht="21" x14ac:dyDescent="0.4">
      <c r="A158" s="210"/>
      <c r="B158" s="108">
        <v>148</v>
      </c>
      <c r="C158" s="297">
        <v>2116.9184407849261</v>
      </c>
      <c r="D158" s="297">
        <v>2787.3588074282293</v>
      </c>
      <c r="E158" s="297">
        <v>18.629645940702982</v>
      </c>
      <c r="F158" s="297">
        <v>13.499943409069964</v>
      </c>
      <c r="G158" s="322">
        <v>-670.44036664330315</v>
      </c>
      <c r="H158" s="322">
        <v>5.1297025316330185</v>
      </c>
      <c r="I158" s="322">
        <v>-130.69770859205579</v>
      </c>
      <c r="K158" s="223">
        <f t="shared" si="11"/>
        <v>1115661.8380013939</v>
      </c>
      <c r="L158" s="223">
        <f t="shared" si="11"/>
        <v>807209.24573676952</v>
      </c>
      <c r="M158" s="114">
        <f t="shared" si="12"/>
        <v>1</v>
      </c>
      <c r="N158" s="114">
        <f t="shared" si="13"/>
        <v>0</v>
      </c>
      <c r="Q158" s="320">
        <f t="shared" si="14"/>
        <v>14700</v>
      </c>
      <c r="R158" s="101">
        <v>1</v>
      </c>
      <c r="S158" s="101">
        <v>0</v>
      </c>
      <c r="T158" s="12"/>
      <c r="U158" s="210"/>
      <c r="V158" s="13"/>
      <c r="W158" s="13"/>
      <c r="X158" s="13"/>
      <c r="Y158" s="13"/>
      <c r="Z158" s="13"/>
      <c r="AA158" s="13"/>
      <c r="AB158" s="13"/>
      <c r="AC158" s="13"/>
      <c r="AD158" s="13"/>
      <c r="AE158" s="13"/>
    </row>
    <row r="159" spans="1:31" ht="21" x14ac:dyDescent="0.4">
      <c r="A159" s="210"/>
      <c r="B159" s="108">
        <v>149</v>
      </c>
      <c r="C159" s="297">
        <v>2020.4209346595048</v>
      </c>
      <c r="D159" s="297">
        <v>3064.9713886199852</v>
      </c>
      <c r="E159" s="297">
        <v>17.678531672322435</v>
      </c>
      <c r="F159" s="297">
        <v>12.59038149415978</v>
      </c>
      <c r="G159" s="322">
        <v>-1044.5504539604804</v>
      </c>
      <c r="H159" s="322">
        <v>5.088150178162655</v>
      </c>
      <c r="I159" s="322">
        <v>-205.29080655745707</v>
      </c>
      <c r="K159" s="223">
        <f t="shared" si="11"/>
        <v>1058691.4794046867</v>
      </c>
      <c r="L159" s="223">
        <f t="shared" si="11"/>
        <v>752357.91826096689</v>
      </c>
      <c r="M159" s="114">
        <f t="shared" si="12"/>
        <v>1</v>
      </c>
      <c r="N159" s="114">
        <f t="shared" si="13"/>
        <v>0</v>
      </c>
      <c r="Q159" s="320">
        <f t="shared" si="14"/>
        <v>14800</v>
      </c>
      <c r="R159" s="101">
        <v>1</v>
      </c>
      <c r="S159" s="101">
        <v>0</v>
      </c>
      <c r="T159" s="12"/>
      <c r="U159" s="210"/>
      <c r="V159" s="13"/>
      <c r="W159" s="13"/>
      <c r="X159" s="13"/>
      <c r="Y159" s="13"/>
      <c r="Z159" s="13"/>
      <c r="AA159" s="13"/>
      <c r="AB159" s="13"/>
      <c r="AC159" s="13"/>
      <c r="AD159" s="13"/>
      <c r="AE159" s="13"/>
    </row>
    <row r="160" spans="1:31" ht="21" x14ac:dyDescent="0.4">
      <c r="A160" s="210"/>
      <c r="B160" s="108">
        <v>150</v>
      </c>
      <c r="C160" s="297">
        <v>2135.8182020964427</v>
      </c>
      <c r="D160" s="297">
        <v>3209.5293368452603</v>
      </c>
      <c r="E160" s="297">
        <v>20.382377609876201</v>
      </c>
      <c r="F160" s="297">
        <v>15.547767545949474</v>
      </c>
      <c r="G160" s="322">
        <v>-1073.7111347488176</v>
      </c>
      <c r="H160" s="322">
        <v>4.8346100639267267</v>
      </c>
      <c r="I160" s="322">
        <v>-222.08846640192877</v>
      </c>
      <c r="K160" s="223">
        <f t="shared" si="11"/>
        <v>1220806.8383904756</v>
      </c>
      <c r="L160" s="223">
        <f t="shared" si="11"/>
        <v>929656.52342012315</v>
      </c>
      <c r="M160" s="114">
        <f t="shared" si="12"/>
        <v>1</v>
      </c>
      <c r="N160" s="114">
        <f t="shared" si="13"/>
        <v>0</v>
      </c>
      <c r="Q160" s="320">
        <f t="shared" si="14"/>
        <v>14900</v>
      </c>
      <c r="R160" s="101">
        <v>1</v>
      </c>
      <c r="S160" s="101">
        <v>0</v>
      </c>
      <c r="T160" s="12"/>
      <c r="U160" s="210"/>
      <c r="V160" s="13"/>
      <c r="W160" s="13"/>
      <c r="X160" s="13"/>
      <c r="Y160" s="13"/>
      <c r="Z160" s="13"/>
      <c r="AA160" s="13"/>
      <c r="AB160" s="13"/>
      <c r="AC160" s="13"/>
      <c r="AD160" s="13"/>
      <c r="AE160" s="13"/>
    </row>
    <row r="161" spans="1:31" ht="21" x14ac:dyDescent="0.4">
      <c r="A161" s="210"/>
      <c r="B161" s="108">
        <v>151</v>
      </c>
      <c r="C161" s="297">
        <v>1991.0934278535333</v>
      </c>
      <c r="D161" s="297">
        <v>2984.80637346396</v>
      </c>
      <c r="E161" s="297">
        <v>19.465781800599792</v>
      </c>
      <c r="F161" s="297">
        <v>13.771408641107591</v>
      </c>
      <c r="G161" s="322">
        <v>-993.71294561042669</v>
      </c>
      <c r="H161" s="322">
        <v>5.6943731594922014</v>
      </c>
      <c r="I161" s="322">
        <v>-174.5078725573091</v>
      </c>
      <c r="K161" s="223">
        <f t="shared" si="11"/>
        <v>1165955.8146081341</v>
      </c>
      <c r="L161" s="223">
        <f t="shared" si="11"/>
        <v>823299.71209299157</v>
      </c>
      <c r="M161" s="114">
        <f t="shared" si="12"/>
        <v>1</v>
      </c>
      <c r="N161" s="114">
        <f t="shared" si="13"/>
        <v>0</v>
      </c>
      <c r="Q161" s="320">
        <f t="shared" si="14"/>
        <v>15000</v>
      </c>
      <c r="R161" s="101">
        <v>1</v>
      </c>
      <c r="S161" s="101">
        <v>0</v>
      </c>
      <c r="T161" s="12"/>
      <c r="U161" s="210"/>
      <c r="V161" s="13"/>
      <c r="W161" s="13"/>
      <c r="X161" s="13"/>
      <c r="Y161" s="13"/>
      <c r="Z161" s="13"/>
      <c r="AA161" s="13"/>
      <c r="AB161" s="13"/>
      <c r="AC161" s="13"/>
      <c r="AD161" s="13"/>
      <c r="AE161" s="13"/>
    </row>
    <row r="162" spans="1:31" ht="21" x14ac:dyDescent="0.4">
      <c r="A162" s="210"/>
      <c r="B162" s="108">
        <v>152</v>
      </c>
      <c r="C162" s="297">
        <v>2025.2385430841607</v>
      </c>
      <c r="D162" s="297">
        <v>3189.4556126553457</v>
      </c>
      <c r="E162" s="297">
        <v>18.73560770261226</v>
      </c>
      <c r="F162" s="297">
        <v>12.491555871114976</v>
      </c>
      <c r="G162" s="322">
        <v>-1164.217069571185</v>
      </c>
      <c r="H162" s="322">
        <v>6.2440518314972842</v>
      </c>
      <c r="I162" s="322">
        <v>-186.45217896790155</v>
      </c>
      <c r="K162" s="223">
        <f t="shared" si="11"/>
        <v>1122111.2236136515</v>
      </c>
      <c r="L162" s="223">
        <f t="shared" si="11"/>
        <v>746303.89665424312</v>
      </c>
      <c r="M162" s="114">
        <f t="shared" si="12"/>
        <v>1</v>
      </c>
      <c r="N162" s="114">
        <f t="shared" si="13"/>
        <v>0</v>
      </c>
      <c r="Q162" s="320">
        <f t="shared" si="14"/>
        <v>15100</v>
      </c>
      <c r="R162" s="101">
        <v>1</v>
      </c>
      <c r="S162" s="101">
        <v>0</v>
      </c>
      <c r="T162" s="12"/>
      <c r="U162" s="210"/>
      <c r="V162" s="13"/>
      <c r="W162" s="13"/>
      <c r="X162" s="13"/>
      <c r="Y162" s="13"/>
      <c r="Z162" s="13"/>
      <c r="AA162" s="13"/>
      <c r="AB162" s="13"/>
      <c r="AC162" s="13"/>
      <c r="AD162" s="13"/>
      <c r="AE162" s="13"/>
    </row>
    <row r="163" spans="1:31" ht="21" x14ac:dyDescent="0.4">
      <c r="A163" s="210"/>
      <c r="B163" s="108">
        <v>153</v>
      </c>
      <c r="C163" s="297">
        <v>2062.0235698580695</v>
      </c>
      <c r="D163" s="297">
        <v>2909.2226461209902</v>
      </c>
      <c r="E163" s="297">
        <v>20.089815072942393</v>
      </c>
      <c r="F163" s="297">
        <v>14.762745545948851</v>
      </c>
      <c r="G163" s="322">
        <v>-847.1990762629207</v>
      </c>
      <c r="H163" s="322">
        <v>5.327069526993542</v>
      </c>
      <c r="I163" s="322">
        <v>-159.03660952235734</v>
      </c>
      <c r="K163" s="223">
        <f t="shared" si="11"/>
        <v>1203326.8808066854</v>
      </c>
      <c r="L163" s="223">
        <f t="shared" si="11"/>
        <v>882855.51011081017</v>
      </c>
      <c r="M163" s="114">
        <f t="shared" si="12"/>
        <v>1</v>
      </c>
      <c r="N163" s="114">
        <f t="shared" si="13"/>
        <v>0</v>
      </c>
      <c r="Q163" s="320">
        <f t="shared" si="14"/>
        <v>15200</v>
      </c>
      <c r="R163" s="101">
        <v>1</v>
      </c>
      <c r="S163" s="101">
        <v>0</v>
      </c>
      <c r="T163" s="12"/>
      <c r="U163" s="210"/>
      <c r="V163" s="13"/>
      <c r="W163" s="13"/>
      <c r="X163" s="13"/>
      <c r="Y163" s="13"/>
      <c r="Z163" s="13"/>
      <c r="AA163" s="13"/>
      <c r="AB163" s="13"/>
      <c r="AC163" s="13"/>
      <c r="AD163" s="13"/>
      <c r="AE163" s="13"/>
    </row>
    <row r="164" spans="1:31" ht="21" x14ac:dyDescent="0.4">
      <c r="A164" s="210"/>
      <c r="B164" s="108">
        <v>154</v>
      </c>
      <c r="C164" s="297">
        <v>2108.7563355031571</v>
      </c>
      <c r="D164" s="297">
        <v>3259.0660865267532</v>
      </c>
      <c r="E164" s="297">
        <v>19.607454871936739</v>
      </c>
      <c r="F164" s="297">
        <v>15.539967495434082</v>
      </c>
      <c r="G164" s="322">
        <v>-1150.3097510235962</v>
      </c>
      <c r="H164" s="322">
        <v>4.0674873765026565</v>
      </c>
      <c r="I164" s="322">
        <v>-282.8059793544254</v>
      </c>
      <c r="K164" s="223">
        <f t="shared" si="11"/>
        <v>1174338.5359807012</v>
      </c>
      <c r="L164" s="223">
        <f t="shared" si="11"/>
        <v>929138.98363951815</v>
      </c>
      <c r="M164" s="114">
        <f t="shared" si="12"/>
        <v>1</v>
      </c>
      <c r="N164" s="114">
        <f t="shared" si="13"/>
        <v>0</v>
      </c>
      <c r="Q164" s="320">
        <f t="shared" si="14"/>
        <v>15300</v>
      </c>
      <c r="R164" s="101">
        <v>1</v>
      </c>
      <c r="S164" s="101">
        <v>0</v>
      </c>
      <c r="T164" s="12"/>
      <c r="U164" s="210"/>
      <c r="V164" s="13"/>
      <c r="W164" s="13"/>
      <c r="X164" s="13"/>
      <c r="Y164" s="13"/>
      <c r="Z164" s="13"/>
      <c r="AA164" s="13"/>
      <c r="AB164" s="13"/>
      <c r="AC164" s="13"/>
      <c r="AD164" s="13"/>
      <c r="AE164" s="13"/>
    </row>
    <row r="165" spans="1:31" ht="21" x14ac:dyDescent="0.4">
      <c r="A165" s="210"/>
      <c r="B165" s="108">
        <v>155</v>
      </c>
      <c r="C165" s="297">
        <v>1935.7327030127033</v>
      </c>
      <c r="D165" s="297">
        <v>3191.6333614069445</v>
      </c>
      <c r="E165" s="297">
        <v>19.333153288360176</v>
      </c>
      <c r="F165" s="297">
        <v>14.028226375001218</v>
      </c>
      <c r="G165" s="322">
        <v>-1255.9006583942412</v>
      </c>
      <c r="H165" s="322">
        <v>5.3049269133589583</v>
      </c>
      <c r="I165" s="322">
        <v>-236.74231123365914</v>
      </c>
      <c r="K165" s="223">
        <f t="shared" si="11"/>
        <v>1158053.464598598</v>
      </c>
      <c r="L165" s="223">
        <f t="shared" si="11"/>
        <v>838501.94913866604</v>
      </c>
      <c r="M165" s="114">
        <f t="shared" si="12"/>
        <v>1</v>
      </c>
      <c r="N165" s="114">
        <f t="shared" si="13"/>
        <v>0</v>
      </c>
      <c r="Q165" s="320">
        <f t="shared" si="14"/>
        <v>15400</v>
      </c>
      <c r="R165" s="101">
        <v>1</v>
      </c>
      <c r="S165" s="101">
        <v>0</v>
      </c>
      <c r="T165" s="12"/>
      <c r="U165" s="210"/>
      <c r="V165" s="13"/>
      <c r="W165" s="13"/>
      <c r="X165" s="13"/>
      <c r="Y165" s="13"/>
      <c r="Z165" s="13"/>
      <c r="AA165" s="13"/>
      <c r="AB165" s="13"/>
      <c r="AC165" s="13"/>
      <c r="AD165" s="13"/>
      <c r="AE165" s="13"/>
    </row>
    <row r="166" spans="1:31" ht="21" x14ac:dyDescent="0.4">
      <c r="A166" s="210"/>
      <c r="B166" s="108">
        <v>156</v>
      </c>
      <c r="C166" s="297">
        <v>2023.7258828169413</v>
      </c>
      <c r="D166" s="297">
        <v>3043.3432624633542</v>
      </c>
      <c r="E166" s="297">
        <v>20.083101715988406</v>
      </c>
      <c r="F166" s="297">
        <v>14.48250650673862</v>
      </c>
      <c r="G166" s="322">
        <v>-1019.6173796464129</v>
      </c>
      <c r="H166" s="322">
        <v>5.6005952092497857</v>
      </c>
      <c r="I166" s="322">
        <v>-182.05518191395828</v>
      </c>
      <c r="K166" s="223">
        <f t="shared" si="11"/>
        <v>1202962.3770764875</v>
      </c>
      <c r="L166" s="223">
        <f t="shared" si="11"/>
        <v>865907.04714185384</v>
      </c>
      <c r="M166" s="114">
        <f t="shared" si="12"/>
        <v>1</v>
      </c>
      <c r="N166" s="114">
        <f t="shared" si="13"/>
        <v>0</v>
      </c>
      <c r="Q166" s="320">
        <f t="shared" si="14"/>
        <v>15500</v>
      </c>
      <c r="R166" s="101">
        <v>1</v>
      </c>
      <c r="S166" s="101">
        <v>0</v>
      </c>
      <c r="T166" s="12"/>
      <c r="U166" s="210"/>
      <c r="V166" s="13"/>
      <c r="W166" s="13"/>
      <c r="X166" s="13"/>
      <c r="Y166" s="13"/>
      <c r="Z166" s="13"/>
      <c r="AA166" s="13"/>
      <c r="AB166" s="13"/>
      <c r="AC166" s="13"/>
      <c r="AD166" s="13"/>
      <c r="AE166" s="13"/>
    </row>
    <row r="167" spans="1:31" ht="21" x14ac:dyDescent="0.4">
      <c r="A167" s="210"/>
      <c r="B167" s="108">
        <v>157</v>
      </c>
      <c r="C167" s="297">
        <v>1938.4676009343755</v>
      </c>
      <c r="D167" s="297">
        <v>2651.9113867563419</v>
      </c>
      <c r="E167" s="297">
        <v>20.151374411512951</v>
      </c>
      <c r="F167" s="297">
        <v>15.347418587109285</v>
      </c>
      <c r="G167" s="322">
        <v>-713.44378582196646</v>
      </c>
      <c r="H167" s="322">
        <v>4.8039558244036655</v>
      </c>
      <c r="I167" s="322">
        <v>-148.51172906248135</v>
      </c>
      <c r="K167" s="223">
        <f t="shared" si="11"/>
        <v>1207143.9970898426</v>
      </c>
      <c r="L167" s="223">
        <f t="shared" si="11"/>
        <v>918193.20383980079</v>
      </c>
      <c r="M167" s="114">
        <f t="shared" si="12"/>
        <v>1</v>
      </c>
      <c r="N167" s="114">
        <f t="shared" si="13"/>
        <v>0</v>
      </c>
      <c r="Q167" s="320">
        <f t="shared" si="14"/>
        <v>15600</v>
      </c>
      <c r="R167" s="101">
        <v>1</v>
      </c>
      <c r="S167" s="101">
        <v>0</v>
      </c>
      <c r="T167" s="12"/>
      <c r="U167" s="210"/>
      <c r="V167" s="13"/>
      <c r="W167" s="13"/>
      <c r="X167" s="13"/>
      <c r="Y167" s="13"/>
      <c r="Z167" s="13"/>
      <c r="AA167" s="13"/>
      <c r="AB167" s="13"/>
      <c r="AC167" s="13"/>
      <c r="AD167" s="13"/>
      <c r="AE167" s="13"/>
    </row>
    <row r="168" spans="1:31" ht="21" x14ac:dyDescent="0.4">
      <c r="A168" s="210"/>
      <c r="B168" s="108">
        <v>158</v>
      </c>
      <c r="C168" s="297">
        <v>2182.7270902374366</v>
      </c>
      <c r="D168" s="297">
        <v>3197.4823110285961</v>
      </c>
      <c r="E168" s="297">
        <v>21.32540684444977</v>
      </c>
      <c r="F168" s="297">
        <v>15.501891438356411</v>
      </c>
      <c r="G168" s="322">
        <v>-1014.7552207911594</v>
      </c>
      <c r="H168" s="322">
        <v>5.8235154060933585</v>
      </c>
      <c r="I168" s="322">
        <v>-174.25131557639287</v>
      </c>
      <c r="K168" s="223">
        <f t="shared" si="11"/>
        <v>1277341.6835767487</v>
      </c>
      <c r="L168" s="223">
        <f t="shared" si="11"/>
        <v>926916.003990356</v>
      </c>
      <c r="M168" s="114">
        <f t="shared" si="12"/>
        <v>1</v>
      </c>
      <c r="N168" s="114">
        <f t="shared" si="13"/>
        <v>0</v>
      </c>
      <c r="Q168" s="320">
        <f t="shared" si="14"/>
        <v>15700</v>
      </c>
      <c r="R168" s="101">
        <v>1</v>
      </c>
      <c r="S168" s="101">
        <v>0</v>
      </c>
      <c r="T168" s="12"/>
      <c r="U168" s="210"/>
      <c r="V168" s="13"/>
      <c r="W168" s="13"/>
      <c r="X168" s="13"/>
      <c r="Y168" s="13"/>
      <c r="Z168" s="13"/>
      <c r="AA168" s="13"/>
      <c r="AB168" s="13"/>
      <c r="AC168" s="13"/>
      <c r="AD168" s="13"/>
      <c r="AE168" s="13"/>
    </row>
    <row r="169" spans="1:31" ht="21" x14ac:dyDescent="0.4">
      <c r="A169" s="210"/>
      <c r="B169" s="108">
        <v>159</v>
      </c>
      <c r="C169" s="297">
        <v>1813.2525604065368</v>
      </c>
      <c r="D169" s="297">
        <v>2798.0181765341358</v>
      </c>
      <c r="E169" s="297">
        <v>19.104482550096847</v>
      </c>
      <c r="F169" s="297">
        <v>13.26255424943443</v>
      </c>
      <c r="G169" s="322">
        <v>-984.76561612759906</v>
      </c>
      <c r="H169" s="322">
        <v>5.841928300662417</v>
      </c>
      <c r="I169" s="322">
        <v>-168.56858993218665</v>
      </c>
      <c r="K169" s="223">
        <f t="shared" si="11"/>
        <v>1144455.7004454043</v>
      </c>
      <c r="L169" s="223">
        <f t="shared" si="11"/>
        <v>792955.23678953166</v>
      </c>
      <c r="M169" s="114">
        <f t="shared" si="12"/>
        <v>1</v>
      </c>
      <c r="N169" s="114">
        <f t="shared" si="13"/>
        <v>0</v>
      </c>
      <c r="Q169" s="320">
        <f t="shared" si="14"/>
        <v>15800</v>
      </c>
      <c r="R169" s="101">
        <v>1</v>
      </c>
      <c r="S169" s="101">
        <v>0</v>
      </c>
      <c r="T169" s="12"/>
      <c r="U169" s="210"/>
      <c r="V169" s="13"/>
      <c r="W169" s="13"/>
      <c r="X169" s="13"/>
      <c r="Y169" s="13"/>
      <c r="Z169" s="13"/>
      <c r="AA169" s="13"/>
      <c r="AB169" s="13"/>
      <c r="AC169" s="13"/>
      <c r="AD169" s="13"/>
      <c r="AE169" s="13"/>
    </row>
    <row r="170" spans="1:31" ht="21" x14ac:dyDescent="0.4">
      <c r="A170" s="210"/>
      <c r="B170" s="108">
        <v>160</v>
      </c>
      <c r="C170" s="297">
        <v>1983.4064375616783</v>
      </c>
      <c r="D170" s="297">
        <v>3070.3449584963987</v>
      </c>
      <c r="E170" s="297">
        <v>18.181550739855105</v>
      </c>
      <c r="F170" s="297">
        <v>13.289554430498898</v>
      </c>
      <c r="G170" s="322">
        <v>-1086.9385209347204</v>
      </c>
      <c r="H170" s="322">
        <v>4.8919963093562071</v>
      </c>
      <c r="I170" s="322">
        <v>-222.18710976046563</v>
      </c>
      <c r="K170" s="223">
        <f t="shared" si="11"/>
        <v>1088909.6379537447</v>
      </c>
      <c r="L170" s="223">
        <f t="shared" si="11"/>
        <v>794302.92087143741</v>
      </c>
      <c r="M170" s="114">
        <f t="shared" si="12"/>
        <v>1</v>
      </c>
      <c r="N170" s="114">
        <f t="shared" si="13"/>
        <v>0</v>
      </c>
      <c r="Q170" s="320">
        <f t="shared" si="14"/>
        <v>15900</v>
      </c>
      <c r="R170" s="101">
        <v>1</v>
      </c>
      <c r="S170" s="101">
        <v>0</v>
      </c>
      <c r="T170" s="12"/>
      <c r="U170" s="210"/>
      <c r="V170" s="13"/>
      <c r="W170" s="13"/>
      <c r="X170" s="13"/>
      <c r="Y170" s="13"/>
      <c r="Z170" s="13"/>
      <c r="AA170" s="13"/>
      <c r="AB170" s="13"/>
      <c r="AC170" s="13"/>
      <c r="AD170" s="13"/>
      <c r="AE170" s="13"/>
    </row>
    <row r="171" spans="1:31" ht="21" x14ac:dyDescent="0.4">
      <c r="A171" s="210"/>
      <c r="B171" s="108">
        <v>161</v>
      </c>
      <c r="C171" s="297">
        <v>2143.5766372443209</v>
      </c>
      <c r="D171" s="297">
        <v>3289.4455498935763</v>
      </c>
      <c r="E171" s="297">
        <v>18.322511468176906</v>
      </c>
      <c r="F171" s="297">
        <v>14.331659899016676</v>
      </c>
      <c r="G171" s="322">
        <v>-1145.8689126492554</v>
      </c>
      <c r="H171" s="322">
        <v>3.9908515691602293</v>
      </c>
      <c r="I171" s="322">
        <v>-287.12391147395482</v>
      </c>
      <c r="K171" s="223">
        <f t="shared" si="11"/>
        <v>1097207.11145337</v>
      </c>
      <c r="L171" s="223">
        <f t="shared" si="11"/>
        <v>856610.1483911071</v>
      </c>
      <c r="M171" s="114">
        <f t="shared" si="12"/>
        <v>1</v>
      </c>
      <c r="N171" s="114">
        <f t="shared" si="13"/>
        <v>0</v>
      </c>
      <c r="Q171" s="320">
        <f t="shared" si="14"/>
        <v>16000</v>
      </c>
      <c r="R171" s="101">
        <v>1</v>
      </c>
      <c r="S171" s="101">
        <v>0</v>
      </c>
      <c r="T171" s="12"/>
      <c r="U171" s="210"/>
      <c r="V171" s="13"/>
      <c r="W171" s="13"/>
      <c r="X171" s="13"/>
      <c r="Y171" s="13"/>
      <c r="Z171" s="13"/>
      <c r="AA171" s="13"/>
      <c r="AB171" s="13"/>
      <c r="AC171" s="13"/>
      <c r="AD171" s="13"/>
      <c r="AE171" s="13"/>
    </row>
    <row r="172" spans="1:31" ht="21" x14ac:dyDescent="0.4">
      <c r="A172" s="210"/>
      <c r="B172" s="108">
        <v>162</v>
      </c>
      <c r="C172" s="297">
        <v>2005.4641812436614</v>
      </c>
      <c r="D172" s="297">
        <v>2945.8861779584267</v>
      </c>
      <c r="E172" s="297">
        <v>18.066462142081313</v>
      </c>
      <c r="F172" s="297">
        <v>13.622201859599485</v>
      </c>
      <c r="G172" s="322">
        <v>-940.42199671476533</v>
      </c>
      <c r="H172" s="322">
        <v>4.444260282481828</v>
      </c>
      <c r="I172" s="322">
        <v>-211.60371736589678</v>
      </c>
      <c r="K172" s="223">
        <f t="shared" si="11"/>
        <v>1081982.2643436352</v>
      </c>
      <c r="L172" s="223">
        <f t="shared" si="11"/>
        <v>814386.22539801069</v>
      </c>
      <c r="M172" s="114">
        <f t="shared" si="12"/>
        <v>1</v>
      </c>
      <c r="N172" s="114">
        <f t="shared" si="13"/>
        <v>0</v>
      </c>
      <c r="Q172" s="320">
        <f t="shared" si="14"/>
        <v>16100</v>
      </c>
      <c r="R172" s="101">
        <v>1</v>
      </c>
      <c r="S172" s="101">
        <v>0</v>
      </c>
      <c r="T172" s="12"/>
      <c r="U172" s="210"/>
      <c r="V172" s="13"/>
      <c r="W172" s="13"/>
      <c r="X172" s="13"/>
      <c r="Y172" s="13"/>
      <c r="Z172" s="13"/>
      <c r="AA172" s="13"/>
      <c r="AB172" s="13"/>
      <c r="AC172" s="13"/>
      <c r="AD172" s="13"/>
      <c r="AE172" s="13"/>
    </row>
    <row r="173" spans="1:31" ht="21" x14ac:dyDescent="0.4">
      <c r="A173" s="210"/>
      <c r="B173" s="108">
        <v>163</v>
      </c>
      <c r="C173" s="297">
        <v>2105.4985634604509</v>
      </c>
      <c r="D173" s="297">
        <v>2662.8503335629484</v>
      </c>
      <c r="E173" s="297">
        <v>18.551408883882807</v>
      </c>
      <c r="F173" s="297">
        <v>14.06629528403271</v>
      </c>
      <c r="G173" s="322">
        <v>-557.35177010249754</v>
      </c>
      <c r="H173" s="322">
        <v>4.4851135998500968</v>
      </c>
      <c r="I173" s="322">
        <v>-124.26703531458502</v>
      </c>
      <c r="K173" s="223">
        <f t="shared" si="11"/>
        <v>1110979.0344695079</v>
      </c>
      <c r="L173" s="223">
        <f t="shared" si="11"/>
        <v>841314.86670839973</v>
      </c>
      <c r="M173" s="114">
        <f t="shared" si="12"/>
        <v>1</v>
      </c>
      <c r="N173" s="114">
        <f t="shared" si="13"/>
        <v>0</v>
      </c>
      <c r="Q173" s="320">
        <f t="shared" si="14"/>
        <v>16200</v>
      </c>
      <c r="R173" s="101">
        <v>1</v>
      </c>
      <c r="S173" s="101">
        <v>0</v>
      </c>
      <c r="T173" s="12"/>
      <c r="U173" s="210"/>
      <c r="V173" s="13"/>
      <c r="W173" s="13"/>
      <c r="X173" s="13"/>
      <c r="Y173" s="13"/>
      <c r="Z173" s="13"/>
      <c r="AA173" s="13"/>
      <c r="AB173" s="13"/>
      <c r="AC173" s="13"/>
      <c r="AD173" s="13"/>
      <c r="AE173" s="13"/>
    </row>
    <row r="174" spans="1:31" ht="21" x14ac:dyDescent="0.4">
      <c r="A174" s="210"/>
      <c r="B174" s="108">
        <v>164</v>
      </c>
      <c r="C174" s="297">
        <v>2391.4233567462993</v>
      </c>
      <c r="D174" s="297">
        <v>3770.6284362754882</v>
      </c>
      <c r="E174" s="297">
        <v>15.997054483624556</v>
      </c>
      <c r="F174" s="297">
        <v>10.913862441163396</v>
      </c>
      <c r="G174" s="322">
        <v>-1379.2050795291889</v>
      </c>
      <c r="H174" s="322">
        <v>5.0831920424611603</v>
      </c>
      <c r="I174" s="322">
        <v>-271.3265735404737</v>
      </c>
      <c r="K174" s="223">
        <f t="shared" si="11"/>
        <v>957431.84566072701</v>
      </c>
      <c r="L174" s="223">
        <f t="shared" si="11"/>
        <v>651061.11803352821</v>
      </c>
      <c r="M174" s="114">
        <f t="shared" si="12"/>
        <v>1</v>
      </c>
      <c r="N174" s="114">
        <f t="shared" si="13"/>
        <v>0</v>
      </c>
      <c r="Q174" s="320">
        <f t="shared" si="14"/>
        <v>16300</v>
      </c>
      <c r="R174" s="101">
        <v>1</v>
      </c>
      <c r="S174" s="101">
        <v>0</v>
      </c>
      <c r="T174" s="12"/>
      <c r="U174" s="210"/>
      <c r="V174" s="13"/>
      <c r="W174" s="13"/>
      <c r="X174" s="13"/>
      <c r="Y174" s="13"/>
      <c r="Z174" s="13"/>
      <c r="AA174" s="13"/>
      <c r="AB174" s="13"/>
      <c r="AC174" s="13"/>
      <c r="AD174" s="13"/>
      <c r="AE174" s="13"/>
    </row>
    <row r="175" spans="1:31" ht="21" x14ac:dyDescent="0.4">
      <c r="A175" s="210"/>
      <c r="B175" s="108">
        <v>165</v>
      </c>
      <c r="C175" s="297">
        <v>1962.7320817609827</v>
      </c>
      <c r="D175" s="297">
        <v>2767.1979817270749</v>
      </c>
      <c r="E175" s="297">
        <v>19.471333743092593</v>
      </c>
      <c r="F175" s="297">
        <v>13.976149661877695</v>
      </c>
      <c r="G175" s="322">
        <v>-804.46589996609214</v>
      </c>
      <c r="H175" s="322">
        <v>5.495184081214898</v>
      </c>
      <c r="I175" s="322">
        <v>-146.39471363955428</v>
      </c>
      <c r="K175" s="223">
        <f t="shared" si="11"/>
        <v>1166317.2925037947</v>
      </c>
      <c r="L175" s="223">
        <f t="shared" si="11"/>
        <v>835801.78173093463</v>
      </c>
      <c r="M175" s="114">
        <f t="shared" si="12"/>
        <v>1</v>
      </c>
      <c r="N175" s="114">
        <f t="shared" si="13"/>
        <v>0</v>
      </c>
      <c r="Q175" s="320">
        <f t="shared" si="14"/>
        <v>16400</v>
      </c>
      <c r="R175" s="101">
        <v>1</v>
      </c>
      <c r="S175" s="101">
        <v>0</v>
      </c>
      <c r="T175" s="12"/>
      <c r="U175" s="210"/>
      <c r="V175" s="13"/>
      <c r="W175" s="13"/>
      <c r="X175" s="13"/>
      <c r="Y175" s="13"/>
      <c r="Z175" s="13"/>
      <c r="AA175" s="13"/>
      <c r="AB175" s="13"/>
      <c r="AC175" s="13"/>
      <c r="AD175" s="13"/>
      <c r="AE175" s="13"/>
    </row>
    <row r="176" spans="1:31" ht="21" x14ac:dyDescent="0.4">
      <c r="A176" s="210"/>
      <c r="B176" s="108">
        <v>166</v>
      </c>
      <c r="C176" s="297">
        <v>2028.3801683039292</v>
      </c>
      <c r="D176" s="297">
        <v>2975.2595066197091</v>
      </c>
      <c r="E176" s="297">
        <v>19.284086226329585</v>
      </c>
      <c r="F176" s="297">
        <v>14.408391095642001</v>
      </c>
      <c r="G176" s="322">
        <v>-946.87933831577993</v>
      </c>
      <c r="H176" s="322">
        <v>4.8756951306875838</v>
      </c>
      <c r="I176" s="322">
        <v>-194.20396742120511</v>
      </c>
      <c r="K176" s="223">
        <f t="shared" si="11"/>
        <v>1155016.7934114712</v>
      </c>
      <c r="L176" s="223">
        <f t="shared" si="11"/>
        <v>861528.20623190037</v>
      </c>
      <c r="M176" s="114">
        <f t="shared" si="12"/>
        <v>1</v>
      </c>
      <c r="N176" s="114">
        <f t="shared" si="13"/>
        <v>0</v>
      </c>
      <c r="Q176" s="320">
        <f t="shared" si="14"/>
        <v>16500</v>
      </c>
      <c r="R176" s="101">
        <v>1</v>
      </c>
      <c r="S176" s="101">
        <v>0</v>
      </c>
      <c r="T176" s="12"/>
      <c r="U176" s="210"/>
      <c r="V176" s="13"/>
      <c r="W176" s="13"/>
      <c r="X176" s="13"/>
      <c r="Y176" s="13"/>
      <c r="Z176" s="13"/>
      <c r="AA176" s="13"/>
      <c r="AB176" s="13"/>
      <c r="AC176" s="13"/>
      <c r="AD176" s="13"/>
      <c r="AE176" s="13"/>
    </row>
    <row r="177" spans="1:31" ht="21" x14ac:dyDescent="0.4">
      <c r="A177" s="210"/>
      <c r="B177" s="108">
        <v>167</v>
      </c>
      <c r="C177" s="297">
        <v>2423.4808807257969</v>
      </c>
      <c r="D177" s="297">
        <v>2983.3401174366131</v>
      </c>
      <c r="E177" s="297">
        <v>20.390323092066538</v>
      </c>
      <c r="F177" s="297">
        <v>14.980952155334537</v>
      </c>
      <c r="G177" s="322">
        <v>-559.85923671081628</v>
      </c>
      <c r="H177" s="322">
        <v>5.4093709367320013</v>
      </c>
      <c r="I177" s="322">
        <v>-103.49803022549747</v>
      </c>
      <c r="K177" s="223">
        <f t="shared" si="11"/>
        <v>1220995.9046432665</v>
      </c>
      <c r="L177" s="223">
        <f t="shared" si="11"/>
        <v>895873.78920263564</v>
      </c>
      <c r="M177" s="114">
        <f t="shared" si="12"/>
        <v>1</v>
      </c>
      <c r="N177" s="114">
        <f t="shared" si="13"/>
        <v>0</v>
      </c>
      <c r="Q177" s="320">
        <f t="shared" si="14"/>
        <v>16600</v>
      </c>
      <c r="R177" s="101">
        <v>1</v>
      </c>
      <c r="S177" s="101">
        <v>0</v>
      </c>
      <c r="T177" s="12"/>
      <c r="U177" s="210"/>
      <c r="V177" s="13"/>
      <c r="W177" s="13"/>
      <c r="X177" s="13"/>
      <c r="Y177" s="13"/>
      <c r="Z177" s="13"/>
      <c r="AA177" s="13"/>
      <c r="AB177" s="13"/>
      <c r="AC177" s="13"/>
      <c r="AD177" s="13"/>
      <c r="AE177" s="13"/>
    </row>
    <row r="178" spans="1:31" ht="21" x14ac:dyDescent="0.4">
      <c r="A178" s="210"/>
      <c r="B178" s="108">
        <v>168</v>
      </c>
      <c r="C178" s="297">
        <v>1853.2470520455595</v>
      </c>
      <c r="D178" s="297">
        <v>2185.4853789227082</v>
      </c>
      <c r="E178" s="297">
        <v>17.516284771120656</v>
      </c>
      <c r="F178" s="297">
        <v>12.896081805435454</v>
      </c>
      <c r="G178" s="322">
        <v>-332.23832687714867</v>
      </c>
      <c r="H178" s="322">
        <v>4.6202029656852019</v>
      </c>
      <c r="I178" s="322">
        <v>-71.909898622359734</v>
      </c>
      <c r="K178" s="223">
        <f t="shared" si="11"/>
        <v>1049123.8392151939</v>
      </c>
      <c r="L178" s="223">
        <f t="shared" si="11"/>
        <v>771579.42294720456</v>
      </c>
      <c r="M178" s="114">
        <f t="shared" si="12"/>
        <v>1</v>
      </c>
      <c r="N178" s="114">
        <f t="shared" si="13"/>
        <v>0</v>
      </c>
      <c r="Q178" s="320">
        <f t="shared" si="14"/>
        <v>16700</v>
      </c>
      <c r="R178" s="101">
        <v>1</v>
      </c>
      <c r="S178" s="101">
        <v>0</v>
      </c>
      <c r="T178" s="12"/>
      <c r="U178" s="210"/>
      <c r="V178" s="13"/>
      <c r="W178" s="13"/>
      <c r="X178" s="13"/>
      <c r="Y178" s="13"/>
      <c r="Z178" s="13"/>
      <c r="AA178" s="13"/>
      <c r="AB178" s="13"/>
      <c r="AC178" s="13"/>
      <c r="AD178" s="13"/>
      <c r="AE178" s="13"/>
    </row>
    <row r="179" spans="1:31" ht="21" x14ac:dyDescent="0.4">
      <c r="A179" s="210"/>
      <c r="B179" s="108">
        <v>169</v>
      </c>
      <c r="C179" s="297">
        <v>1884.2599932106853</v>
      </c>
      <c r="D179" s="297">
        <v>2967.1581860853325</v>
      </c>
      <c r="E179" s="297">
        <v>18.39939832770208</v>
      </c>
      <c r="F179" s="297">
        <v>13.184546079243328</v>
      </c>
      <c r="G179" s="322">
        <v>-1082.8981928746473</v>
      </c>
      <c r="H179" s="322">
        <v>5.2148522484587527</v>
      </c>
      <c r="I179" s="322">
        <v>-207.65654351850475</v>
      </c>
      <c r="K179" s="223">
        <f t="shared" si="11"/>
        <v>1102079.6396689143</v>
      </c>
      <c r="L179" s="223">
        <f t="shared" si="11"/>
        <v>788105.60656851437</v>
      </c>
      <c r="M179" s="114">
        <f t="shared" si="12"/>
        <v>1</v>
      </c>
      <c r="N179" s="114">
        <f t="shared" si="13"/>
        <v>0</v>
      </c>
      <c r="Q179" s="320">
        <f t="shared" si="14"/>
        <v>16800</v>
      </c>
      <c r="R179" s="101">
        <v>1</v>
      </c>
      <c r="S179" s="101">
        <v>0</v>
      </c>
      <c r="T179" s="12"/>
      <c r="U179" s="210"/>
      <c r="V179" s="13"/>
      <c r="W179" s="13"/>
      <c r="X179" s="13"/>
      <c r="Y179" s="13"/>
      <c r="Z179" s="13"/>
      <c r="AA179" s="13"/>
      <c r="AB179" s="13"/>
      <c r="AC179" s="13"/>
      <c r="AD179" s="13"/>
      <c r="AE179" s="13"/>
    </row>
    <row r="180" spans="1:31" ht="21" x14ac:dyDescent="0.4">
      <c r="A180" s="210"/>
      <c r="B180" s="108">
        <v>170</v>
      </c>
      <c r="C180" s="297">
        <v>2091.4250717822511</v>
      </c>
      <c r="D180" s="297">
        <v>2736.2794875526579</v>
      </c>
      <c r="E180" s="297">
        <v>20.145476930976301</v>
      </c>
      <c r="F180" s="297">
        <v>15.316576715411209</v>
      </c>
      <c r="G180" s="322">
        <v>-644.85441577040683</v>
      </c>
      <c r="H180" s="322">
        <v>4.828900215565092</v>
      </c>
      <c r="I180" s="322">
        <v>-133.54063803013253</v>
      </c>
      <c r="K180" s="223">
        <f t="shared" si="11"/>
        <v>1206637.1907867959</v>
      </c>
      <c r="L180" s="223">
        <f t="shared" si="11"/>
        <v>916258.32343711983</v>
      </c>
      <c r="M180" s="114">
        <f t="shared" si="12"/>
        <v>1</v>
      </c>
      <c r="N180" s="114">
        <f t="shared" si="13"/>
        <v>0</v>
      </c>
      <c r="Q180" s="320">
        <f t="shared" si="14"/>
        <v>16900</v>
      </c>
      <c r="R180" s="101">
        <v>1</v>
      </c>
      <c r="S180" s="101">
        <v>0</v>
      </c>
      <c r="T180" s="12"/>
      <c r="U180" s="210"/>
      <c r="V180" s="13"/>
      <c r="W180" s="13"/>
      <c r="X180" s="13"/>
      <c r="Y180" s="13"/>
      <c r="Z180" s="13"/>
      <c r="AA180" s="13"/>
      <c r="AB180" s="13"/>
      <c r="AC180" s="13"/>
      <c r="AD180" s="13"/>
      <c r="AE180" s="13"/>
    </row>
    <row r="181" spans="1:31" ht="21" x14ac:dyDescent="0.4">
      <c r="A181" s="210"/>
      <c r="B181" s="108">
        <v>171</v>
      </c>
      <c r="C181" s="297">
        <v>2223.5336742483973</v>
      </c>
      <c r="D181" s="297">
        <v>3387.8172378078061</v>
      </c>
      <c r="E181" s="297">
        <v>18.53467490131834</v>
      </c>
      <c r="F181" s="297">
        <v>13.784849122307891</v>
      </c>
      <c r="G181" s="322">
        <v>-1164.2835635594088</v>
      </c>
      <c r="H181" s="322">
        <v>4.7498257790104486</v>
      </c>
      <c r="I181" s="322">
        <v>-245.12131975543087</v>
      </c>
      <c r="K181" s="223">
        <f t="shared" si="11"/>
        <v>1109856.9604048519</v>
      </c>
      <c r="L181" s="223">
        <f t="shared" si="11"/>
        <v>823703.13010066573</v>
      </c>
      <c r="M181" s="114">
        <f t="shared" si="12"/>
        <v>1</v>
      </c>
      <c r="N181" s="114">
        <f t="shared" si="13"/>
        <v>0</v>
      </c>
      <c r="Q181" s="320">
        <f t="shared" si="14"/>
        <v>17000</v>
      </c>
      <c r="R181" s="101">
        <v>1</v>
      </c>
      <c r="S181" s="101">
        <v>0</v>
      </c>
      <c r="T181" s="12"/>
      <c r="U181" s="210"/>
      <c r="V181" s="13"/>
      <c r="W181" s="13"/>
      <c r="X181" s="13"/>
      <c r="Y181" s="13"/>
      <c r="Z181" s="13"/>
      <c r="AA181" s="13"/>
      <c r="AB181" s="13"/>
      <c r="AC181" s="13"/>
      <c r="AD181" s="13"/>
      <c r="AE181" s="13"/>
    </row>
    <row r="182" spans="1:31" ht="21" x14ac:dyDescent="0.4">
      <c r="A182" s="210"/>
      <c r="B182" s="108">
        <v>172</v>
      </c>
      <c r="C182" s="297">
        <v>2052.90548530973</v>
      </c>
      <c r="D182" s="297">
        <v>2777.3552833538397</v>
      </c>
      <c r="E182" s="297">
        <v>20.482931143674975</v>
      </c>
      <c r="F182" s="297">
        <v>15.00136054416428</v>
      </c>
      <c r="G182" s="322">
        <v>-724.44979804410968</v>
      </c>
      <c r="H182" s="322">
        <v>5.4815705995106949</v>
      </c>
      <c r="I182" s="322">
        <v>-132.16099015650309</v>
      </c>
      <c r="K182" s="223">
        <f t="shared" si="11"/>
        <v>1226922.9631351889</v>
      </c>
      <c r="L182" s="223">
        <f t="shared" si="11"/>
        <v>897304.27736650291</v>
      </c>
      <c r="M182" s="114">
        <f t="shared" si="12"/>
        <v>1</v>
      </c>
      <c r="N182" s="114">
        <f t="shared" si="13"/>
        <v>0</v>
      </c>
      <c r="Q182" s="320">
        <f t="shared" si="14"/>
        <v>17100</v>
      </c>
      <c r="R182" s="101">
        <v>1</v>
      </c>
      <c r="S182" s="101">
        <v>0</v>
      </c>
      <c r="T182" s="12"/>
      <c r="U182" s="210"/>
      <c r="V182" s="13"/>
      <c r="W182" s="13"/>
      <c r="X182" s="13"/>
      <c r="Y182" s="13"/>
      <c r="Z182" s="13"/>
      <c r="AA182" s="13"/>
      <c r="AB182" s="13"/>
      <c r="AC182" s="13"/>
      <c r="AD182" s="13"/>
      <c r="AE182" s="13"/>
    </row>
    <row r="183" spans="1:31" ht="21" x14ac:dyDescent="0.4">
      <c r="A183" s="210"/>
      <c r="B183" s="108">
        <v>173</v>
      </c>
      <c r="C183" s="297">
        <v>1901.9095433694147</v>
      </c>
      <c r="D183" s="297">
        <v>3368.2774231308113</v>
      </c>
      <c r="E183" s="297">
        <v>16.549209949986604</v>
      </c>
      <c r="F183" s="297">
        <v>12.262630522149474</v>
      </c>
      <c r="G183" s="322">
        <v>-1466.3678797613966</v>
      </c>
      <c r="H183" s="322">
        <v>4.2865794278371308</v>
      </c>
      <c r="I183" s="322">
        <v>-342.08345009047889</v>
      </c>
      <c r="K183" s="223">
        <f t="shared" si="11"/>
        <v>991050.68745582679</v>
      </c>
      <c r="L183" s="223">
        <f t="shared" si="11"/>
        <v>732389.55390583759</v>
      </c>
      <c r="M183" s="114">
        <f t="shared" si="12"/>
        <v>1</v>
      </c>
      <c r="N183" s="114">
        <f t="shared" si="13"/>
        <v>0</v>
      </c>
      <c r="Q183" s="320">
        <f t="shared" si="14"/>
        <v>17200</v>
      </c>
      <c r="R183" s="101">
        <v>1</v>
      </c>
      <c r="S183" s="101">
        <v>0</v>
      </c>
      <c r="T183" s="12"/>
      <c r="U183" s="210"/>
      <c r="V183" s="13"/>
      <c r="W183" s="13"/>
      <c r="X183" s="13"/>
      <c r="Y183" s="13"/>
      <c r="Z183" s="13"/>
      <c r="AA183" s="13"/>
      <c r="AB183" s="13"/>
      <c r="AC183" s="13"/>
      <c r="AD183" s="13"/>
      <c r="AE183" s="13"/>
    </row>
    <row r="184" spans="1:31" ht="21" x14ac:dyDescent="0.4">
      <c r="A184" s="210"/>
      <c r="B184" s="108">
        <v>174</v>
      </c>
      <c r="C184" s="297">
        <v>1982.2779611233759</v>
      </c>
      <c r="D184" s="297">
        <v>2839.7023119808705</v>
      </c>
      <c r="E184" s="297">
        <v>18.153802138608661</v>
      </c>
      <c r="F184" s="297">
        <v>12.536761614663906</v>
      </c>
      <c r="G184" s="322">
        <v>-857.42435085749457</v>
      </c>
      <c r="H184" s="322">
        <v>5.6170405239447554</v>
      </c>
      <c r="I184" s="322">
        <v>-152.64699394679451</v>
      </c>
      <c r="K184" s="223">
        <f t="shared" si="11"/>
        <v>1087245.8503553965</v>
      </c>
      <c r="L184" s="223">
        <f t="shared" si="11"/>
        <v>749365.99456785352</v>
      </c>
      <c r="M184" s="114">
        <f t="shared" si="12"/>
        <v>1</v>
      </c>
      <c r="N184" s="114">
        <f t="shared" si="13"/>
        <v>0</v>
      </c>
      <c r="Q184" s="320">
        <f t="shared" si="14"/>
        <v>17300</v>
      </c>
      <c r="R184" s="101">
        <v>1</v>
      </c>
      <c r="S184" s="101">
        <v>0</v>
      </c>
      <c r="T184" s="12"/>
      <c r="U184" s="210"/>
      <c r="V184" s="13"/>
      <c r="W184" s="13"/>
      <c r="X184" s="13"/>
      <c r="Y184" s="13"/>
      <c r="Z184" s="13"/>
      <c r="AA184" s="13"/>
      <c r="AB184" s="13"/>
      <c r="AC184" s="13"/>
      <c r="AD184" s="13"/>
      <c r="AE184" s="13"/>
    </row>
    <row r="185" spans="1:31" ht="21" x14ac:dyDescent="0.4">
      <c r="A185" s="210"/>
      <c r="B185" s="108">
        <v>175</v>
      </c>
      <c r="C185" s="297">
        <v>2323.4905731118874</v>
      </c>
      <c r="D185" s="297">
        <v>2718.422726083561</v>
      </c>
      <c r="E185" s="297">
        <v>18.752046443207817</v>
      </c>
      <c r="F185" s="297">
        <v>13.17813991625014</v>
      </c>
      <c r="G185" s="322">
        <v>-394.93215297167353</v>
      </c>
      <c r="H185" s="322">
        <v>5.5739065269576766</v>
      </c>
      <c r="I185" s="322">
        <v>-70.853745225475379</v>
      </c>
      <c r="K185" s="223">
        <f t="shared" si="11"/>
        <v>1122799.2960193572</v>
      </c>
      <c r="L185" s="223">
        <f t="shared" si="11"/>
        <v>787969.9722489249</v>
      </c>
      <c r="M185" s="114">
        <f t="shared" si="12"/>
        <v>1</v>
      </c>
      <c r="N185" s="114">
        <f t="shared" si="13"/>
        <v>0</v>
      </c>
      <c r="Q185" s="320">
        <f t="shared" si="14"/>
        <v>17400</v>
      </c>
      <c r="R185" s="101">
        <v>1</v>
      </c>
      <c r="S185" s="101">
        <v>0</v>
      </c>
      <c r="T185" s="12"/>
      <c r="U185" s="210"/>
      <c r="V185" s="13"/>
      <c r="W185" s="13"/>
      <c r="X185" s="13"/>
      <c r="Y185" s="13"/>
      <c r="Z185" s="13"/>
      <c r="AA185" s="13"/>
      <c r="AB185" s="13"/>
      <c r="AC185" s="13"/>
      <c r="AD185" s="13"/>
      <c r="AE185" s="13"/>
    </row>
    <row r="186" spans="1:31" ht="21" x14ac:dyDescent="0.4">
      <c r="A186" s="210"/>
      <c r="B186" s="108">
        <v>176</v>
      </c>
      <c r="C186" s="297">
        <v>2042.5656524789874</v>
      </c>
      <c r="D186" s="297">
        <v>3295.5842526579163</v>
      </c>
      <c r="E186" s="297">
        <v>20.01573587584917</v>
      </c>
      <c r="F186" s="297">
        <v>15.331398334558047</v>
      </c>
      <c r="G186" s="322">
        <v>-1253.0186001789289</v>
      </c>
      <c r="H186" s="322">
        <v>4.6843375412911232</v>
      </c>
      <c r="I186" s="322">
        <v>-267.49109967715196</v>
      </c>
      <c r="K186" s="223">
        <f t="shared" si="11"/>
        <v>1198901.5868984712</v>
      </c>
      <c r="L186" s="223">
        <f t="shared" si="11"/>
        <v>916588.31582082482</v>
      </c>
      <c r="M186" s="114">
        <f t="shared" si="12"/>
        <v>1</v>
      </c>
      <c r="N186" s="114">
        <f t="shared" si="13"/>
        <v>0</v>
      </c>
      <c r="Q186" s="320">
        <f t="shared" si="14"/>
        <v>17500</v>
      </c>
      <c r="R186" s="101">
        <v>1</v>
      </c>
      <c r="S186" s="101">
        <v>0</v>
      </c>
      <c r="T186" s="12"/>
      <c r="U186" s="210"/>
      <c r="V186" s="13"/>
      <c r="W186" s="13"/>
      <c r="X186" s="13"/>
      <c r="Y186" s="13"/>
      <c r="Z186" s="13"/>
      <c r="AA186" s="13"/>
      <c r="AB186" s="13"/>
      <c r="AC186" s="13"/>
      <c r="AD186" s="13"/>
      <c r="AE186" s="13"/>
    </row>
    <row r="187" spans="1:31" ht="21" x14ac:dyDescent="0.4">
      <c r="A187" s="210"/>
      <c r="B187" s="108">
        <v>177</v>
      </c>
      <c r="C187" s="297">
        <v>1942.4050242703693</v>
      </c>
      <c r="D187" s="297">
        <v>3452.7613072121067</v>
      </c>
      <c r="E187" s="297">
        <v>18.755336521912962</v>
      </c>
      <c r="F187" s="297">
        <v>13.090937407355696</v>
      </c>
      <c r="G187" s="322">
        <v>-1510.3562829417374</v>
      </c>
      <c r="H187" s="322">
        <v>5.6643991145572663</v>
      </c>
      <c r="I187" s="322">
        <v>-266.64015942312142</v>
      </c>
      <c r="K187" s="223">
        <f t="shared" si="11"/>
        <v>1123377.7862905075</v>
      </c>
      <c r="L187" s="223">
        <f t="shared" si="11"/>
        <v>782003.48313412967</v>
      </c>
      <c r="M187" s="114">
        <f t="shared" si="12"/>
        <v>1</v>
      </c>
      <c r="N187" s="114">
        <f t="shared" si="13"/>
        <v>0</v>
      </c>
      <c r="Q187" s="320">
        <f t="shared" si="14"/>
        <v>17600</v>
      </c>
      <c r="R187" s="101">
        <v>1</v>
      </c>
      <c r="S187" s="101">
        <v>0</v>
      </c>
      <c r="T187" s="12"/>
      <c r="U187" s="210"/>
      <c r="V187" s="13"/>
      <c r="W187" s="13"/>
      <c r="X187" s="13"/>
      <c r="Y187" s="13"/>
      <c r="Z187" s="13"/>
      <c r="AA187" s="13"/>
      <c r="AB187" s="13"/>
      <c r="AC187" s="13"/>
      <c r="AD187" s="13"/>
      <c r="AE187" s="13"/>
    </row>
    <row r="188" spans="1:31" ht="21" x14ac:dyDescent="0.4">
      <c r="A188" s="210"/>
      <c r="B188" s="108">
        <v>178</v>
      </c>
      <c r="C188" s="297">
        <v>2161.8843359527896</v>
      </c>
      <c r="D188" s="297">
        <v>3317.1994763948833</v>
      </c>
      <c r="E188" s="297">
        <v>15.757464027525794</v>
      </c>
      <c r="F188" s="297">
        <v>11.360703577773471</v>
      </c>
      <c r="G188" s="322">
        <v>-1155.3151404420937</v>
      </c>
      <c r="H188" s="322">
        <v>4.3967604497523229</v>
      </c>
      <c r="I188" s="322">
        <v>-262.76508662353314</v>
      </c>
      <c r="K188" s="223">
        <f t="shared" si="11"/>
        <v>943285.95731559477</v>
      </c>
      <c r="L188" s="223">
        <f t="shared" si="11"/>
        <v>678325.01519001334</v>
      </c>
      <c r="M188" s="114">
        <f t="shared" si="12"/>
        <v>1</v>
      </c>
      <c r="N188" s="114">
        <f t="shared" si="13"/>
        <v>0</v>
      </c>
      <c r="Q188" s="320">
        <f t="shared" si="14"/>
        <v>17700</v>
      </c>
      <c r="R188" s="101">
        <v>1</v>
      </c>
      <c r="S188" s="101">
        <v>0</v>
      </c>
      <c r="T188" s="12"/>
      <c r="U188" s="210"/>
      <c r="V188" s="13"/>
      <c r="W188" s="13"/>
      <c r="X188" s="13"/>
      <c r="Y188" s="13"/>
      <c r="Z188" s="13"/>
      <c r="AA188" s="13"/>
      <c r="AB188" s="13"/>
      <c r="AC188" s="13"/>
      <c r="AD188" s="13"/>
      <c r="AE188" s="13"/>
    </row>
    <row r="189" spans="1:31" ht="21" x14ac:dyDescent="0.4">
      <c r="A189" s="210"/>
      <c r="B189" s="108">
        <v>179</v>
      </c>
      <c r="C189" s="297">
        <v>1893.0056549615124</v>
      </c>
      <c r="D189" s="297">
        <v>2937.3533713136903</v>
      </c>
      <c r="E189" s="297">
        <v>18.57979570865664</v>
      </c>
      <c r="F189" s="297">
        <v>13.596383603847105</v>
      </c>
      <c r="G189" s="322">
        <v>-1044.3477163521779</v>
      </c>
      <c r="H189" s="322">
        <v>4.9834121048095348</v>
      </c>
      <c r="I189" s="322">
        <v>-209.56479102827333</v>
      </c>
      <c r="K189" s="223">
        <f t="shared" si="11"/>
        <v>1112894.7368644369</v>
      </c>
      <c r="L189" s="223">
        <f t="shared" si="11"/>
        <v>812845.66285951261</v>
      </c>
      <c r="M189" s="114">
        <f t="shared" si="12"/>
        <v>1</v>
      </c>
      <c r="N189" s="114">
        <f t="shared" si="13"/>
        <v>0</v>
      </c>
      <c r="Q189" s="320">
        <f t="shared" si="14"/>
        <v>17800</v>
      </c>
      <c r="R189" s="101">
        <v>1</v>
      </c>
      <c r="S189" s="101">
        <v>0</v>
      </c>
      <c r="T189" s="12"/>
      <c r="U189" s="210"/>
      <c r="V189" s="13"/>
      <c r="W189" s="13"/>
      <c r="X189" s="13"/>
      <c r="Y189" s="13"/>
      <c r="Z189" s="13"/>
      <c r="AA189" s="13"/>
      <c r="AB189" s="13"/>
      <c r="AC189" s="13"/>
      <c r="AD189" s="13"/>
      <c r="AE189" s="13"/>
    </row>
    <row r="190" spans="1:31" ht="21" x14ac:dyDescent="0.4">
      <c r="A190" s="210"/>
      <c r="B190" s="108">
        <v>180</v>
      </c>
      <c r="C190" s="297">
        <v>2136.266692917105</v>
      </c>
      <c r="D190" s="297">
        <v>3752.5671186089776</v>
      </c>
      <c r="E190" s="297">
        <v>18.104381754458124</v>
      </c>
      <c r="F190" s="297">
        <v>14.038867155958677</v>
      </c>
      <c r="G190" s="322">
        <v>-1616.3004256918725</v>
      </c>
      <c r="H190" s="322">
        <v>4.0655145984994476</v>
      </c>
      <c r="I190" s="322">
        <v>-397.56355229629173</v>
      </c>
      <c r="K190" s="223">
        <f t="shared" si="11"/>
        <v>1084126.6385745704</v>
      </c>
      <c r="L190" s="223">
        <f t="shared" si="11"/>
        <v>838579.46223891166</v>
      </c>
      <c r="M190" s="114">
        <f t="shared" si="12"/>
        <v>1</v>
      </c>
      <c r="N190" s="114">
        <f t="shared" si="13"/>
        <v>0</v>
      </c>
      <c r="Q190" s="320">
        <f t="shared" si="14"/>
        <v>17900</v>
      </c>
      <c r="R190" s="101">
        <v>1</v>
      </c>
      <c r="S190" s="101">
        <v>0</v>
      </c>
      <c r="T190" s="12"/>
      <c r="U190" s="210"/>
      <c r="V190" s="13"/>
      <c r="W190" s="13"/>
      <c r="X190" s="13"/>
      <c r="Y190" s="13"/>
      <c r="Z190" s="13"/>
      <c r="AA190" s="13"/>
      <c r="AB190" s="13"/>
      <c r="AC190" s="13"/>
      <c r="AD190" s="13"/>
      <c r="AE190" s="13"/>
    </row>
    <row r="191" spans="1:31" ht="21" x14ac:dyDescent="0.4">
      <c r="A191" s="210"/>
      <c r="B191" s="108">
        <v>181</v>
      </c>
      <c r="C191" s="297">
        <v>1974.5278065958973</v>
      </c>
      <c r="D191" s="297">
        <v>2562.2503450362224</v>
      </c>
      <c r="E191" s="297">
        <v>14.533670652643263</v>
      </c>
      <c r="F191" s="297">
        <v>9.3284157240010082</v>
      </c>
      <c r="G191" s="322">
        <v>-587.72253844032502</v>
      </c>
      <c r="H191" s="322">
        <v>5.2052549286422547</v>
      </c>
      <c r="I191" s="322">
        <v>-112.90946293645359</v>
      </c>
      <c r="K191" s="223">
        <f t="shared" si="11"/>
        <v>870045.7113519999</v>
      </c>
      <c r="L191" s="223">
        <f t="shared" si="11"/>
        <v>557142.69309502421</v>
      </c>
      <c r="M191" s="114">
        <f t="shared" si="12"/>
        <v>1</v>
      </c>
      <c r="N191" s="114">
        <f t="shared" si="13"/>
        <v>0</v>
      </c>
      <c r="Q191" s="320">
        <f t="shared" si="14"/>
        <v>18000</v>
      </c>
      <c r="R191" s="101">
        <v>1</v>
      </c>
      <c r="S191" s="101">
        <v>0</v>
      </c>
      <c r="T191" s="12"/>
      <c r="U191" s="210"/>
      <c r="V191" s="13"/>
      <c r="W191" s="13"/>
      <c r="X191" s="13"/>
      <c r="Y191" s="13"/>
      <c r="Z191" s="13"/>
      <c r="AA191" s="13"/>
      <c r="AB191" s="13"/>
      <c r="AC191" s="13"/>
      <c r="AD191" s="13"/>
      <c r="AE191" s="13"/>
    </row>
    <row r="192" spans="1:31" ht="21" x14ac:dyDescent="0.4">
      <c r="A192" s="210"/>
      <c r="B192" s="108">
        <v>182</v>
      </c>
      <c r="C192" s="297">
        <v>1906.6882440711897</v>
      </c>
      <c r="D192" s="297">
        <v>2999.8815560512239</v>
      </c>
      <c r="E192" s="297">
        <v>20.341873256766505</v>
      </c>
      <c r="F192" s="297">
        <v>14.784389784053277</v>
      </c>
      <c r="G192" s="322">
        <v>-1093.1933119800342</v>
      </c>
      <c r="H192" s="322">
        <v>5.5574834727132281</v>
      </c>
      <c r="I192" s="322">
        <v>-196.70653405404093</v>
      </c>
      <c r="K192" s="223">
        <f t="shared" si="11"/>
        <v>1218605.7071619192</v>
      </c>
      <c r="L192" s="223">
        <f t="shared" si="11"/>
        <v>884063.50548714539</v>
      </c>
      <c r="M192" s="114">
        <f t="shared" si="12"/>
        <v>1</v>
      </c>
      <c r="N192" s="114">
        <f t="shared" si="13"/>
        <v>0</v>
      </c>
      <c r="Q192" s="320">
        <f t="shared" si="14"/>
        <v>18100</v>
      </c>
      <c r="R192" s="101">
        <v>1</v>
      </c>
      <c r="S192" s="101">
        <v>0</v>
      </c>
      <c r="T192" s="12"/>
      <c r="U192" s="210"/>
      <c r="V192" s="13"/>
      <c r="W192" s="13"/>
      <c r="X192" s="13"/>
      <c r="Y192" s="13"/>
      <c r="Z192" s="13"/>
      <c r="AA192" s="13"/>
      <c r="AB192" s="13"/>
      <c r="AC192" s="13"/>
      <c r="AD192" s="13"/>
      <c r="AE192" s="13"/>
    </row>
    <row r="193" spans="1:31" ht="21" x14ac:dyDescent="0.4">
      <c r="A193" s="210"/>
      <c r="B193" s="108">
        <v>183</v>
      </c>
      <c r="C193" s="297">
        <v>2150.8690197060942</v>
      </c>
      <c r="D193" s="297">
        <v>2845.5134238767769</v>
      </c>
      <c r="E193" s="297">
        <v>20.54635507298169</v>
      </c>
      <c r="F193" s="297">
        <v>15.465294422202424</v>
      </c>
      <c r="G193" s="322">
        <v>-694.64440417068272</v>
      </c>
      <c r="H193" s="322">
        <v>5.0810606507792659</v>
      </c>
      <c r="I193" s="322">
        <v>-136.71248030943053</v>
      </c>
      <c r="K193" s="223">
        <f t="shared" si="11"/>
        <v>1230630.4353591953</v>
      </c>
      <c r="L193" s="223">
        <f t="shared" si="11"/>
        <v>925072.15190826869</v>
      </c>
      <c r="M193" s="114">
        <f t="shared" si="12"/>
        <v>1</v>
      </c>
      <c r="N193" s="114">
        <f t="shared" si="13"/>
        <v>0</v>
      </c>
      <c r="Q193" s="320">
        <f t="shared" si="14"/>
        <v>18200</v>
      </c>
      <c r="R193" s="101">
        <v>1</v>
      </c>
      <c r="S193" s="101">
        <v>0</v>
      </c>
      <c r="T193" s="12"/>
      <c r="U193" s="210"/>
      <c r="V193" s="13"/>
      <c r="W193" s="13"/>
      <c r="X193" s="13"/>
      <c r="Y193" s="13"/>
      <c r="Z193" s="13"/>
      <c r="AA193" s="13"/>
      <c r="AB193" s="13"/>
      <c r="AC193" s="13"/>
      <c r="AD193" s="13"/>
      <c r="AE193" s="13"/>
    </row>
    <row r="194" spans="1:31" ht="21" x14ac:dyDescent="0.4">
      <c r="A194" s="210"/>
      <c r="B194" s="108">
        <v>184</v>
      </c>
      <c r="C194" s="297">
        <v>2053.061552155858</v>
      </c>
      <c r="D194" s="297">
        <v>3105.9665158767662</v>
      </c>
      <c r="E194" s="297">
        <v>20.305287923202695</v>
      </c>
      <c r="F194" s="297">
        <v>15.223232454908354</v>
      </c>
      <c r="G194" s="322">
        <v>-1052.9049637209082</v>
      </c>
      <c r="H194" s="322">
        <v>5.0820554682943406</v>
      </c>
      <c r="I194" s="322">
        <v>-207.18092714448241</v>
      </c>
      <c r="K194" s="223">
        <f t="shared" si="11"/>
        <v>1216264.2138400059</v>
      </c>
      <c r="L194" s="223">
        <f t="shared" si="11"/>
        <v>910287.98077862442</v>
      </c>
      <c r="M194" s="114">
        <f t="shared" si="12"/>
        <v>1</v>
      </c>
      <c r="N194" s="114">
        <f t="shared" si="13"/>
        <v>0</v>
      </c>
      <c r="Q194" s="320">
        <f t="shared" si="14"/>
        <v>18300</v>
      </c>
      <c r="R194" s="101">
        <v>1</v>
      </c>
      <c r="S194" s="101">
        <v>0</v>
      </c>
      <c r="T194" s="12"/>
      <c r="U194" s="210"/>
      <c r="V194" s="13"/>
      <c r="W194" s="13"/>
      <c r="X194" s="13"/>
      <c r="Y194" s="13"/>
      <c r="Z194" s="13"/>
      <c r="AA194" s="13"/>
      <c r="AB194" s="13"/>
      <c r="AC194" s="13"/>
      <c r="AD194" s="13"/>
      <c r="AE194" s="13"/>
    </row>
    <row r="195" spans="1:31" ht="21" x14ac:dyDescent="0.4">
      <c r="A195" s="210"/>
      <c r="B195" s="108">
        <v>185</v>
      </c>
      <c r="C195" s="297">
        <v>2233.8356687119863</v>
      </c>
      <c r="D195" s="297">
        <v>3198.3557352747803</v>
      </c>
      <c r="E195" s="297">
        <v>17.826550066231711</v>
      </c>
      <c r="F195" s="297">
        <v>12.565711553891374</v>
      </c>
      <c r="G195" s="322">
        <v>-964.520066562794</v>
      </c>
      <c r="H195" s="322">
        <v>5.2608385123403369</v>
      </c>
      <c r="I195" s="322">
        <v>-183.33960723187406</v>
      </c>
      <c r="K195" s="223">
        <f t="shared" si="11"/>
        <v>1067359.1683051907</v>
      </c>
      <c r="L195" s="223">
        <f t="shared" si="11"/>
        <v>750744.33749820769</v>
      </c>
      <c r="M195" s="114">
        <f t="shared" si="12"/>
        <v>1</v>
      </c>
      <c r="N195" s="114">
        <f t="shared" si="13"/>
        <v>0</v>
      </c>
      <c r="Q195" s="320">
        <f t="shared" si="14"/>
        <v>18400</v>
      </c>
      <c r="R195" s="101">
        <v>1</v>
      </c>
      <c r="S195" s="101">
        <v>0</v>
      </c>
      <c r="T195" s="12"/>
      <c r="U195" s="210"/>
      <c r="V195" s="13"/>
      <c r="W195" s="13"/>
      <c r="X195" s="13"/>
      <c r="Y195" s="13"/>
      <c r="Z195" s="13"/>
      <c r="AA195" s="13"/>
      <c r="AB195" s="13"/>
      <c r="AC195" s="13"/>
      <c r="AD195" s="13"/>
      <c r="AE195" s="13"/>
    </row>
    <row r="196" spans="1:31" ht="21" x14ac:dyDescent="0.4">
      <c r="A196" s="210"/>
      <c r="B196" s="108">
        <v>186</v>
      </c>
      <c r="C196" s="297">
        <v>2457.354551199548</v>
      </c>
      <c r="D196" s="297">
        <v>2880.0109181919379</v>
      </c>
      <c r="E196" s="297">
        <v>18.494116958488178</v>
      </c>
      <c r="F196" s="297">
        <v>13.999936963135244</v>
      </c>
      <c r="G196" s="322">
        <v>-422.65636699238985</v>
      </c>
      <c r="H196" s="322">
        <v>4.4941799953529333</v>
      </c>
      <c r="I196" s="322">
        <v>-94.04526908789245</v>
      </c>
      <c r="K196" s="223">
        <f t="shared" si="11"/>
        <v>1107189.6629580911</v>
      </c>
      <c r="L196" s="223">
        <f t="shared" si="11"/>
        <v>837116.20686992269</v>
      </c>
      <c r="M196" s="114">
        <f t="shared" si="12"/>
        <v>1</v>
      </c>
      <c r="N196" s="114">
        <f t="shared" si="13"/>
        <v>0</v>
      </c>
      <c r="Q196" s="320">
        <f t="shared" si="14"/>
        <v>18500</v>
      </c>
      <c r="R196" s="101">
        <v>1</v>
      </c>
      <c r="S196" s="101">
        <v>0</v>
      </c>
      <c r="T196" s="12"/>
      <c r="U196" s="210"/>
      <c r="V196" s="13"/>
      <c r="W196" s="13"/>
      <c r="X196" s="13"/>
      <c r="Y196" s="13"/>
      <c r="Z196" s="13"/>
      <c r="AA196" s="13"/>
      <c r="AB196" s="13"/>
      <c r="AC196" s="13"/>
      <c r="AD196" s="13"/>
      <c r="AE196" s="13"/>
    </row>
    <row r="197" spans="1:31" ht="21" x14ac:dyDescent="0.4">
      <c r="A197" s="210"/>
      <c r="B197" s="108">
        <v>187</v>
      </c>
      <c r="C197" s="297">
        <v>1962.9960484101794</v>
      </c>
      <c r="D197" s="297">
        <v>2745.995182513127</v>
      </c>
      <c r="E197" s="297">
        <v>18.481985443300037</v>
      </c>
      <c r="F197" s="297">
        <v>12.858934754146462</v>
      </c>
      <c r="G197" s="322">
        <v>-782.99913410294766</v>
      </c>
      <c r="H197" s="322">
        <v>5.6230506891535743</v>
      </c>
      <c r="I197" s="322">
        <v>-139.24810167784756</v>
      </c>
      <c r="K197" s="223">
        <f t="shared" si="11"/>
        <v>1106956.130549592</v>
      </c>
      <c r="L197" s="223">
        <f t="shared" si="11"/>
        <v>768790.09006627463</v>
      </c>
      <c r="M197" s="114">
        <f t="shared" si="12"/>
        <v>1</v>
      </c>
      <c r="N197" s="114">
        <f t="shared" si="13"/>
        <v>0</v>
      </c>
      <c r="Q197" s="320">
        <f t="shared" si="14"/>
        <v>18600</v>
      </c>
      <c r="R197" s="101">
        <v>1</v>
      </c>
      <c r="S197" s="101">
        <v>0</v>
      </c>
      <c r="T197" s="12"/>
      <c r="U197" s="210"/>
      <c r="V197" s="13"/>
      <c r="W197" s="13"/>
      <c r="X197" s="13"/>
      <c r="Y197" s="13"/>
      <c r="Z197" s="13"/>
      <c r="AA197" s="13"/>
      <c r="AB197" s="13"/>
      <c r="AC197" s="13"/>
      <c r="AD197" s="13"/>
      <c r="AE197" s="13"/>
    </row>
    <row r="198" spans="1:31" ht="21" x14ac:dyDescent="0.4">
      <c r="A198" s="210"/>
      <c r="B198" s="108">
        <v>188</v>
      </c>
      <c r="C198" s="297">
        <v>2273.8527574273294</v>
      </c>
      <c r="D198" s="297">
        <v>3062.0769074837049</v>
      </c>
      <c r="E198" s="297">
        <v>18.873822016937975</v>
      </c>
      <c r="F198" s="297">
        <v>13.097390235821377</v>
      </c>
      <c r="G198" s="322">
        <v>-788.22415005637549</v>
      </c>
      <c r="H198" s="322">
        <v>5.7764317811165977</v>
      </c>
      <c r="I198" s="322">
        <v>-136.45519932099154</v>
      </c>
      <c r="K198" s="223">
        <f t="shared" si="11"/>
        <v>1130155.4682588512</v>
      </c>
      <c r="L198" s="223">
        <f t="shared" si="11"/>
        <v>782781.33724179887</v>
      </c>
      <c r="M198" s="114">
        <f t="shared" si="12"/>
        <v>1</v>
      </c>
      <c r="N198" s="114">
        <f t="shared" si="13"/>
        <v>0</v>
      </c>
      <c r="Q198" s="320">
        <f t="shared" si="14"/>
        <v>18700</v>
      </c>
      <c r="R198" s="101">
        <v>1</v>
      </c>
      <c r="S198" s="101">
        <v>0</v>
      </c>
      <c r="T198" s="12"/>
      <c r="U198" s="210"/>
      <c r="V198" s="13"/>
      <c r="W198" s="13"/>
      <c r="X198" s="13"/>
      <c r="Y198" s="13"/>
      <c r="Z198" s="13"/>
      <c r="AA198" s="13"/>
      <c r="AB198" s="13"/>
      <c r="AC198" s="13"/>
      <c r="AD198" s="13"/>
      <c r="AE198" s="13"/>
    </row>
    <row r="199" spans="1:31" ht="21" x14ac:dyDescent="0.4">
      <c r="A199" s="210"/>
      <c r="B199" s="108">
        <v>189</v>
      </c>
      <c r="C199" s="297">
        <v>2021.8337430877195</v>
      </c>
      <c r="D199" s="297">
        <v>3282.7220777719513</v>
      </c>
      <c r="E199" s="297">
        <v>19.616317445279677</v>
      </c>
      <c r="F199" s="297">
        <v>15.368711892197746</v>
      </c>
      <c r="G199" s="322">
        <v>-1260.8883346842317</v>
      </c>
      <c r="H199" s="322">
        <v>4.2476055530819306</v>
      </c>
      <c r="I199" s="322">
        <v>-296.84685146184779</v>
      </c>
      <c r="K199" s="223">
        <f t="shared" si="11"/>
        <v>1174957.2129736929</v>
      </c>
      <c r="L199" s="223">
        <f t="shared" si="11"/>
        <v>918839.9914540929</v>
      </c>
      <c r="M199" s="114">
        <f t="shared" si="12"/>
        <v>1</v>
      </c>
      <c r="N199" s="114">
        <f t="shared" si="13"/>
        <v>0</v>
      </c>
      <c r="Q199" s="320">
        <f t="shared" si="14"/>
        <v>18800</v>
      </c>
      <c r="R199" s="101">
        <v>1</v>
      </c>
      <c r="S199" s="101">
        <v>0</v>
      </c>
      <c r="T199" s="12"/>
      <c r="U199" s="210"/>
      <c r="V199" s="13"/>
      <c r="W199" s="13"/>
      <c r="X199" s="13"/>
      <c r="Y199" s="13"/>
      <c r="Z199" s="13"/>
      <c r="AA199" s="13"/>
      <c r="AB199" s="13"/>
      <c r="AC199" s="13"/>
      <c r="AD199" s="13"/>
      <c r="AE199" s="13"/>
    </row>
    <row r="200" spans="1:31" ht="21" x14ac:dyDescent="0.4">
      <c r="A200" s="210"/>
      <c r="B200" s="108">
        <v>190</v>
      </c>
      <c r="C200" s="297">
        <v>2235.9604527397178</v>
      </c>
      <c r="D200" s="297">
        <v>3355.3556343613827</v>
      </c>
      <c r="E200" s="297">
        <v>17.495868196275953</v>
      </c>
      <c r="F200" s="297">
        <v>12.836437936620403</v>
      </c>
      <c r="G200" s="322">
        <v>-1119.395181621665</v>
      </c>
      <c r="H200" s="322">
        <v>4.6594302596555508</v>
      </c>
      <c r="I200" s="322">
        <v>-240.24293083944912</v>
      </c>
      <c r="K200" s="223">
        <f t="shared" si="11"/>
        <v>1047516.1313238175</v>
      </c>
      <c r="L200" s="223">
        <f t="shared" si="11"/>
        <v>766830.92056286277</v>
      </c>
      <c r="M200" s="114">
        <f t="shared" si="12"/>
        <v>1</v>
      </c>
      <c r="N200" s="114">
        <f t="shared" si="13"/>
        <v>0</v>
      </c>
      <c r="Q200" s="320">
        <f t="shared" si="14"/>
        <v>18900</v>
      </c>
      <c r="R200" s="101">
        <v>1</v>
      </c>
      <c r="S200" s="101">
        <v>0</v>
      </c>
      <c r="T200" s="12"/>
      <c r="U200" s="210"/>
      <c r="V200" s="13"/>
      <c r="W200" s="13"/>
      <c r="X200" s="13"/>
      <c r="Y200" s="13"/>
      <c r="Z200" s="13"/>
      <c r="AA200" s="13"/>
      <c r="AB200" s="13"/>
      <c r="AC200" s="13"/>
      <c r="AD200" s="13"/>
      <c r="AE200" s="13"/>
    </row>
    <row r="201" spans="1:31" ht="21" x14ac:dyDescent="0.4">
      <c r="A201" s="210"/>
      <c r="B201" s="108">
        <v>191</v>
      </c>
      <c r="C201" s="297">
        <v>2113.7345455808045</v>
      </c>
      <c r="D201" s="297">
        <v>2963.6774194621266</v>
      </c>
      <c r="E201" s="297">
        <v>20.594585512235462</v>
      </c>
      <c r="F201" s="297">
        <v>14.677763961393008</v>
      </c>
      <c r="G201" s="322">
        <v>-849.94287388132216</v>
      </c>
      <c r="H201" s="322">
        <v>5.9168215508424531</v>
      </c>
      <c r="I201" s="322">
        <v>-143.64855633685707</v>
      </c>
      <c r="K201" s="223">
        <f t="shared" si="11"/>
        <v>1233561.3961885469</v>
      </c>
      <c r="L201" s="223">
        <f t="shared" si="11"/>
        <v>877702.16026411834</v>
      </c>
      <c r="M201" s="114">
        <f t="shared" si="12"/>
        <v>1</v>
      </c>
      <c r="N201" s="114">
        <f t="shared" si="13"/>
        <v>0</v>
      </c>
      <c r="Q201" s="320">
        <f t="shared" si="14"/>
        <v>19000</v>
      </c>
      <c r="R201" s="101">
        <v>1</v>
      </c>
      <c r="S201" s="101">
        <v>0</v>
      </c>
      <c r="T201" s="12"/>
      <c r="U201" s="210"/>
      <c r="V201" s="13"/>
      <c r="W201" s="13"/>
      <c r="X201" s="13"/>
      <c r="Y201" s="13"/>
      <c r="Z201" s="13"/>
      <c r="AA201" s="13"/>
      <c r="AB201" s="13"/>
      <c r="AC201" s="13"/>
      <c r="AD201" s="13"/>
      <c r="AE201" s="13"/>
    </row>
    <row r="202" spans="1:31" ht="21" x14ac:dyDescent="0.4">
      <c r="A202" s="210"/>
      <c r="B202" s="108">
        <v>192</v>
      </c>
      <c r="C202" s="297">
        <v>2324.7469431016752</v>
      </c>
      <c r="D202" s="297">
        <v>2842.8694217156226</v>
      </c>
      <c r="E202" s="297">
        <v>15.672844817900527</v>
      </c>
      <c r="F202" s="297">
        <v>11.490967254969304</v>
      </c>
      <c r="G202" s="322">
        <v>-518.12247861394735</v>
      </c>
      <c r="H202" s="322">
        <v>4.1818775629312235</v>
      </c>
      <c r="I202" s="322">
        <v>-123.89709426374915</v>
      </c>
      <c r="K202" s="223">
        <f t="shared" si="11"/>
        <v>938045.94213093002</v>
      </c>
      <c r="L202" s="223">
        <f t="shared" si="11"/>
        <v>686615.16587644257</v>
      </c>
      <c r="M202" s="114">
        <f t="shared" si="12"/>
        <v>1</v>
      </c>
      <c r="N202" s="114">
        <f t="shared" si="13"/>
        <v>0</v>
      </c>
      <c r="Q202" s="320">
        <f t="shared" si="14"/>
        <v>19100</v>
      </c>
      <c r="R202" s="101">
        <v>1</v>
      </c>
      <c r="S202" s="101">
        <v>0</v>
      </c>
      <c r="T202" s="12"/>
      <c r="U202" s="210"/>
      <c r="V202" s="13"/>
      <c r="W202" s="13"/>
      <c r="X202" s="13"/>
      <c r="Y202" s="13"/>
      <c r="Z202" s="13"/>
      <c r="AA202" s="13"/>
      <c r="AB202" s="13"/>
      <c r="AC202" s="13"/>
      <c r="AD202" s="13"/>
      <c r="AE202" s="13"/>
    </row>
    <row r="203" spans="1:31" ht="21" x14ac:dyDescent="0.4">
      <c r="A203" s="210"/>
      <c r="B203" s="108">
        <v>193</v>
      </c>
      <c r="C203" s="297">
        <v>2179.3408859676333</v>
      </c>
      <c r="D203" s="297">
        <v>3329.0874890682089</v>
      </c>
      <c r="E203" s="297">
        <v>20.949164056673141</v>
      </c>
      <c r="F203" s="297">
        <v>15.001171330599169</v>
      </c>
      <c r="G203" s="322">
        <v>-1149.7466031005756</v>
      </c>
      <c r="H203" s="322">
        <v>5.9479927260739718</v>
      </c>
      <c r="I203" s="322">
        <v>-193.2999342888364</v>
      </c>
      <c r="K203" s="223">
        <f t="shared" si="11"/>
        <v>1254770.5025144208</v>
      </c>
      <c r="L203" s="223">
        <f t="shared" si="11"/>
        <v>896741.19234688196</v>
      </c>
      <c r="M203" s="114">
        <f t="shared" si="12"/>
        <v>1</v>
      </c>
      <c r="N203" s="114">
        <f t="shared" si="13"/>
        <v>0</v>
      </c>
      <c r="Q203" s="320">
        <f t="shared" si="14"/>
        <v>19200</v>
      </c>
      <c r="R203" s="101">
        <v>1</v>
      </c>
      <c r="S203" s="101">
        <v>0</v>
      </c>
      <c r="T203" s="12"/>
      <c r="U203" s="210"/>
      <c r="V203" s="13"/>
      <c r="W203" s="13"/>
      <c r="X203" s="13"/>
      <c r="Y203" s="13"/>
      <c r="Z203" s="13"/>
      <c r="AA203" s="13"/>
      <c r="AB203" s="13"/>
      <c r="AC203" s="13"/>
      <c r="AD203" s="13"/>
      <c r="AE203" s="13"/>
    </row>
    <row r="204" spans="1:31" ht="21" x14ac:dyDescent="0.4">
      <c r="A204" s="210"/>
      <c r="B204" s="108">
        <v>194</v>
      </c>
      <c r="C204" s="297">
        <v>2104.7606944665904</v>
      </c>
      <c r="D204" s="297">
        <v>3205.9928977724867</v>
      </c>
      <c r="E204" s="297">
        <v>19.063887245342041</v>
      </c>
      <c r="F204" s="297">
        <v>13.83533349230437</v>
      </c>
      <c r="G204" s="322">
        <v>-1101.2322033058963</v>
      </c>
      <c r="H204" s="322">
        <v>5.2285537530376711</v>
      </c>
      <c r="I204" s="322">
        <v>-210.61889297133177</v>
      </c>
      <c r="K204" s="223">
        <f t="shared" ref="K204:L267" si="15">E204*$N$4-C204</f>
        <v>1141728.474026056</v>
      </c>
      <c r="L204" s="223">
        <f t="shared" si="15"/>
        <v>826914.01664048969</v>
      </c>
      <c r="M204" s="114">
        <f t="shared" ref="M204:M267" si="16">IF(MAX(K204:L204)=K204,1,0)</f>
        <v>1</v>
      </c>
      <c r="N204" s="114">
        <f t="shared" ref="N204:N267" si="17">IF(MAX(K204:L204)=L204,1,0)</f>
        <v>0</v>
      </c>
      <c r="Q204" s="320">
        <f t="shared" si="14"/>
        <v>19300</v>
      </c>
      <c r="R204" s="101">
        <v>1</v>
      </c>
      <c r="S204" s="101">
        <v>0</v>
      </c>
      <c r="T204" s="12"/>
      <c r="U204" s="210"/>
      <c r="V204" s="13"/>
      <c r="W204" s="13"/>
      <c r="X204" s="13"/>
      <c r="Y204" s="13"/>
      <c r="Z204" s="13"/>
      <c r="AA204" s="13"/>
      <c r="AB204" s="13"/>
      <c r="AC204" s="13"/>
      <c r="AD204" s="13"/>
      <c r="AE204" s="13"/>
    </row>
    <row r="205" spans="1:31" ht="21" x14ac:dyDescent="0.4">
      <c r="A205" s="210"/>
      <c r="B205" s="108">
        <v>195</v>
      </c>
      <c r="C205" s="297">
        <v>2170.2732020301332</v>
      </c>
      <c r="D205" s="297">
        <v>2943.9112412706791</v>
      </c>
      <c r="E205" s="297">
        <v>18.712779325021724</v>
      </c>
      <c r="F205" s="297">
        <v>13.50276375939805</v>
      </c>
      <c r="G205" s="322">
        <v>-773.63803924054582</v>
      </c>
      <c r="H205" s="322">
        <v>5.2100155656236744</v>
      </c>
      <c r="I205" s="322">
        <v>-148.49054278169629</v>
      </c>
      <c r="K205" s="223">
        <f t="shared" si="15"/>
        <v>1120596.4862992733</v>
      </c>
      <c r="L205" s="223">
        <f t="shared" si="15"/>
        <v>807221.91432261234</v>
      </c>
      <c r="M205" s="114">
        <f t="shared" si="16"/>
        <v>1</v>
      </c>
      <c r="N205" s="114">
        <f t="shared" si="17"/>
        <v>0</v>
      </c>
      <c r="Q205" s="320">
        <f t="shared" ref="Q205:Q268" si="18">Q204+100</f>
        <v>19400</v>
      </c>
      <c r="R205" s="101">
        <v>1</v>
      </c>
      <c r="S205" s="101">
        <v>0</v>
      </c>
      <c r="T205" s="12"/>
      <c r="U205" s="210"/>
      <c r="V205" s="13"/>
      <c r="W205" s="13"/>
      <c r="X205" s="13"/>
      <c r="Y205" s="13"/>
      <c r="Z205" s="13"/>
      <c r="AA205" s="13"/>
      <c r="AB205" s="13"/>
      <c r="AC205" s="13"/>
      <c r="AD205" s="13"/>
      <c r="AE205" s="13"/>
    </row>
    <row r="206" spans="1:31" ht="21" x14ac:dyDescent="0.4">
      <c r="A206" s="210"/>
      <c r="B206" s="108">
        <v>196</v>
      </c>
      <c r="C206" s="297">
        <v>1944.2862540584774</v>
      </c>
      <c r="D206" s="297">
        <v>2628.6136261948641</v>
      </c>
      <c r="E206" s="297">
        <v>17.908512307201434</v>
      </c>
      <c r="F206" s="297">
        <v>13.150793370792396</v>
      </c>
      <c r="G206" s="322">
        <v>-684.32737213638666</v>
      </c>
      <c r="H206" s="322">
        <v>4.757718936409038</v>
      </c>
      <c r="I206" s="322">
        <v>-143.8351826333174</v>
      </c>
      <c r="K206" s="223">
        <f t="shared" si="15"/>
        <v>1072566.4521780275</v>
      </c>
      <c r="L206" s="223">
        <f t="shared" si="15"/>
        <v>786418.98862134886</v>
      </c>
      <c r="M206" s="114">
        <f t="shared" si="16"/>
        <v>1</v>
      </c>
      <c r="N206" s="114">
        <f t="shared" si="17"/>
        <v>0</v>
      </c>
      <c r="Q206" s="320">
        <f t="shared" si="18"/>
        <v>19500</v>
      </c>
      <c r="R206" s="101">
        <v>1</v>
      </c>
      <c r="S206" s="101">
        <v>0</v>
      </c>
      <c r="T206" s="12"/>
      <c r="U206" s="210"/>
      <c r="V206" s="13"/>
      <c r="W206" s="13"/>
      <c r="X206" s="13"/>
      <c r="Y206" s="13"/>
      <c r="Z206" s="13"/>
      <c r="AA206" s="13"/>
      <c r="AB206" s="13"/>
      <c r="AC206" s="13"/>
      <c r="AD206" s="13"/>
      <c r="AE206" s="13"/>
    </row>
    <row r="207" spans="1:31" ht="21" x14ac:dyDescent="0.4">
      <c r="A207" s="210"/>
      <c r="B207" s="108">
        <v>197</v>
      </c>
      <c r="C207" s="297">
        <v>1903.629699978645</v>
      </c>
      <c r="D207" s="297">
        <v>2939.2068538771755</v>
      </c>
      <c r="E207" s="297">
        <v>18.585305523205054</v>
      </c>
      <c r="F207" s="297">
        <v>13.048313830566105</v>
      </c>
      <c r="G207" s="322">
        <v>-1035.5771538985305</v>
      </c>
      <c r="H207" s="322">
        <v>5.5369916926389493</v>
      </c>
      <c r="I207" s="322">
        <v>-187.02884370862597</v>
      </c>
      <c r="K207" s="223">
        <f t="shared" si="15"/>
        <v>1113214.7016923246</v>
      </c>
      <c r="L207" s="223">
        <f t="shared" si="15"/>
        <v>779959.62298008916</v>
      </c>
      <c r="M207" s="114">
        <f t="shared" si="16"/>
        <v>1</v>
      </c>
      <c r="N207" s="114">
        <f t="shared" si="17"/>
        <v>0</v>
      </c>
      <c r="Q207" s="320">
        <f t="shared" si="18"/>
        <v>19600</v>
      </c>
      <c r="R207" s="101">
        <v>1</v>
      </c>
      <c r="S207" s="101">
        <v>0</v>
      </c>
      <c r="T207" s="12"/>
      <c r="U207" s="210"/>
      <c r="V207" s="13"/>
      <c r="W207" s="13"/>
      <c r="X207" s="13"/>
      <c r="Y207" s="13"/>
      <c r="Z207" s="13"/>
      <c r="AA207" s="13"/>
      <c r="AB207" s="13"/>
      <c r="AC207" s="13"/>
      <c r="AD207" s="13"/>
      <c r="AE207" s="13"/>
    </row>
    <row r="208" spans="1:31" ht="21" x14ac:dyDescent="0.4">
      <c r="A208" s="210"/>
      <c r="B208" s="108">
        <v>198</v>
      </c>
      <c r="C208" s="297">
        <v>1913.9030090568378</v>
      </c>
      <c r="D208" s="297">
        <v>2712.6837626260672</v>
      </c>
      <c r="E208" s="297">
        <v>18.250700946231142</v>
      </c>
      <c r="F208" s="297">
        <v>12.445073053159957</v>
      </c>
      <c r="G208" s="322">
        <v>-798.78075356922932</v>
      </c>
      <c r="H208" s="322">
        <v>5.8056278930711844</v>
      </c>
      <c r="I208" s="322">
        <v>-137.58731497803132</v>
      </c>
      <c r="K208" s="223">
        <f t="shared" si="15"/>
        <v>1093128.1537648116</v>
      </c>
      <c r="L208" s="223">
        <f t="shared" si="15"/>
        <v>743991.69942697138</v>
      </c>
      <c r="M208" s="114">
        <f t="shared" si="16"/>
        <v>1</v>
      </c>
      <c r="N208" s="114">
        <f t="shared" si="17"/>
        <v>0</v>
      </c>
      <c r="Q208" s="320">
        <f t="shared" si="18"/>
        <v>19700</v>
      </c>
      <c r="R208" s="101">
        <v>1</v>
      </c>
      <c r="S208" s="101">
        <v>0</v>
      </c>
      <c r="T208" s="12"/>
      <c r="U208" s="210"/>
      <c r="V208" s="13"/>
      <c r="W208" s="13"/>
      <c r="X208" s="13"/>
      <c r="Y208" s="13"/>
      <c r="Z208" s="13"/>
      <c r="AA208" s="13"/>
      <c r="AB208" s="13"/>
      <c r="AC208" s="13"/>
      <c r="AD208" s="13"/>
      <c r="AE208" s="13"/>
    </row>
    <row r="209" spans="1:31" ht="21" x14ac:dyDescent="0.4">
      <c r="A209" s="210"/>
      <c r="B209" s="108">
        <v>199</v>
      </c>
      <c r="C209" s="297">
        <v>2056.6787960640613</v>
      </c>
      <c r="D209" s="297">
        <v>2743.4107537048303</v>
      </c>
      <c r="E209" s="297">
        <v>18.449513883361583</v>
      </c>
      <c r="F209" s="297">
        <v>13.055890782041258</v>
      </c>
      <c r="G209" s="322">
        <v>-686.731957640769</v>
      </c>
      <c r="H209" s="322">
        <v>5.3936231013203244</v>
      </c>
      <c r="I209" s="322">
        <v>-127.32294132169922</v>
      </c>
      <c r="K209" s="223">
        <f t="shared" si="15"/>
        <v>1104914.1542056308</v>
      </c>
      <c r="L209" s="223">
        <f t="shared" si="15"/>
        <v>780610.03616877063</v>
      </c>
      <c r="M209" s="114">
        <f t="shared" si="16"/>
        <v>1</v>
      </c>
      <c r="N209" s="114">
        <f t="shared" si="17"/>
        <v>0</v>
      </c>
      <c r="Q209" s="320">
        <f t="shared" si="18"/>
        <v>19800</v>
      </c>
      <c r="R209" s="101">
        <v>1</v>
      </c>
      <c r="S209" s="101">
        <v>0</v>
      </c>
      <c r="T209" s="12"/>
      <c r="U209" s="210"/>
      <c r="V209" s="13"/>
      <c r="W209" s="13"/>
      <c r="X209" s="13"/>
      <c r="Y209" s="13"/>
      <c r="Z209" s="13"/>
      <c r="AA209" s="13"/>
      <c r="AB209" s="13"/>
      <c r="AC209" s="13"/>
      <c r="AD209" s="13"/>
      <c r="AE209" s="13"/>
    </row>
    <row r="210" spans="1:31" ht="21" x14ac:dyDescent="0.4">
      <c r="A210" s="210"/>
      <c r="B210" s="108">
        <v>200</v>
      </c>
      <c r="C210" s="297">
        <v>1797.7233070688003</v>
      </c>
      <c r="D210" s="297">
        <v>2555.5128266009347</v>
      </c>
      <c r="E210" s="297">
        <v>18.58195628554633</v>
      </c>
      <c r="F210" s="297">
        <v>14.082185584259607</v>
      </c>
      <c r="G210" s="322">
        <v>-757.78951953213436</v>
      </c>
      <c r="H210" s="322">
        <v>4.4997707012867227</v>
      </c>
      <c r="I210" s="322">
        <v>-168.40625219312668</v>
      </c>
      <c r="K210" s="223">
        <f t="shared" si="15"/>
        <v>1113119.653825711</v>
      </c>
      <c r="L210" s="223">
        <f t="shared" si="15"/>
        <v>842375.62222897552</v>
      </c>
      <c r="M210" s="114">
        <f t="shared" si="16"/>
        <v>1</v>
      </c>
      <c r="N210" s="114">
        <f t="shared" si="17"/>
        <v>0</v>
      </c>
      <c r="Q210" s="320">
        <f t="shared" si="18"/>
        <v>19900</v>
      </c>
      <c r="R210" s="101">
        <v>1</v>
      </c>
      <c r="S210" s="101">
        <v>0</v>
      </c>
      <c r="T210" s="12"/>
      <c r="U210" s="210"/>
      <c r="V210" s="13"/>
      <c r="W210" s="13"/>
      <c r="X210" s="13"/>
      <c r="Y210" s="13"/>
      <c r="Z210" s="13"/>
      <c r="AA210" s="13"/>
      <c r="AB210" s="13"/>
      <c r="AC210" s="13"/>
      <c r="AD210" s="13"/>
      <c r="AE210" s="13"/>
    </row>
    <row r="211" spans="1:31" ht="21" x14ac:dyDescent="0.4">
      <c r="A211" s="210"/>
      <c r="B211" s="108">
        <v>201</v>
      </c>
      <c r="C211" s="297">
        <v>2156.3698530996908</v>
      </c>
      <c r="D211" s="297">
        <v>3132.7759613699941</v>
      </c>
      <c r="E211" s="297">
        <v>17.933797172156829</v>
      </c>
      <c r="F211" s="297">
        <v>11.999630391282636</v>
      </c>
      <c r="G211" s="322">
        <v>-976.40610827030332</v>
      </c>
      <c r="H211" s="322">
        <v>5.9341667808741931</v>
      </c>
      <c r="I211" s="322">
        <v>-164.53971455896018</v>
      </c>
      <c r="K211" s="223">
        <f t="shared" si="15"/>
        <v>1073871.4604763102</v>
      </c>
      <c r="L211" s="223">
        <f t="shared" si="15"/>
        <v>716845.04751558823</v>
      </c>
      <c r="M211" s="114">
        <f t="shared" si="16"/>
        <v>1</v>
      </c>
      <c r="N211" s="114">
        <f t="shared" si="17"/>
        <v>0</v>
      </c>
      <c r="Q211" s="320">
        <f t="shared" si="18"/>
        <v>20000</v>
      </c>
      <c r="R211" s="101">
        <v>1</v>
      </c>
      <c r="S211" s="101">
        <v>0</v>
      </c>
      <c r="T211" s="12"/>
      <c r="U211" s="210"/>
      <c r="V211" s="13"/>
      <c r="W211" s="13"/>
      <c r="X211" s="13"/>
      <c r="Y211" s="13"/>
      <c r="Z211" s="13"/>
      <c r="AA211" s="13"/>
      <c r="AB211" s="13"/>
      <c r="AC211" s="13"/>
      <c r="AD211" s="13"/>
      <c r="AE211" s="13"/>
    </row>
    <row r="212" spans="1:31" ht="21" x14ac:dyDescent="0.4">
      <c r="A212" s="210"/>
      <c r="B212" s="108">
        <v>202</v>
      </c>
      <c r="C212" s="297">
        <v>2251.5143059946809</v>
      </c>
      <c r="D212" s="297">
        <v>2656.3311013020239</v>
      </c>
      <c r="E212" s="297">
        <v>18.205208802580302</v>
      </c>
      <c r="F212" s="297">
        <v>12.533237825002365</v>
      </c>
      <c r="G212" s="322">
        <v>-404.816795307343</v>
      </c>
      <c r="H212" s="322">
        <v>5.6719709775779368</v>
      </c>
      <c r="I212" s="322">
        <v>-71.371450401921692</v>
      </c>
      <c r="K212" s="223">
        <f t="shared" si="15"/>
        <v>1090061.0138488235</v>
      </c>
      <c r="L212" s="223">
        <f t="shared" si="15"/>
        <v>749337.93839883979</v>
      </c>
      <c r="M212" s="114">
        <f t="shared" si="16"/>
        <v>1</v>
      </c>
      <c r="N212" s="114">
        <f t="shared" si="17"/>
        <v>0</v>
      </c>
      <c r="Q212" s="320">
        <f t="shared" si="18"/>
        <v>20100</v>
      </c>
      <c r="R212" s="101">
        <v>1</v>
      </c>
      <c r="S212" s="101">
        <v>0</v>
      </c>
      <c r="T212" s="12"/>
      <c r="U212" s="210"/>
      <c r="V212" s="13"/>
      <c r="W212" s="13"/>
      <c r="X212" s="13"/>
      <c r="Y212" s="13"/>
      <c r="Z212" s="13"/>
      <c r="AA212" s="13"/>
      <c r="AB212" s="13"/>
      <c r="AC212" s="13"/>
      <c r="AD212" s="13"/>
      <c r="AE212" s="13"/>
    </row>
    <row r="213" spans="1:31" ht="21" x14ac:dyDescent="0.4">
      <c r="A213" s="210"/>
      <c r="B213" s="108">
        <v>203</v>
      </c>
      <c r="C213" s="297">
        <v>2216.6804372972779</v>
      </c>
      <c r="D213" s="297">
        <v>3623.4664485294998</v>
      </c>
      <c r="E213" s="297">
        <v>20.280597041027086</v>
      </c>
      <c r="F213" s="297">
        <v>14.780315414331653</v>
      </c>
      <c r="G213" s="322">
        <v>-1406.7860112322219</v>
      </c>
      <c r="H213" s="322">
        <v>5.5002816266954326</v>
      </c>
      <c r="I213" s="322">
        <v>-255.76617829974981</v>
      </c>
      <c r="K213" s="223">
        <f t="shared" si="15"/>
        <v>1214619.1420243278</v>
      </c>
      <c r="L213" s="223">
        <f t="shared" si="15"/>
        <v>883195.45841136971</v>
      </c>
      <c r="M213" s="114">
        <f t="shared" si="16"/>
        <v>1</v>
      </c>
      <c r="N213" s="114">
        <f t="shared" si="17"/>
        <v>0</v>
      </c>
      <c r="Q213" s="320">
        <f t="shared" si="18"/>
        <v>20200</v>
      </c>
      <c r="R213" s="101">
        <v>1</v>
      </c>
      <c r="S213" s="101">
        <v>0</v>
      </c>
      <c r="T213" s="12"/>
      <c r="U213" s="210"/>
      <c r="V213" s="13"/>
      <c r="W213" s="13"/>
      <c r="X213" s="13"/>
      <c r="Y213" s="13"/>
      <c r="Z213" s="13"/>
      <c r="AA213" s="13"/>
      <c r="AB213" s="13"/>
      <c r="AC213" s="13"/>
      <c r="AD213" s="13"/>
      <c r="AE213" s="13"/>
    </row>
    <row r="214" spans="1:31" ht="21" x14ac:dyDescent="0.4">
      <c r="A214" s="210"/>
      <c r="B214" s="108">
        <v>204</v>
      </c>
      <c r="C214" s="297">
        <v>1994.836808726996</v>
      </c>
      <c r="D214" s="297">
        <v>2707.0864884779417</v>
      </c>
      <c r="E214" s="297">
        <v>19.651751512882655</v>
      </c>
      <c r="F214" s="297">
        <v>14.426536016915598</v>
      </c>
      <c r="G214" s="322">
        <v>-712.24967975094569</v>
      </c>
      <c r="H214" s="322">
        <v>5.2252154959670563</v>
      </c>
      <c r="I214" s="322">
        <v>-136.31010631057737</v>
      </c>
      <c r="K214" s="223">
        <f t="shared" si="15"/>
        <v>1177110.2539642323</v>
      </c>
      <c r="L214" s="223">
        <f t="shared" si="15"/>
        <v>862885.07452645805</v>
      </c>
      <c r="M214" s="114">
        <f t="shared" si="16"/>
        <v>1</v>
      </c>
      <c r="N214" s="114">
        <f t="shared" si="17"/>
        <v>0</v>
      </c>
      <c r="Q214" s="320">
        <f t="shared" si="18"/>
        <v>20300</v>
      </c>
      <c r="R214" s="101">
        <v>1</v>
      </c>
      <c r="S214" s="101">
        <v>0</v>
      </c>
      <c r="T214" s="12"/>
      <c r="U214" s="210"/>
      <c r="V214" s="13"/>
      <c r="W214" s="13"/>
      <c r="X214" s="13"/>
      <c r="Y214" s="13"/>
      <c r="Z214" s="13"/>
      <c r="AA214" s="13"/>
      <c r="AB214" s="13"/>
      <c r="AC214" s="13"/>
      <c r="AD214" s="13"/>
      <c r="AE214" s="13"/>
    </row>
    <row r="215" spans="1:31" ht="21" x14ac:dyDescent="0.4">
      <c r="A215" s="210"/>
      <c r="B215" s="108">
        <v>205</v>
      </c>
      <c r="C215" s="297">
        <v>2151.4290856241173</v>
      </c>
      <c r="D215" s="297">
        <v>3316.5872413255051</v>
      </c>
      <c r="E215" s="297">
        <v>18.374937756274115</v>
      </c>
      <c r="F215" s="297">
        <v>13.043501922781541</v>
      </c>
      <c r="G215" s="322">
        <v>-1165.1581557013878</v>
      </c>
      <c r="H215" s="322">
        <v>5.3314358334925736</v>
      </c>
      <c r="I215" s="322">
        <v>-218.54490836816538</v>
      </c>
      <c r="K215" s="223">
        <f t="shared" si="15"/>
        <v>1100344.8362908226</v>
      </c>
      <c r="L215" s="223">
        <f t="shared" si="15"/>
        <v>779293.5281255669</v>
      </c>
      <c r="M215" s="114">
        <f t="shared" si="16"/>
        <v>1</v>
      </c>
      <c r="N215" s="114">
        <f t="shared" si="17"/>
        <v>0</v>
      </c>
      <c r="Q215" s="320">
        <f t="shared" si="18"/>
        <v>20400</v>
      </c>
      <c r="R215" s="101">
        <v>1</v>
      </c>
      <c r="S215" s="101">
        <v>0</v>
      </c>
      <c r="T215" s="12"/>
      <c r="U215" s="210"/>
      <c r="V215" s="13"/>
      <c r="W215" s="13"/>
      <c r="X215" s="13"/>
      <c r="Y215" s="13"/>
      <c r="Z215" s="13"/>
      <c r="AA215" s="13"/>
      <c r="AB215" s="13"/>
      <c r="AC215" s="13"/>
      <c r="AD215" s="13"/>
      <c r="AE215" s="13"/>
    </row>
    <row r="216" spans="1:31" ht="21" x14ac:dyDescent="0.4">
      <c r="A216" s="210"/>
      <c r="B216" s="108">
        <v>206</v>
      </c>
      <c r="C216" s="297">
        <v>2113.725822273409</v>
      </c>
      <c r="D216" s="297">
        <v>3110.1111082937887</v>
      </c>
      <c r="E216" s="297">
        <v>18.471907449953797</v>
      </c>
      <c r="F216" s="297">
        <v>13.789683375545911</v>
      </c>
      <c r="G216" s="322">
        <v>-996.38528602037968</v>
      </c>
      <c r="H216" s="322">
        <v>4.6822240744078858</v>
      </c>
      <c r="I216" s="322">
        <v>-212.80170922754965</v>
      </c>
      <c r="K216" s="223">
        <f t="shared" si="15"/>
        <v>1106200.7211749544</v>
      </c>
      <c r="L216" s="223">
        <f t="shared" si="15"/>
        <v>824270.89142446092</v>
      </c>
      <c r="M216" s="114">
        <f t="shared" si="16"/>
        <v>1</v>
      </c>
      <c r="N216" s="114">
        <f t="shared" si="17"/>
        <v>0</v>
      </c>
      <c r="Q216" s="320">
        <f t="shared" si="18"/>
        <v>20500</v>
      </c>
      <c r="R216" s="101">
        <v>1</v>
      </c>
      <c r="S216" s="101">
        <v>0</v>
      </c>
      <c r="T216" s="12"/>
      <c r="U216" s="210"/>
      <c r="V216" s="13"/>
      <c r="W216" s="13"/>
      <c r="X216" s="13"/>
      <c r="Y216" s="13"/>
      <c r="Z216" s="13"/>
      <c r="AA216" s="13"/>
      <c r="AB216" s="13"/>
      <c r="AC216" s="13"/>
      <c r="AD216" s="13"/>
      <c r="AE216" s="13"/>
    </row>
    <row r="217" spans="1:31" ht="21" x14ac:dyDescent="0.4">
      <c r="A217" s="210"/>
      <c r="B217" s="108">
        <v>207</v>
      </c>
      <c r="C217" s="297">
        <v>2205.9040169960799</v>
      </c>
      <c r="D217" s="297">
        <v>3090.5404413557235</v>
      </c>
      <c r="E217" s="297">
        <v>19.66370604999944</v>
      </c>
      <c r="F217" s="297">
        <v>14.221657918816311</v>
      </c>
      <c r="G217" s="322">
        <v>-884.63642435964357</v>
      </c>
      <c r="H217" s="322">
        <v>5.4420481311831299</v>
      </c>
      <c r="I217" s="322">
        <v>-162.55578837876226</v>
      </c>
      <c r="K217" s="223">
        <f t="shared" si="15"/>
        <v>1177616.4589829703</v>
      </c>
      <c r="L217" s="223">
        <f t="shared" si="15"/>
        <v>850208.93468762294</v>
      </c>
      <c r="M217" s="114">
        <f t="shared" si="16"/>
        <v>1</v>
      </c>
      <c r="N217" s="114">
        <f t="shared" si="17"/>
        <v>0</v>
      </c>
      <c r="Q217" s="320">
        <f t="shared" si="18"/>
        <v>20600</v>
      </c>
      <c r="R217" s="101">
        <v>1</v>
      </c>
      <c r="S217" s="101">
        <v>0</v>
      </c>
      <c r="T217" s="12"/>
      <c r="U217" s="210"/>
      <c r="V217" s="13"/>
      <c r="W217" s="13"/>
      <c r="X217" s="13"/>
      <c r="Y217" s="13"/>
      <c r="Z217" s="13"/>
      <c r="AA217" s="13"/>
      <c r="AB217" s="13"/>
      <c r="AC217" s="13"/>
      <c r="AD217" s="13"/>
      <c r="AE217" s="13"/>
    </row>
    <row r="218" spans="1:31" ht="21" x14ac:dyDescent="0.4">
      <c r="A218" s="210"/>
      <c r="B218" s="108">
        <v>208</v>
      </c>
      <c r="C218" s="297">
        <v>2313.0076135522704</v>
      </c>
      <c r="D218" s="297">
        <v>3171.1758186554325</v>
      </c>
      <c r="E218" s="297">
        <v>19.112134460904663</v>
      </c>
      <c r="F218" s="297">
        <v>14.86786910344032</v>
      </c>
      <c r="G218" s="322">
        <v>-858.16820510316211</v>
      </c>
      <c r="H218" s="322">
        <v>4.244265357464343</v>
      </c>
      <c r="I218" s="322">
        <v>-202.19475759071264</v>
      </c>
      <c r="K218" s="223">
        <f t="shared" si="15"/>
        <v>1144415.0600407275</v>
      </c>
      <c r="L218" s="223">
        <f t="shared" si="15"/>
        <v>888900.97038776381</v>
      </c>
      <c r="M218" s="114">
        <f t="shared" si="16"/>
        <v>1</v>
      </c>
      <c r="N218" s="114">
        <f t="shared" si="17"/>
        <v>0</v>
      </c>
      <c r="Q218" s="320">
        <f t="shared" si="18"/>
        <v>20700</v>
      </c>
      <c r="R218" s="101">
        <v>1</v>
      </c>
      <c r="S218" s="101">
        <v>0</v>
      </c>
      <c r="T218" s="12"/>
      <c r="U218" s="210"/>
      <c r="V218" s="13"/>
      <c r="W218" s="13"/>
      <c r="X218" s="13"/>
      <c r="Y218" s="13"/>
      <c r="Z218" s="13"/>
      <c r="AA218" s="13"/>
      <c r="AB218" s="13"/>
      <c r="AC218" s="13"/>
      <c r="AD218" s="13"/>
      <c r="AE218" s="13"/>
    </row>
    <row r="219" spans="1:31" ht="21" x14ac:dyDescent="0.4">
      <c r="A219" s="210"/>
      <c r="B219" s="108">
        <v>209</v>
      </c>
      <c r="C219" s="297">
        <v>2087.096504823237</v>
      </c>
      <c r="D219" s="297">
        <v>2856.2263492637867</v>
      </c>
      <c r="E219" s="297">
        <v>20.937075312050236</v>
      </c>
      <c r="F219" s="297">
        <v>15.085744261238915</v>
      </c>
      <c r="G219" s="322">
        <v>-769.12984444054973</v>
      </c>
      <c r="H219" s="322">
        <v>5.8513310508113214</v>
      </c>
      <c r="I219" s="322">
        <v>-131.44527933245297</v>
      </c>
      <c r="K219" s="223">
        <f t="shared" si="15"/>
        <v>1254137.422218191</v>
      </c>
      <c r="L219" s="223">
        <f t="shared" si="15"/>
        <v>902288.42932507105</v>
      </c>
      <c r="M219" s="114">
        <f t="shared" si="16"/>
        <v>1</v>
      </c>
      <c r="N219" s="114">
        <f t="shared" si="17"/>
        <v>0</v>
      </c>
      <c r="Q219" s="320">
        <f t="shared" si="18"/>
        <v>20800</v>
      </c>
      <c r="R219" s="101">
        <v>1</v>
      </c>
      <c r="S219" s="101">
        <v>0</v>
      </c>
      <c r="T219" s="12"/>
      <c r="U219" s="210"/>
      <c r="V219" s="13"/>
      <c r="W219" s="13"/>
      <c r="X219" s="13"/>
      <c r="Y219" s="13"/>
      <c r="Z219" s="13"/>
      <c r="AA219" s="13"/>
      <c r="AB219" s="13"/>
      <c r="AC219" s="13"/>
      <c r="AD219" s="13"/>
      <c r="AE219" s="13"/>
    </row>
    <row r="220" spans="1:31" ht="21" x14ac:dyDescent="0.4">
      <c r="A220" s="210"/>
      <c r="B220" s="108">
        <v>210</v>
      </c>
      <c r="C220" s="297">
        <v>2159.8290199683461</v>
      </c>
      <c r="D220" s="297">
        <v>2648.5820853590285</v>
      </c>
      <c r="E220" s="297">
        <v>19.826580443744032</v>
      </c>
      <c r="F220" s="297">
        <v>14.124303648173282</v>
      </c>
      <c r="G220" s="322">
        <v>-488.75306539068242</v>
      </c>
      <c r="H220" s="322">
        <v>5.7022767955707501</v>
      </c>
      <c r="I220" s="322">
        <v>-85.711915242403165</v>
      </c>
      <c r="K220" s="223">
        <f t="shared" si="15"/>
        <v>1187434.9976046735</v>
      </c>
      <c r="L220" s="223">
        <f t="shared" si="15"/>
        <v>844809.63680503785</v>
      </c>
      <c r="M220" s="114">
        <f t="shared" si="16"/>
        <v>1</v>
      </c>
      <c r="N220" s="114">
        <f t="shared" si="17"/>
        <v>0</v>
      </c>
      <c r="Q220" s="320">
        <f t="shared" si="18"/>
        <v>20900</v>
      </c>
      <c r="R220" s="101">
        <v>1</v>
      </c>
      <c r="S220" s="101">
        <v>0</v>
      </c>
      <c r="T220" s="12"/>
      <c r="U220" s="210"/>
      <c r="V220" s="13"/>
      <c r="W220" s="13"/>
      <c r="X220" s="13"/>
      <c r="Y220" s="13"/>
      <c r="Z220" s="13"/>
      <c r="AA220" s="13"/>
      <c r="AB220" s="13"/>
      <c r="AC220" s="13"/>
      <c r="AD220" s="13"/>
      <c r="AE220" s="13"/>
    </row>
    <row r="221" spans="1:31" ht="21" x14ac:dyDescent="0.4">
      <c r="A221" s="210"/>
      <c r="B221" s="108">
        <v>211</v>
      </c>
      <c r="C221" s="297">
        <v>2168.1603438414591</v>
      </c>
      <c r="D221" s="297">
        <v>2967.8544813323451</v>
      </c>
      <c r="E221" s="297">
        <v>20.142435834565028</v>
      </c>
      <c r="F221" s="297">
        <v>15.355412847434845</v>
      </c>
      <c r="G221" s="322">
        <v>-799.69413749088608</v>
      </c>
      <c r="H221" s="322">
        <v>4.7870229871301824</v>
      </c>
      <c r="I221" s="322">
        <v>-167.05458478909503</v>
      </c>
      <c r="K221" s="223">
        <f t="shared" si="15"/>
        <v>1206377.9897300603</v>
      </c>
      <c r="L221" s="223">
        <f t="shared" si="15"/>
        <v>918356.91636475839</v>
      </c>
      <c r="M221" s="114">
        <f t="shared" si="16"/>
        <v>1</v>
      </c>
      <c r="N221" s="114">
        <f t="shared" si="17"/>
        <v>0</v>
      </c>
      <c r="Q221" s="320">
        <f t="shared" si="18"/>
        <v>21000</v>
      </c>
      <c r="R221" s="101">
        <v>1</v>
      </c>
      <c r="S221" s="101">
        <v>0</v>
      </c>
      <c r="T221" s="12"/>
      <c r="U221" s="210"/>
      <c r="V221" s="13"/>
      <c r="W221" s="13"/>
      <c r="X221" s="13"/>
      <c r="Y221" s="13"/>
      <c r="Z221" s="13"/>
      <c r="AA221" s="13"/>
      <c r="AB221" s="13"/>
      <c r="AC221" s="13"/>
      <c r="AD221" s="13"/>
      <c r="AE221" s="13"/>
    </row>
    <row r="222" spans="1:31" ht="21" x14ac:dyDescent="0.4">
      <c r="A222" s="210"/>
      <c r="B222" s="108">
        <v>212</v>
      </c>
      <c r="C222" s="297">
        <v>2269.8533382645414</v>
      </c>
      <c r="D222" s="297">
        <v>3478.3489738636936</v>
      </c>
      <c r="E222" s="297">
        <v>14.608617844196598</v>
      </c>
      <c r="F222" s="297">
        <v>9.7714536587698717</v>
      </c>
      <c r="G222" s="322">
        <v>-1208.4956355991521</v>
      </c>
      <c r="H222" s="322">
        <v>4.837164185426726</v>
      </c>
      <c r="I222" s="322">
        <v>-249.83556258852536</v>
      </c>
      <c r="K222" s="223">
        <f t="shared" si="15"/>
        <v>874247.21731353132</v>
      </c>
      <c r="L222" s="223">
        <f t="shared" si="15"/>
        <v>582808.87055232865</v>
      </c>
      <c r="M222" s="114">
        <f t="shared" si="16"/>
        <v>1</v>
      </c>
      <c r="N222" s="114">
        <f t="shared" si="17"/>
        <v>0</v>
      </c>
      <c r="Q222" s="320">
        <f t="shared" si="18"/>
        <v>21100</v>
      </c>
      <c r="R222" s="101">
        <v>1</v>
      </c>
      <c r="S222" s="101">
        <v>0</v>
      </c>
      <c r="T222" s="12"/>
      <c r="U222" s="210"/>
      <c r="V222" s="13"/>
      <c r="W222" s="13"/>
      <c r="X222" s="13"/>
      <c r="Y222" s="13"/>
      <c r="Z222" s="13"/>
      <c r="AA222" s="13"/>
      <c r="AB222" s="13"/>
      <c r="AC222" s="13"/>
      <c r="AD222" s="13"/>
      <c r="AE222" s="13"/>
    </row>
    <row r="223" spans="1:31" ht="21" x14ac:dyDescent="0.4">
      <c r="A223" s="210"/>
      <c r="B223" s="108">
        <v>213</v>
      </c>
      <c r="C223" s="297">
        <v>1813.9670354592868</v>
      </c>
      <c r="D223" s="297">
        <v>2926.0940546674524</v>
      </c>
      <c r="E223" s="297">
        <v>19.435759407643317</v>
      </c>
      <c r="F223" s="297">
        <v>13.398914640241365</v>
      </c>
      <c r="G223" s="322">
        <v>-1112.1270192081656</v>
      </c>
      <c r="H223" s="322">
        <v>6.0368447674019521</v>
      </c>
      <c r="I223" s="322">
        <v>-184.22322621470792</v>
      </c>
      <c r="K223" s="223">
        <f t="shared" si="15"/>
        <v>1164331.5974231397</v>
      </c>
      <c r="L223" s="223">
        <f t="shared" si="15"/>
        <v>801008.78435981448</v>
      </c>
      <c r="M223" s="114">
        <f t="shared" si="16"/>
        <v>1</v>
      </c>
      <c r="N223" s="114">
        <f t="shared" si="17"/>
        <v>0</v>
      </c>
      <c r="Q223" s="320">
        <f t="shared" si="18"/>
        <v>21200</v>
      </c>
      <c r="R223" s="101">
        <v>1</v>
      </c>
      <c r="S223" s="101">
        <v>0</v>
      </c>
      <c r="T223" s="12"/>
      <c r="U223" s="210"/>
      <c r="V223" s="13"/>
      <c r="W223" s="13"/>
      <c r="X223" s="13"/>
      <c r="Y223" s="13"/>
      <c r="Z223" s="13"/>
      <c r="AA223" s="13"/>
      <c r="AB223" s="13"/>
      <c r="AC223" s="13"/>
      <c r="AD223" s="13"/>
      <c r="AE223" s="13"/>
    </row>
    <row r="224" spans="1:31" ht="21" x14ac:dyDescent="0.4">
      <c r="A224" s="210"/>
      <c r="B224" s="108">
        <v>214</v>
      </c>
      <c r="C224" s="297">
        <v>2151.9918638976001</v>
      </c>
      <c r="D224" s="297">
        <v>3375.8589366321157</v>
      </c>
      <c r="E224" s="297">
        <v>18.93516063828244</v>
      </c>
      <c r="F224" s="297">
        <v>13.671807116895833</v>
      </c>
      <c r="G224" s="322">
        <v>-1223.8670727345157</v>
      </c>
      <c r="H224" s="322">
        <v>5.2633535213866072</v>
      </c>
      <c r="I224" s="322">
        <v>-232.5261010421533</v>
      </c>
      <c r="K224" s="223">
        <f t="shared" si="15"/>
        <v>1133957.6464330489</v>
      </c>
      <c r="L224" s="223">
        <f t="shared" si="15"/>
        <v>816932.56807711779</v>
      </c>
      <c r="M224" s="114">
        <f t="shared" si="16"/>
        <v>1</v>
      </c>
      <c r="N224" s="114">
        <f t="shared" si="17"/>
        <v>0</v>
      </c>
      <c r="Q224" s="320">
        <f t="shared" si="18"/>
        <v>21300</v>
      </c>
      <c r="R224" s="101">
        <v>1</v>
      </c>
      <c r="S224" s="101">
        <v>0</v>
      </c>
      <c r="T224" s="12"/>
      <c r="U224" s="210"/>
      <c r="V224" s="13"/>
      <c r="W224" s="13"/>
      <c r="X224" s="13"/>
      <c r="Y224" s="13"/>
      <c r="Z224" s="13"/>
      <c r="AA224" s="13"/>
      <c r="AB224" s="13"/>
      <c r="AC224" s="13"/>
      <c r="AD224" s="13"/>
      <c r="AE224" s="13"/>
    </row>
    <row r="225" spans="1:31" ht="21" x14ac:dyDescent="0.4">
      <c r="A225" s="210"/>
      <c r="B225" s="108">
        <v>215</v>
      </c>
      <c r="C225" s="297">
        <v>1957.341326591747</v>
      </c>
      <c r="D225" s="297">
        <v>2683.5944372992026</v>
      </c>
      <c r="E225" s="297">
        <v>19.979893456321832</v>
      </c>
      <c r="F225" s="297">
        <v>14.929132018838116</v>
      </c>
      <c r="G225" s="322">
        <v>-726.25311070745556</v>
      </c>
      <c r="H225" s="322">
        <v>5.0507614374837164</v>
      </c>
      <c r="I225" s="322">
        <v>-143.7908164336651</v>
      </c>
      <c r="K225" s="223">
        <f t="shared" si="15"/>
        <v>1196836.266052718</v>
      </c>
      <c r="L225" s="223">
        <f t="shared" si="15"/>
        <v>893064.32669298782</v>
      </c>
      <c r="M225" s="114">
        <f t="shared" si="16"/>
        <v>1</v>
      </c>
      <c r="N225" s="114">
        <f t="shared" si="17"/>
        <v>0</v>
      </c>
      <c r="Q225" s="320">
        <f t="shared" si="18"/>
        <v>21400</v>
      </c>
      <c r="R225" s="101">
        <v>1</v>
      </c>
      <c r="S225" s="101">
        <v>0</v>
      </c>
      <c r="T225" s="12"/>
      <c r="U225" s="210"/>
      <c r="V225" s="13"/>
      <c r="W225" s="13"/>
      <c r="X225" s="13"/>
      <c r="Y225" s="13"/>
      <c r="Z225" s="13"/>
      <c r="AA225" s="13"/>
      <c r="AB225" s="13"/>
      <c r="AC225" s="13"/>
      <c r="AD225" s="13"/>
      <c r="AE225" s="13"/>
    </row>
    <row r="226" spans="1:31" ht="21" x14ac:dyDescent="0.4">
      <c r="A226" s="210"/>
      <c r="B226" s="108">
        <v>216</v>
      </c>
      <c r="C226" s="297">
        <v>2070.603508288315</v>
      </c>
      <c r="D226" s="297">
        <v>3334.9663523610488</v>
      </c>
      <c r="E226" s="297">
        <v>18.73632902018679</v>
      </c>
      <c r="F226" s="297">
        <v>12.848596633184028</v>
      </c>
      <c r="G226" s="322">
        <v>-1264.3628440727339</v>
      </c>
      <c r="H226" s="322">
        <v>5.887732387002762</v>
      </c>
      <c r="I226" s="322">
        <v>-214.74529767416564</v>
      </c>
      <c r="K226" s="223">
        <f t="shared" si="15"/>
        <v>1122109.1377029191</v>
      </c>
      <c r="L226" s="223">
        <f t="shared" si="15"/>
        <v>767580.83163868065</v>
      </c>
      <c r="M226" s="114">
        <f t="shared" si="16"/>
        <v>1</v>
      </c>
      <c r="N226" s="114">
        <f t="shared" si="17"/>
        <v>0</v>
      </c>
      <c r="Q226" s="320">
        <f t="shared" si="18"/>
        <v>21500</v>
      </c>
      <c r="R226" s="101">
        <v>1</v>
      </c>
      <c r="S226" s="101">
        <v>0</v>
      </c>
      <c r="T226" s="12"/>
      <c r="U226" s="210"/>
      <c r="V226" s="13"/>
      <c r="W226" s="13"/>
      <c r="X226" s="13"/>
      <c r="Y226" s="13"/>
      <c r="Z226" s="13"/>
      <c r="AA226" s="13"/>
      <c r="AB226" s="13"/>
      <c r="AC226" s="13"/>
      <c r="AD226" s="13"/>
      <c r="AE226" s="13"/>
    </row>
    <row r="227" spans="1:31" ht="21" x14ac:dyDescent="0.4">
      <c r="A227" s="210"/>
      <c r="B227" s="108">
        <v>217</v>
      </c>
      <c r="C227" s="297">
        <v>2290.4564527715265</v>
      </c>
      <c r="D227" s="297">
        <v>3329.1258236407293</v>
      </c>
      <c r="E227" s="297">
        <v>18.588204745825898</v>
      </c>
      <c r="F227" s="297">
        <v>13.393388660954276</v>
      </c>
      <c r="G227" s="322">
        <v>-1038.6693708692028</v>
      </c>
      <c r="H227" s="322">
        <v>5.1948160848716221</v>
      </c>
      <c r="I227" s="322">
        <v>-199.94343474334397</v>
      </c>
      <c r="K227" s="223">
        <f t="shared" si="15"/>
        <v>1113001.8282967822</v>
      </c>
      <c r="L227" s="223">
        <f t="shared" si="15"/>
        <v>800274.19383361586</v>
      </c>
      <c r="M227" s="114">
        <f t="shared" si="16"/>
        <v>1</v>
      </c>
      <c r="N227" s="114">
        <f t="shared" si="17"/>
        <v>0</v>
      </c>
      <c r="Q227" s="320">
        <f t="shared" si="18"/>
        <v>21600</v>
      </c>
      <c r="R227" s="101">
        <v>1</v>
      </c>
      <c r="S227" s="101">
        <v>0</v>
      </c>
      <c r="T227" s="12"/>
      <c r="U227" s="210"/>
      <c r="V227" s="13"/>
      <c r="W227" s="13"/>
      <c r="X227" s="13"/>
      <c r="Y227" s="13"/>
      <c r="Z227" s="13"/>
      <c r="AA227" s="13"/>
      <c r="AB227" s="13"/>
      <c r="AC227" s="13"/>
      <c r="AD227" s="13"/>
      <c r="AE227" s="13"/>
    </row>
    <row r="228" spans="1:31" ht="21" x14ac:dyDescent="0.4">
      <c r="A228" s="210"/>
      <c r="B228" s="108">
        <v>218</v>
      </c>
      <c r="C228" s="297">
        <v>2342.3787708321597</v>
      </c>
      <c r="D228" s="297">
        <v>3223.8920032185169</v>
      </c>
      <c r="E228" s="297">
        <v>20.031235729489811</v>
      </c>
      <c r="F228" s="297">
        <v>14.066782803789788</v>
      </c>
      <c r="G228" s="322">
        <v>-881.51323238635723</v>
      </c>
      <c r="H228" s="322">
        <v>5.9644529257000229</v>
      </c>
      <c r="I228" s="322">
        <v>-147.79448230499659</v>
      </c>
      <c r="K228" s="223">
        <f t="shared" si="15"/>
        <v>1199531.7649985566</v>
      </c>
      <c r="L228" s="223">
        <f t="shared" si="15"/>
        <v>840783.07622416876</v>
      </c>
      <c r="M228" s="114">
        <f t="shared" si="16"/>
        <v>1</v>
      </c>
      <c r="N228" s="114">
        <f t="shared" si="17"/>
        <v>0</v>
      </c>
      <c r="Q228" s="320">
        <f t="shared" si="18"/>
        <v>21700</v>
      </c>
      <c r="R228" s="101">
        <v>1</v>
      </c>
      <c r="S228" s="101">
        <v>0</v>
      </c>
      <c r="T228" s="12"/>
      <c r="U228" s="210"/>
      <c r="V228" s="13"/>
      <c r="W228" s="13"/>
      <c r="X228" s="13"/>
      <c r="Y228" s="13"/>
      <c r="Z228" s="13"/>
      <c r="AA228" s="13"/>
      <c r="AB228" s="13"/>
      <c r="AC228" s="13"/>
      <c r="AD228" s="13"/>
      <c r="AE228" s="13"/>
    </row>
    <row r="229" spans="1:31" ht="21" x14ac:dyDescent="0.4">
      <c r="A229" s="210"/>
      <c r="B229" s="108">
        <v>219</v>
      </c>
      <c r="C229" s="297">
        <v>2208.8660330573148</v>
      </c>
      <c r="D229" s="297">
        <v>3187.2956166169924</v>
      </c>
      <c r="E229" s="297">
        <v>19.490038558905077</v>
      </c>
      <c r="F229" s="297">
        <v>14.279851926442559</v>
      </c>
      <c r="G229" s="322">
        <v>-978.42958355967767</v>
      </c>
      <c r="H229" s="322">
        <v>5.2101866324625181</v>
      </c>
      <c r="I229" s="322">
        <v>-187.7916574933204</v>
      </c>
      <c r="K229" s="223">
        <f t="shared" si="15"/>
        <v>1167193.4475012475</v>
      </c>
      <c r="L229" s="223">
        <f t="shared" si="15"/>
        <v>853603.81996993662</v>
      </c>
      <c r="M229" s="114">
        <f t="shared" si="16"/>
        <v>1</v>
      </c>
      <c r="N229" s="114">
        <f t="shared" si="17"/>
        <v>0</v>
      </c>
      <c r="Q229" s="320">
        <f t="shared" si="18"/>
        <v>21800</v>
      </c>
      <c r="R229" s="101">
        <v>1</v>
      </c>
      <c r="S229" s="101">
        <v>0</v>
      </c>
      <c r="T229" s="12"/>
      <c r="U229" s="210"/>
      <c r="V229" s="13"/>
      <c r="W229" s="13"/>
      <c r="X229" s="13"/>
      <c r="Y229" s="13"/>
      <c r="Z229" s="13"/>
      <c r="AA229" s="13"/>
      <c r="AB229" s="13"/>
      <c r="AC229" s="13"/>
      <c r="AD229" s="13"/>
      <c r="AE229" s="13"/>
    </row>
    <row r="230" spans="1:31" ht="21" x14ac:dyDescent="0.4">
      <c r="A230" s="210"/>
      <c r="B230" s="108">
        <v>220</v>
      </c>
      <c r="C230" s="297">
        <v>2198.7283410256987</v>
      </c>
      <c r="D230" s="297">
        <v>2978.4329931266911</v>
      </c>
      <c r="E230" s="297">
        <v>19.981820398190706</v>
      </c>
      <c r="F230" s="297">
        <v>14.885227395980809</v>
      </c>
      <c r="G230" s="322">
        <v>-779.70465210099246</v>
      </c>
      <c r="H230" s="322">
        <v>5.0965930022098966</v>
      </c>
      <c r="I230" s="322">
        <v>-152.98546534182941</v>
      </c>
      <c r="K230" s="223">
        <f t="shared" si="15"/>
        <v>1196710.4955504166</v>
      </c>
      <c r="L230" s="223">
        <f t="shared" si="15"/>
        <v>890135.21076572186</v>
      </c>
      <c r="M230" s="114">
        <f t="shared" si="16"/>
        <v>1</v>
      </c>
      <c r="N230" s="114">
        <f t="shared" si="17"/>
        <v>0</v>
      </c>
      <c r="Q230" s="320">
        <f t="shared" si="18"/>
        <v>21900</v>
      </c>
      <c r="R230" s="101">
        <v>1</v>
      </c>
      <c r="S230" s="101">
        <v>0</v>
      </c>
      <c r="T230" s="12"/>
      <c r="U230" s="210"/>
      <c r="V230" s="13"/>
      <c r="W230" s="13"/>
      <c r="X230" s="13"/>
      <c r="Y230" s="13"/>
      <c r="Z230" s="13"/>
      <c r="AA230" s="13"/>
      <c r="AB230" s="13"/>
      <c r="AC230" s="13"/>
      <c r="AD230" s="13"/>
      <c r="AE230" s="13"/>
    </row>
    <row r="231" spans="1:31" ht="21" x14ac:dyDescent="0.4">
      <c r="A231" s="210"/>
      <c r="B231" s="108">
        <v>221</v>
      </c>
      <c r="C231" s="297">
        <v>2197.3741634067151</v>
      </c>
      <c r="D231" s="297">
        <v>2956.8265691186307</v>
      </c>
      <c r="E231" s="297">
        <v>19.072213440808099</v>
      </c>
      <c r="F231" s="297">
        <v>13.507071108549468</v>
      </c>
      <c r="G231" s="322">
        <v>-759.45240571191562</v>
      </c>
      <c r="H231" s="322">
        <v>5.5651423322586311</v>
      </c>
      <c r="I231" s="322">
        <v>-136.46594469106586</v>
      </c>
      <c r="K231" s="223">
        <f t="shared" si="15"/>
        <v>1142135.4322850793</v>
      </c>
      <c r="L231" s="223">
        <f t="shared" si="15"/>
        <v>807467.43994384946</v>
      </c>
      <c r="M231" s="114">
        <f t="shared" si="16"/>
        <v>1</v>
      </c>
      <c r="N231" s="114">
        <f t="shared" si="17"/>
        <v>0</v>
      </c>
      <c r="Q231" s="320">
        <f t="shared" si="18"/>
        <v>22000</v>
      </c>
      <c r="R231" s="101">
        <v>1</v>
      </c>
      <c r="S231" s="101">
        <v>0</v>
      </c>
      <c r="T231" s="12"/>
      <c r="U231" s="210"/>
      <c r="V231" s="13"/>
      <c r="W231" s="13"/>
      <c r="X231" s="13"/>
      <c r="Y231" s="13"/>
      <c r="Z231" s="13"/>
      <c r="AA231" s="13"/>
      <c r="AB231" s="13"/>
      <c r="AC231" s="13"/>
      <c r="AD231" s="13"/>
      <c r="AE231" s="13"/>
    </row>
    <row r="232" spans="1:31" ht="21" x14ac:dyDescent="0.4">
      <c r="A232" s="210"/>
      <c r="B232" s="108">
        <v>222</v>
      </c>
      <c r="C232" s="297">
        <v>2041.65392307005</v>
      </c>
      <c r="D232" s="297">
        <v>2842.6531162630185</v>
      </c>
      <c r="E232" s="297">
        <v>18.569153434256979</v>
      </c>
      <c r="F232" s="297">
        <v>13.080094143122182</v>
      </c>
      <c r="G232" s="322">
        <v>-800.99919319296851</v>
      </c>
      <c r="H232" s="322">
        <v>5.4890592911347973</v>
      </c>
      <c r="I232" s="322">
        <v>-145.92649682007197</v>
      </c>
      <c r="K232" s="223">
        <f t="shared" si="15"/>
        <v>1112107.5521323488</v>
      </c>
      <c r="L232" s="223">
        <f t="shared" si="15"/>
        <v>781962.99547106796</v>
      </c>
      <c r="M232" s="114">
        <f t="shared" si="16"/>
        <v>1</v>
      </c>
      <c r="N232" s="114">
        <f t="shared" si="17"/>
        <v>0</v>
      </c>
      <c r="Q232" s="320">
        <f t="shared" si="18"/>
        <v>22100</v>
      </c>
      <c r="R232" s="101">
        <v>1</v>
      </c>
      <c r="S232" s="101">
        <v>0</v>
      </c>
      <c r="T232" s="12"/>
      <c r="U232" s="210"/>
      <c r="V232" s="13"/>
      <c r="W232" s="13"/>
      <c r="X232" s="13"/>
      <c r="Y232" s="13"/>
      <c r="Z232" s="13"/>
      <c r="AA232" s="13"/>
      <c r="AB232" s="13"/>
      <c r="AC232" s="13"/>
      <c r="AD232" s="13"/>
      <c r="AE232" s="13"/>
    </row>
    <row r="233" spans="1:31" ht="21" x14ac:dyDescent="0.4">
      <c r="A233" s="210"/>
      <c r="B233" s="108">
        <v>223</v>
      </c>
      <c r="C233" s="297">
        <v>2168.1848921630535</v>
      </c>
      <c r="D233" s="297">
        <v>3141.0601194559031</v>
      </c>
      <c r="E233" s="297">
        <v>18.621919629438562</v>
      </c>
      <c r="F233" s="297">
        <v>13.17627229762326</v>
      </c>
      <c r="G233" s="322">
        <v>-972.87522729284956</v>
      </c>
      <c r="H233" s="322">
        <v>5.4456473318153016</v>
      </c>
      <c r="I233" s="322">
        <v>-178.65189719668138</v>
      </c>
      <c r="K233" s="223">
        <f t="shared" si="15"/>
        <v>1115146.9928741506</v>
      </c>
      <c r="L233" s="223">
        <f t="shared" si="15"/>
        <v>787435.27773793973</v>
      </c>
      <c r="M233" s="114">
        <f t="shared" si="16"/>
        <v>1</v>
      </c>
      <c r="N233" s="114">
        <f t="shared" si="17"/>
        <v>0</v>
      </c>
      <c r="Q233" s="320">
        <f t="shared" si="18"/>
        <v>22200</v>
      </c>
      <c r="R233" s="101">
        <v>1</v>
      </c>
      <c r="S233" s="101">
        <v>0</v>
      </c>
      <c r="T233" s="12"/>
      <c r="U233" s="210"/>
      <c r="V233" s="13"/>
      <c r="W233" s="13"/>
      <c r="X233" s="13"/>
      <c r="Y233" s="13"/>
      <c r="Z233" s="13"/>
      <c r="AA233" s="13"/>
      <c r="AB233" s="13"/>
      <c r="AC233" s="13"/>
      <c r="AD233" s="13"/>
      <c r="AE233" s="13"/>
    </row>
    <row r="234" spans="1:31" ht="21" x14ac:dyDescent="0.4">
      <c r="A234" s="210"/>
      <c r="B234" s="108">
        <v>224</v>
      </c>
      <c r="C234" s="297">
        <v>2045.2347092142234</v>
      </c>
      <c r="D234" s="297">
        <v>3252.952391512149</v>
      </c>
      <c r="E234" s="297">
        <v>17.75875800284026</v>
      </c>
      <c r="F234" s="297">
        <v>12.379753174534031</v>
      </c>
      <c r="G234" s="322">
        <v>-1207.7176822979256</v>
      </c>
      <c r="H234" s="322">
        <v>5.3790048283062291</v>
      </c>
      <c r="I234" s="322">
        <v>-224.52437223006146</v>
      </c>
      <c r="K234" s="223">
        <f t="shared" si="15"/>
        <v>1063480.2454612013</v>
      </c>
      <c r="L234" s="223">
        <f t="shared" si="15"/>
        <v>739532.23808052973</v>
      </c>
      <c r="M234" s="114">
        <f t="shared" si="16"/>
        <v>1</v>
      </c>
      <c r="N234" s="114">
        <f t="shared" si="17"/>
        <v>0</v>
      </c>
      <c r="Q234" s="320">
        <f t="shared" si="18"/>
        <v>22300</v>
      </c>
      <c r="R234" s="101">
        <v>1</v>
      </c>
      <c r="S234" s="101">
        <v>0</v>
      </c>
      <c r="T234" s="12"/>
      <c r="U234" s="210"/>
      <c r="V234" s="13"/>
      <c r="W234" s="13"/>
      <c r="X234" s="13"/>
      <c r="Y234" s="13"/>
      <c r="Z234" s="13"/>
      <c r="AA234" s="13"/>
      <c r="AB234" s="13"/>
      <c r="AC234" s="13"/>
      <c r="AD234" s="13"/>
      <c r="AE234" s="13"/>
    </row>
    <row r="235" spans="1:31" ht="21" x14ac:dyDescent="0.4">
      <c r="A235" s="210"/>
      <c r="B235" s="108">
        <v>225</v>
      </c>
      <c r="C235" s="297">
        <v>2200.8198148953752</v>
      </c>
      <c r="D235" s="297">
        <v>3008.5886156254551</v>
      </c>
      <c r="E235" s="297">
        <v>17.726175176951706</v>
      </c>
      <c r="F235" s="297">
        <v>13.094291340065958</v>
      </c>
      <c r="G235" s="322">
        <v>-807.76880073007987</v>
      </c>
      <c r="H235" s="322">
        <v>4.6318838368857485</v>
      </c>
      <c r="I235" s="322">
        <v>-174.39314740526481</v>
      </c>
      <c r="K235" s="223">
        <f t="shared" si="15"/>
        <v>1061369.690802207</v>
      </c>
      <c r="L235" s="223">
        <f t="shared" si="15"/>
        <v>782648.89178833202</v>
      </c>
      <c r="M235" s="114">
        <f t="shared" si="16"/>
        <v>1</v>
      </c>
      <c r="N235" s="114">
        <f t="shared" si="17"/>
        <v>0</v>
      </c>
      <c r="Q235" s="320">
        <f t="shared" si="18"/>
        <v>22400</v>
      </c>
      <c r="R235" s="101">
        <v>1</v>
      </c>
      <c r="S235" s="101">
        <v>0</v>
      </c>
      <c r="T235" s="12"/>
      <c r="U235" s="210"/>
      <c r="V235" s="13"/>
      <c r="W235" s="13"/>
      <c r="X235" s="13"/>
      <c r="Y235" s="13"/>
      <c r="Z235" s="13"/>
      <c r="AA235" s="13"/>
      <c r="AB235" s="13"/>
      <c r="AC235" s="13"/>
      <c r="AD235" s="13"/>
      <c r="AE235" s="13"/>
    </row>
    <row r="236" spans="1:31" ht="21" x14ac:dyDescent="0.4">
      <c r="A236" s="210"/>
      <c r="B236" s="108">
        <v>226</v>
      </c>
      <c r="C236" s="297">
        <v>2130.8473909273507</v>
      </c>
      <c r="D236" s="297">
        <v>2887.939480911708</v>
      </c>
      <c r="E236" s="297">
        <v>20.548093978693114</v>
      </c>
      <c r="F236" s="297">
        <v>15.370219723510264</v>
      </c>
      <c r="G236" s="322">
        <v>-757.09208998435724</v>
      </c>
      <c r="H236" s="322">
        <v>5.17787425518285</v>
      </c>
      <c r="I236" s="322">
        <v>-146.21677790389322</v>
      </c>
      <c r="K236" s="223">
        <f t="shared" si="15"/>
        <v>1230754.7913306595</v>
      </c>
      <c r="L236" s="223">
        <f t="shared" si="15"/>
        <v>919325.24392970407</v>
      </c>
      <c r="M236" s="114">
        <f t="shared" si="16"/>
        <v>1</v>
      </c>
      <c r="N236" s="114">
        <f t="shared" si="17"/>
        <v>0</v>
      </c>
      <c r="Q236" s="320">
        <f t="shared" si="18"/>
        <v>22500</v>
      </c>
      <c r="R236" s="101">
        <v>1</v>
      </c>
      <c r="S236" s="101">
        <v>0</v>
      </c>
      <c r="T236" s="12"/>
      <c r="U236" s="210"/>
      <c r="V236" s="13"/>
      <c r="W236" s="13"/>
      <c r="X236" s="13"/>
      <c r="Y236" s="13"/>
      <c r="Z236" s="13"/>
      <c r="AA236" s="13"/>
      <c r="AB236" s="13"/>
      <c r="AC236" s="13"/>
      <c r="AD236" s="13"/>
      <c r="AE236" s="13"/>
    </row>
    <row r="237" spans="1:31" ht="21" x14ac:dyDescent="0.4">
      <c r="A237" s="210"/>
      <c r="B237" s="108">
        <v>227</v>
      </c>
      <c r="C237" s="297">
        <v>1797.7137313587107</v>
      </c>
      <c r="D237" s="297">
        <v>2979.933029271293</v>
      </c>
      <c r="E237" s="297">
        <v>19.574033524227893</v>
      </c>
      <c r="F237" s="297">
        <v>15.405118613728996</v>
      </c>
      <c r="G237" s="322">
        <v>-1182.2192979125823</v>
      </c>
      <c r="H237" s="322">
        <v>4.1689149104988967</v>
      </c>
      <c r="I237" s="322">
        <v>-283.57961802849684</v>
      </c>
      <c r="K237" s="223">
        <f t="shared" si="15"/>
        <v>1172644.2977223147</v>
      </c>
      <c r="L237" s="223">
        <f t="shared" si="15"/>
        <v>921327.18379446852</v>
      </c>
      <c r="M237" s="114">
        <f t="shared" si="16"/>
        <v>1</v>
      </c>
      <c r="N237" s="114">
        <f t="shared" si="17"/>
        <v>0</v>
      </c>
      <c r="Q237" s="320">
        <f t="shared" si="18"/>
        <v>22600</v>
      </c>
      <c r="R237" s="101">
        <v>1</v>
      </c>
      <c r="S237" s="101">
        <v>0</v>
      </c>
      <c r="T237" s="12"/>
      <c r="U237" s="210"/>
      <c r="V237" s="13"/>
      <c r="W237" s="13"/>
      <c r="X237" s="13"/>
      <c r="Y237" s="13"/>
      <c r="Z237" s="13"/>
      <c r="AA237" s="13"/>
      <c r="AB237" s="13"/>
      <c r="AC237" s="13"/>
      <c r="AD237" s="13"/>
      <c r="AE237" s="13"/>
    </row>
    <row r="238" spans="1:31" ht="21" x14ac:dyDescent="0.4">
      <c r="A238" s="210"/>
      <c r="B238" s="108">
        <v>228</v>
      </c>
      <c r="C238" s="297">
        <v>2182.7075658279259</v>
      </c>
      <c r="D238" s="297">
        <v>3671.3423901716992</v>
      </c>
      <c r="E238" s="297">
        <v>21.165338722918321</v>
      </c>
      <c r="F238" s="297">
        <v>15.441349750803628</v>
      </c>
      <c r="G238" s="322">
        <v>-1488.6348243437733</v>
      </c>
      <c r="H238" s="322">
        <v>5.723988972114693</v>
      </c>
      <c r="I238" s="322">
        <v>-260.06947805034054</v>
      </c>
      <c r="K238" s="223">
        <f t="shared" si="15"/>
        <v>1267737.6158092713</v>
      </c>
      <c r="L238" s="223">
        <f t="shared" si="15"/>
        <v>922809.64265804598</v>
      </c>
      <c r="M238" s="114">
        <f t="shared" si="16"/>
        <v>1</v>
      </c>
      <c r="N238" s="114">
        <f t="shared" si="17"/>
        <v>0</v>
      </c>
      <c r="Q238" s="320">
        <f t="shared" si="18"/>
        <v>22700</v>
      </c>
      <c r="R238" s="101">
        <v>1</v>
      </c>
      <c r="S238" s="101">
        <v>0</v>
      </c>
      <c r="T238" s="12"/>
      <c r="U238" s="210"/>
      <c r="V238" s="13"/>
      <c r="W238" s="13"/>
      <c r="X238" s="13"/>
      <c r="Y238" s="13"/>
      <c r="Z238" s="13"/>
      <c r="AA238" s="13"/>
      <c r="AB238" s="13"/>
      <c r="AC238" s="13"/>
      <c r="AD238" s="13"/>
      <c r="AE238" s="13"/>
    </row>
    <row r="239" spans="1:31" ht="21" x14ac:dyDescent="0.4">
      <c r="A239" s="210"/>
      <c r="B239" s="108">
        <v>229</v>
      </c>
      <c r="C239" s="297">
        <v>2026.9689656725016</v>
      </c>
      <c r="D239" s="297">
        <v>2967.5968941266897</v>
      </c>
      <c r="E239" s="297">
        <v>17.925727316431658</v>
      </c>
      <c r="F239" s="297">
        <v>14.366699144520213</v>
      </c>
      <c r="G239" s="322">
        <v>-940.62792845418812</v>
      </c>
      <c r="H239" s="322">
        <v>3.5590281719114447</v>
      </c>
      <c r="I239" s="322">
        <v>-264.29347648265616</v>
      </c>
      <c r="K239" s="223">
        <f t="shared" si="15"/>
        <v>1073516.6700202271</v>
      </c>
      <c r="L239" s="223">
        <f t="shared" si="15"/>
        <v>859034.35177708603</v>
      </c>
      <c r="M239" s="114">
        <f t="shared" si="16"/>
        <v>1</v>
      </c>
      <c r="N239" s="114">
        <f t="shared" si="17"/>
        <v>0</v>
      </c>
      <c r="Q239" s="320">
        <f t="shared" si="18"/>
        <v>22800</v>
      </c>
      <c r="R239" s="101">
        <v>1</v>
      </c>
      <c r="S239" s="101">
        <v>0</v>
      </c>
      <c r="T239" s="12"/>
      <c r="U239" s="210"/>
      <c r="V239" s="13"/>
      <c r="W239" s="13"/>
      <c r="X239" s="13"/>
      <c r="Y239" s="13"/>
      <c r="Z239" s="13"/>
      <c r="AA239" s="13"/>
      <c r="AB239" s="13"/>
      <c r="AC239" s="13"/>
      <c r="AD239" s="13"/>
      <c r="AE239" s="13"/>
    </row>
    <row r="240" spans="1:31" ht="21" x14ac:dyDescent="0.4">
      <c r="A240" s="210"/>
      <c r="B240" s="108">
        <v>230</v>
      </c>
      <c r="C240" s="297">
        <v>2278.4061734435736</v>
      </c>
      <c r="D240" s="297">
        <v>2846.4080012327508</v>
      </c>
      <c r="E240" s="297">
        <v>18.413249815567994</v>
      </c>
      <c r="F240" s="297">
        <v>13.336806608999394</v>
      </c>
      <c r="G240" s="322">
        <v>-568.00182778917724</v>
      </c>
      <c r="H240" s="322">
        <v>5.0764432065685998</v>
      </c>
      <c r="I240" s="322">
        <v>-111.88972370541217</v>
      </c>
      <c r="K240" s="223">
        <f t="shared" si="15"/>
        <v>1102516.582760636</v>
      </c>
      <c r="L240" s="223">
        <f t="shared" si="15"/>
        <v>797361.98853873089</v>
      </c>
      <c r="M240" s="114">
        <f t="shared" si="16"/>
        <v>1</v>
      </c>
      <c r="N240" s="114">
        <f t="shared" si="17"/>
        <v>0</v>
      </c>
      <c r="Q240" s="320">
        <f t="shared" si="18"/>
        <v>22900</v>
      </c>
      <c r="R240" s="101">
        <v>1</v>
      </c>
      <c r="S240" s="101">
        <v>0</v>
      </c>
      <c r="T240" s="12"/>
      <c r="U240" s="210"/>
      <c r="V240" s="13"/>
      <c r="W240" s="13"/>
      <c r="X240" s="13"/>
      <c r="Y240" s="13"/>
      <c r="Z240" s="13"/>
      <c r="AA240" s="13"/>
      <c r="AB240" s="13"/>
      <c r="AC240" s="13"/>
      <c r="AD240" s="13"/>
      <c r="AE240" s="13"/>
    </row>
    <row r="241" spans="1:31" ht="21" x14ac:dyDescent="0.4">
      <c r="A241" s="210"/>
      <c r="B241" s="108">
        <v>231</v>
      </c>
      <c r="C241" s="297">
        <v>1864.1401162603399</v>
      </c>
      <c r="D241" s="297">
        <v>3343.8325223810934</v>
      </c>
      <c r="E241" s="297">
        <v>17.873564768387272</v>
      </c>
      <c r="F241" s="297">
        <v>13.245935316103012</v>
      </c>
      <c r="G241" s="322">
        <v>-1479.6924061207535</v>
      </c>
      <c r="H241" s="322">
        <v>4.6276294522842605</v>
      </c>
      <c r="I241" s="322">
        <v>-319.7517047071168</v>
      </c>
      <c r="K241" s="223">
        <f t="shared" si="15"/>
        <v>1070549.745986976</v>
      </c>
      <c r="L241" s="223">
        <f t="shared" si="15"/>
        <v>791412.28644379962</v>
      </c>
      <c r="M241" s="114">
        <f t="shared" si="16"/>
        <v>1</v>
      </c>
      <c r="N241" s="114">
        <f t="shared" si="17"/>
        <v>0</v>
      </c>
      <c r="Q241" s="320">
        <f t="shared" si="18"/>
        <v>23000</v>
      </c>
      <c r="R241" s="101">
        <v>1</v>
      </c>
      <c r="S241" s="101">
        <v>0</v>
      </c>
      <c r="T241" s="12"/>
      <c r="U241" s="210"/>
      <c r="V241" s="13"/>
      <c r="W241" s="13"/>
      <c r="X241" s="13"/>
      <c r="Y241" s="13"/>
      <c r="Z241" s="13"/>
      <c r="AA241" s="13"/>
      <c r="AB241" s="13"/>
      <c r="AC241" s="13"/>
      <c r="AD241" s="13"/>
      <c r="AE241" s="13"/>
    </row>
    <row r="242" spans="1:31" ht="21" x14ac:dyDescent="0.4">
      <c r="A242" s="210"/>
      <c r="B242" s="108">
        <v>232</v>
      </c>
      <c r="C242" s="297">
        <v>2151.5336222142519</v>
      </c>
      <c r="D242" s="297">
        <v>2953.4986565492823</v>
      </c>
      <c r="E242" s="297">
        <v>20.532316332171686</v>
      </c>
      <c r="F242" s="297">
        <v>14.833504044813829</v>
      </c>
      <c r="G242" s="322">
        <v>-801.9650343350304</v>
      </c>
      <c r="H242" s="322">
        <v>5.6988122873578568</v>
      </c>
      <c r="I242" s="322">
        <v>-140.7249430050706</v>
      </c>
      <c r="K242" s="223">
        <f t="shared" si="15"/>
        <v>1229787.4463080869</v>
      </c>
      <c r="L242" s="223">
        <f t="shared" si="15"/>
        <v>887056.74403228052</v>
      </c>
      <c r="M242" s="114">
        <f t="shared" si="16"/>
        <v>1</v>
      </c>
      <c r="N242" s="114">
        <f t="shared" si="17"/>
        <v>0</v>
      </c>
      <c r="Q242" s="320">
        <f t="shared" si="18"/>
        <v>23100</v>
      </c>
      <c r="R242" s="101">
        <v>1</v>
      </c>
      <c r="S242" s="101">
        <v>0</v>
      </c>
      <c r="T242" s="12"/>
      <c r="U242" s="210"/>
      <c r="V242" s="13"/>
      <c r="W242" s="13"/>
      <c r="X242" s="13"/>
      <c r="Y242" s="13"/>
      <c r="Z242" s="13"/>
      <c r="AA242" s="13"/>
      <c r="AB242" s="13"/>
      <c r="AC242" s="13"/>
      <c r="AD242" s="13"/>
      <c r="AE242" s="13"/>
    </row>
    <row r="243" spans="1:31" ht="21" x14ac:dyDescent="0.4">
      <c r="A243" s="210"/>
      <c r="B243" s="108">
        <v>233</v>
      </c>
      <c r="C243" s="297">
        <v>1984.3465842607252</v>
      </c>
      <c r="D243" s="297">
        <v>2790.3846859041241</v>
      </c>
      <c r="E243" s="297">
        <v>20.834099929697711</v>
      </c>
      <c r="F243" s="297">
        <v>15.518926406148145</v>
      </c>
      <c r="G243" s="322">
        <v>-806.03810164339893</v>
      </c>
      <c r="H243" s="322">
        <v>5.3151735235495661</v>
      </c>
      <c r="I243" s="322">
        <v>-151.64850179813368</v>
      </c>
      <c r="K243" s="223">
        <f t="shared" si="15"/>
        <v>1248061.6491976019</v>
      </c>
      <c r="L243" s="223">
        <f t="shared" si="15"/>
        <v>928345.1996829845</v>
      </c>
      <c r="M243" s="114">
        <f t="shared" si="16"/>
        <v>1</v>
      </c>
      <c r="N243" s="114">
        <f t="shared" si="17"/>
        <v>0</v>
      </c>
      <c r="Q243" s="320">
        <f t="shared" si="18"/>
        <v>23200</v>
      </c>
      <c r="R243" s="101">
        <v>1</v>
      </c>
      <c r="S243" s="101">
        <v>0</v>
      </c>
      <c r="T243" s="12"/>
      <c r="U243" s="210"/>
      <c r="V243" s="13"/>
      <c r="W243" s="13"/>
      <c r="X243" s="13"/>
      <c r="Y243" s="13"/>
      <c r="Z243" s="13"/>
      <c r="AA243" s="13"/>
      <c r="AB243" s="13"/>
      <c r="AC243" s="13"/>
      <c r="AD243" s="13"/>
      <c r="AE243" s="13"/>
    </row>
    <row r="244" spans="1:31" ht="21" x14ac:dyDescent="0.4">
      <c r="A244" s="210"/>
      <c r="B244" s="108">
        <v>234</v>
      </c>
      <c r="C244" s="297">
        <v>1956.5689503399569</v>
      </c>
      <c r="D244" s="297">
        <v>2866.7647910710439</v>
      </c>
      <c r="E244" s="297">
        <v>19.172201610582011</v>
      </c>
      <c r="F244" s="297">
        <v>13.611352962566547</v>
      </c>
      <c r="G244" s="322">
        <v>-910.19584073108695</v>
      </c>
      <c r="H244" s="322">
        <v>5.5608486480154635</v>
      </c>
      <c r="I244" s="322">
        <v>-163.67930478667398</v>
      </c>
      <c r="K244" s="223">
        <f t="shared" si="15"/>
        <v>1148375.5276845808</v>
      </c>
      <c r="L244" s="223">
        <f t="shared" si="15"/>
        <v>813814.41296292178</v>
      </c>
      <c r="M244" s="114">
        <f t="shared" si="16"/>
        <v>1</v>
      </c>
      <c r="N244" s="114">
        <f t="shared" si="17"/>
        <v>0</v>
      </c>
      <c r="Q244" s="320">
        <f t="shared" si="18"/>
        <v>23300</v>
      </c>
      <c r="R244" s="101">
        <v>1</v>
      </c>
      <c r="S244" s="101">
        <v>0</v>
      </c>
      <c r="T244" s="12"/>
      <c r="U244" s="210"/>
      <c r="V244" s="13"/>
      <c r="W244" s="13"/>
      <c r="X244" s="13"/>
      <c r="Y244" s="13"/>
      <c r="Z244" s="13"/>
      <c r="AA244" s="13"/>
      <c r="AB244" s="13"/>
      <c r="AC244" s="13"/>
      <c r="AD244" s="13"/>
      <c r="AE244" s="13"/>
    </row>
    <row r="245" spans="1:31" ht="21" x14ac:dyDescent="0.4">
      <c r="A245" s="210"/>
      <c r="B245" s="108">
        <v>235</v>
      </c>
      <c r="C245" s="297">
        <v>2010.1413593292159</v>
      </c>
      <c r="D245" s="297">
        <v>3206.19684846377</v>
      </c>
      <c r="E245" s="297">
        <v>18.917634338209734</v>
      </c>
      <c r="F245" s="297">
        <v>13.446890075199134</v>
      </c>
      <c r="G245" s="322">
        <v>-1196.0554891345541</v>
      </c>
      <c r="H245" s="322">
        <v>5.4707442630105998</v>
      </c>
      <c r="I245" s="322">
        <v>-218.62756356963285</v>
      </c>
      <c r="K245" s="223">
        <f t="shared" si="15"/>
        <v>1133047.9189332549</v>
      </c>
      <c r="L245" s="223">
        <f t="shared" si="15"/>
        <v>803607.20766348427</v>
      </c>
      <c r="M245" s="114">
        <f t="shared" si="16"/>
        <v>1</v>
      </c>
      <c r="N245" s="114">
        <f t="shared" si="17"/>
        <v>0</v>
      </c>
      <c r="Q245" s="320">
        <f t="shared" si="18"/>
        <v>23400</v>
      </c>
      <c r="R245" s="101">
        <v>1</v>
      </c>
      <c r="S245" s="101">
        <v>0</v>
      </c>
      <c r="T245" s="12"/>
      <c r="U245" s="210"/>
      <c r="V245" s="13"/>
      <c r="W245" s="13"/>
      <c r="X245" s="13"/>
      <c r="Y245" s="13"/>
      <c r="Z245" s="13"/>
      <c r="AA245" s="13"/>
      <c r="AB245" s="13"/>
      <c r="AC245" s="13"/>
      <c r="AD245" s="13"/>
      <c r="AE245" s="13"/>
    </row>
    <row r="246" spans="1:31" ht="21" x14ac:dyDescent="0.4">
      <c r="A246" s="210"/>
      <c r="B246" s="108">
        <v>236</v>
      </c>
      <c r="C246" s="297">
        <v>2019.0148244357324</v>
      </c>
      <c r="D246" s="297">
        <v>2941.8096937861865</v>
      </c>
      <c r="E246" s="297">
        <v>20.285005368633811</v>
      </c>
      <c r="F246" s="297">
        <v>14.331035283370927</v>
      </c>
      <c r="G246" s="322">
        <v>-922.79486935045406</v>
      </c>
      <c r="H246" s="322">
        <v>5.9539700852628847</v>
      </c>
      <c r="I246" s="322">
        <v>-154.98816019155564</v>
      </c>
      <c r="K246" s="223">
        <f t="shared" si="15"/>
        <v>1215081.307293593</v>
      </c>
      <c r="L246" s="223">
        <f t="shared" si="15"/>
        <v>856920.30730846943</v>
      </c>
      <c r="M246" s="114">
        <f t="shared" si="16"/>
        <v>1</v>
      </c>
      <c r="N246" s="114">
        <f t="shared" si="17"/>
        <v>0</v>
      </c>
      <c r="Q246" s="320">
        <f t="shared" si="18"/>
        <v>23500</v>
      </c>
      <c r="R246" s="101">
        <v>1</v>
      </c>
      <c r="S246" s="101">
        <v>0</v>
      </c>
      <c r="T246" s="12"/>
      <c r="U246" s="210"/>
      <c r="V246" s="13"/>
      <c r="W246" s="13"/>
      <c r="X246" s="13"/>
      <c r="Y246" s="13"/>
      <c r="Z246" s="13"/>
      <c r="AA246" s="13"/>
      <c r="AB246" s="13"/>
      <c r="AC246" s="13"/>
      <c r="AD246" s="13"/>
      <c r="AE246" s="13"/>
    </row>
    <row r="247" spans="1:31" ht="21" x14ac:dyDescent="0.4">
      <c r="A247" s="210"/>
      <c r="B247" s="108">
        <v>237</v>
      </c>
      <c r="C247" s="297">
        <v>2104.1515486332123</v>
      </c>
      <c r="D247" s="297">
        <v>2953.0615086336056</v>
      </c>
      <c r="E247" s="297">
        <v>18.537678385350777</v>
      </c>
      <c r="F247" s="297">
        <v>13.664823887684198</v>
      </c>
      <c r="G247" s="322">
        <v>-848.90996000039331</v>
      </c>
      <c r="H247" s="322">
        <v>4.8728544976665784</v>
      </c>
      <c r="I247" s="322">
        <v>-174.21204766259766</v>
      </c>
      <c r="K247" s="223">
        <f t="shared" si="15"/>
        <v>1110156.5515724134</v>
      </c>
      <c r="L247" s="223">
        <f t="shared" si="15"/>
        <v>816936.37175241823</v>
      </c>
      <c r="M247" s="114">
        <f t="shared" si="16"/>
        <v>1</v>
      </c>
      <c r="N247" s="114">
        <f t="shared" si="17"/>
        <v>0</v>
      </c>
      <c r="Q247" s="320">
        <f t="shared" si="18"/>
        <v>23600</v>
      </c>
      <c r="R247" s="101">
        <v>1</v>
      </c>
      <c r="S247" s="101">
        <v>0</v>
      </c>
      <c r="T247" s="12"/>
      <c r="U247" s="210"/>
      <c r="V247" s="13"/>
      <c r="W247" s="13"/>
      <c r="X247" s="13"/>
      <c r="Y247" s="13"/>
      <c r="Z247" s="13"/>
      <c r="AA247" s="13"/>
      <c r="AB247" s="13"/>
      <c r="AC247" s="13"/>
      <c r="AD247" s="13"/>
      <c r="AE247" s="13"/>
    </row>
    <row r="248" spans="1:31" ht="21" x14ac:dyDescent="0.4">
      <c r="A248" s="210"/>
      <c r="B248" s="108">
        <v>238</v>
      </c>
      <c r="C248" s="297">
        <v>2088.3976978981159</v>
      </c>
      <c r="D248" s="297">
        <v>2866.4380159481016</v>
      </c>
      <c r="E248" s="297">
        <v>18.085906290519521</v>
      </c>
      <c r="F248" s="297">
        <v>13.156509648383397</v>
      </c>
      <c r="G248" s="322">
        <v>-778.04031804998567</v>
      </c>
      <c r="H248" s="322">
        <v>4.9293966421361244</v>
      </c>
      <c r="I248" s="322">
        <v>-157.83682558618909</v>
      </c>
      <c r="K248" s="223">
        <f t="shared" si="15"/>
        <v>1083065.9797332732</v>
      </c>
      <c r="L248" s="223">
        <f t="shared" si="15"/>
        <v>786524.14088705578</v>
      </c>
      <c r="M248" s="114">
        <f t="shared" si="16"/>
        <v>1</v>
      </c>
      <c r="N248" s="114">
        <f t="shared" si="17"/>
        <v>0</v>
      </c>
      <c r="Q248" s="320">
        <f t="shared" si="18"/>
        <v>23700</v>
      </c>
      <c r="R248" s="101">
        <v>1</v>
      </c>
      <c r="S248" s="101">
        <v>0</v>
      </c>
      <c r="T248" s="12"/>
      <c r="U248" s="210"/>
      <c r="V248" s="13"/>
      <c r="W248" s="13"/>
      <c r="X248" s="13"/>
      <c r="Y248" s="13"/>
      <c r="Z248" s="13"/>
      <c r="AA248" s="13"/>
      <c r="AB248" s="13"/>
      <c r="AC248" s="13"/>
      <c r="AD248" s="13"/>
      <c r="AE248" s="13"/>
    </row>
    <row r="249" spans="1:31" ht="21" x14ac:dyDescent="0.4">
      <c r="A249" s="210"/>
      <c r="B249" s="108">
        <v>239</v>
      </c>
      <c r="C249" s="297">
        <v>2008.2017226867652</v>
      </c>
      <c r="D249" s="297">
        <v>3265.8444154554663</v>
      </c>
      <c r="E249" s="297">
        <v>19.735585070550115</v>
      </c>
      <c r="F249" s="297">
        <v>15.191533490816312</v>
      </c>
      <c r="G249" s="322">
        <v>-1257.6426927687012</v>
      </c>
      <c r="H249" s="322">
        <v>4.5440515797338037</v>
      </c>
      <c r="I249" s="322">
        <v>-276.76681716768178</v>
      </c>
      <c r="K249" s="223">
        <f t="shared" si="15"/>
        <v>1182126.9025103201</v>
      </c>
      <c r="L249" s="223">
        <f t="shared" si="15"/>
        <v>908226.16503352323</v>
      </c>
      <c r="M249" s="114">
        <f t="shared" si="16"/>
        <v>1</v>
      </c>
      <c r="N249" s="114">
        <f t="shared" si="17"/>
        <v>0</v>
      </c>
      <c r="Q249" s="320">
        <f t="shared" si="18"/>
        <v>23800</v>
      </c>
      <c r="R249" s="101">
        <v>1</v>
      </c>
      <c r="S249" s="101">
        <v>0</v>
      </c>
      <c r="T249" s="12"/>
      <c r="U249" s="210"/>
      <c r="V249" s="13"/>
      <c r="W249" s="13"/>
      <c r="X249" s="13"/>
      <c r="Y249" s="13"/>
      <c r="Z249" s="13"/>
      <c r="AA249" s="13"/>
      <c r="AB249" s="13"/>
      <c r="AC249" s="13"/>
      <c r="AD249" s="13"/>
      <c r="AE249" s="13"/>
    </row>
    <row r="250" spans="1:31" ht="21" x14ac:dyDescent="0.4">
      <c r="A250" s="210"/>
      <c r="B250" s="108">
        <v>240</v>
      </c>
      <c r="C250" s="297">
        <v>2046.5918898780428</v>
      </c>
      <c r="D250" s="297">
        <v>3065.8560828867116</v>
      </c>
      <c r="E250" s="297">
        <v>21.626410970008571</v>
      </c>
      <c r="F250" s="297">
        <v>15.873491130519364</v>
      </c>
      <c r="G250" s="322">
        <v>-1019.2641930086688</v>
      </c>
      <c r="H250" s="322">
        <v>5.7529198394892074</v>
      </c>
      <c r="I250" s="322">
        <v>-177.17336960133406</v>
      </c>
      <c r="K250" s="223">
        <f t="shared" si="15"/>
        <v>1295538.0663106362</v>
      </c>
      <c r="L250" s="223">
        <f t="shared" si="15"/>
        <v>949343.61174827511</v>
      </c>
      <c r="M250" s="114">
        <f t="shared" si="16"/>
        <v>1</v>
      </c>
      <c r="N250" s="114">
        <f t="shared" si="17"/>
        <v>0</v>
      </c>
      <c r="Q250" s="320">
        <f t="shared" si="18"/>
        <v>23900</v>
      </c>
      <c r="R250" s="101">
        <v>1</v>
      </c>
      <c r="S250" s="101">
        <v>0</v>
      </c>
      <c r="T250" s="12"/>
      <c r="U250" s="210"/>
      <c r="V250" s="13"/>
      <c r="W250" s="13"/>
      <c r="X250" s="13"/>
      <c r="Y250" s="13"/>
      <c r="Z250" s="13"/>
      <c r="AA250" s="13"/>
      <c r="AB250" s="13"/>
      <c r="AC250" s="13"/>
      <c r="AD250" s="13"/>
      <c r="AE250" s="13"/>
    </row>
    <row r="251" spans="1:31" ht="21" x14ac:dyDescent="0.4">
      <c r="A251" s="210"/>
      <c r="B251" s="108">
        <v>241</v>
      </c>
      <c r="C251" s="297">
        <v>1810.5302285004718</v>
      </c>
      <c r="D251" s="297">
        <v>2268.1464347061101</v>
      </c>
      <c r="E251" s="297">
        <v>14.924390535379795</v>
      </c>
      <c r="F251" s="297">
        <v>10.985919829534563</v>
      </c>
      <c r="G251" s="322">
        <v>-457.61620620563826</v>
      </c>
      <c r="H251" s="322">
        <v>3.9384707058452317</v>
      </c>
      <c r="I251" s="322">
        <v>-116.19134440341855</v>
      </c>
      <c r="K251" s="223">
        <f t="shared" si="15"/>
        <v>893652.90189428721</v>
      </c>
      <c r="L251" s="223">
        <f t="shared" si="15"/>
        <v>656887.04333736771</v>
      </c>
      <c r="M251" s="114">
        <f t="shared" si="16"/>
        <v>1</v>
      </c>
      <c r="N251" s="114">
        <f t="shared" si="17"/>
        <v>0</v>
      </c>
      <c r="Q251" s="320">
        <f t="shared" si="18"/>
        <v>24000</v>
      </c>
      <c r="R251" s="101">
        <v>1</v>
      </c>
      <c r="S251" s="101">
        <v>0</v>
      </c>
      <c r="T251" s="12"/>
      <c r="U251" s="210"/>
      <c r="V251" s="13"/>
      <c r="W251" s="13"/>
      <c r="X251" s="13"/>
      <c r="Y251" s="13"/>
      <c r="Z251" s="13"/>
      <c r="AA251" s="13"/>
      <c r="AB251" s="13"/>
      <c r="AC251" s="13"/>
      <c r="AD251" s="13"/>
      <c r="AE251" s="13"/>
    </row>
    <row r="252" spans="1:31" ht="21" x14ac:dyDescent="0.4">
      <c r="A252" s="210"/>
      <c r="B252" s="108">
        <v>242</v>
      </c>
      <c r="C252" s="297">
        <v>2169.8279063573618</v>
      </c>
      <c r="D252" s="297">
        <v>3105.253507592025</v>
      </c>
      <c r="E252" s="297">
        <v>18.369004450388786</v>
      </c>
      <c r="F252" s="297">
        <v>13.487284560501271</v>
      </c>
      <c r="G252" s="322">
        <v>-935.42560123466319</v>
      </c>
      <c r="H252" s="322">
        <v>4.8817198898875152</v>
      </c>
      <c r="I252" s="322">
        <v>-191.61804084097446</v>
      </c>
      <c r="K252" s="223">
        <f t="shared" si="15"/>
        <v>1099970.4391169697</v>
      </c>
      <c r="L252" s="223">
        <f t="shared" si="15"/>
        <v>806131.82012248423</v>
      </c>
      <c r="M252" s="114">
        <f t="shared" si="16"/>
        <v>1</v>
      </c>
      <c r="N252" s="114">
        <f t="shared" si="17"/>
        <v>0</v>
      </c>
      <c r="Q252" s="320">
        <f t="shared" si="18"/>
        <v>24100</v>
      </c>
      <c r="R252" s="101">
        <v>1</v>
      </c>
      <c r="S252" s="101">
        <v>0</v>
      </c>
      <c r="T252" s="12"/>
      <c r="U252" s="210"/>
      <c r="V252" s="13"/>
      <c r="W252" s="13"/>
      <c r="X252" s="13"/>
      <c r="Y252" s="13"/>
      <c r="Z252" s="13"/>
      <c r="AA252" s="13"/>
      <c r="AB252" s="13"/>
      <c r="AC252" s="13"/>
      <c r="AD252" s="13"/>
      <c r="AE252" s="13"/>
    </row>
    <row r="253" spans="1:31" ht="21" x14ac:dyDescent="0.4">
      <c r="A253" s="210"/>
      <c r="B253" s="108">
        <v>243</v>
      </c>
      <c r="C253" s="297">
        <v>2087.5391976719334</v>
      </c>
      <c r="D253" s="297">
        <v>3120.9704988013182</v>
      </c>
      <c r="E253" s="297">
        <v>20.408149481062367</v>
      </c>
      <c r="F253" s="297">
        <v>13.964998013440463</v>
      </c>
      <c r="G253" s="322">
        <v>-1033.4313011293848</v>
      </c>
      <c r="H253" s="322">
        <v>6.4431514676219042</v>
      </c>
      <c r="I253" s="322">
        <v>-160.39220966984544</v>
      </c>
      <c r="K253" s="223">
        <f t="shared" si="15"/>
        <v>1222401.42966607</v>
      </c>
      <c r="L253" s="223">
        <f t="shared" si="15"/>
        <v>834778.91030762647</v>
      </c>
      <c r="M253" s="114">
        <f t="shared" si="16"/>
        <v>1</v>
      </c>
      <c r="N253" s="114">
        <f t="shared" si="17"/>
        <v>0</v>
      </c>
      <c r="Q253" s="320">
        <f t="shared" si="18"/>
        <v>24200</v>
      </c>
      <c r="R253" s="101">
        <v>1</v>
      </c>
      <c r="S253" s="101">
        <v>0</v>
      </c>
      <c r="T253" s="12"/>
      <c r="U253" s="210"/>
      <c r="V253" s="13"/>
      <c r="W253" s="13"/>
      <c r="X253" s="13"/>
      <c r="Y253" s="13"/>
      <c r="Z253" s="13"/>
      <c r="AA253" s="13"/>
      <c r="AB253" s="13"/>
      <c r="AC253" s="13"/>
      <c r="AD253" s="13"/>
      <c r="AE253" s="13"/>
    </row>
    <row r="254" spans="1:31" ht="21" x14ac:dyDescent="0.4">
      <c r="A254" s="210"/>
      <c r="B254" s="108">
        <v>244</v>
      </c>
      <c r="C254" s="297">
        <v>1952.4831042780806</v>
      </c>
      <c r="D254" s="297">
        <v>2454.8483367165386</v>
      </c>
      <c r="E254" s="297">
        <v>21.019458120623899</v>
      </c>
      <c r="F254" s="297">
        <v>15.657399660965311</v>
      </c>
      <c r="G254" s="322">
        <v>-502.36523243845795</v>
      </c>
      <c r="H254" s="322">
        <v>5.3620584596585879</v>
      </c>
      <c r="I254" s="322">
        <v>-93.688876430199244</v>
      </c>
      <c r="K254" s="223">
        <f t="shared" si="15"/>
        <v>1259215.0041331558</v>
      </c>
      <c r="L254" s="223">
        <f t="shared" si="15"/>
        <v>936989.13132120215</v>
      </c>
      <c r="M254" s="114">
        <f t="shared" si="16"/>
        <v>1</v>
      </c>
      <c r="N254" s="114">
        <f t="shared" si="17"/>
        <v>0</v>
      </c>
      <c r="Q254" s="320">
        <f t="shared" si="18"/>
        <v>24300</v>
      </c>
      <c r="R254" s="101">
        <v>1</v>
      </c>
      <c r="S254" s="101">
        <v>0</v>
      </c>
      <c r="T254" s="12"/>
      <c r="U254" s="210"/>
      <c r="V254" s="13"/>
      <c r="W254" s="13"/>
      <c r="X254" s="13"/>
      <c r="Y254" s="13"/>
      <c r="Z254" s="13"/>
      <c r="AA254" s="13"/>
      <c r="AB254" s="13"/>
      <c r="AC254" s="13"/>
      <c r="AD254" s="13"/>
      <c r="AE254" s="13"/>
    </row>
    <row r="255" spans="1:31" ht="21" x14ac:dyDescent="0.4">
      <c r="A255" s="210"/>
      <c r="B255" s="108">
        <v>245</v>
      </c>
      <c r="C255" s="297">
        <v>2077.7693941797424</v>
      </c>
      <c r="D255" s="297">
        <v>2844.4952277478592</v>
      </c>
      <c r="E255" s="297">
        <v>20.569426766301085</v>
      </c>
      <c r="F255" s="297">
        <v>15.609695469156224</v>
      </c>
      <c r="G255" s="322">
        <v>-766.72583356811674</v>
      </c>
      <c r="H255" s="322">
        <v>4.9597312971448613</v>
      </c>
      <c r="I255" s="322">
        <v>-154.59019604741354</v>
      </c>
      <c r="K255" s="223">
        <f t="shared" si="15"/>
        <v>1232087.8365838854</v>
      </c>
      <c r="L255" s="223">
        <f t="shared" si="15"/>
        <v>933737.2329216256</v>
      </c>
      <c r="M255" s="114">
        <f t="shared" si="16"/>
        <v>1</v>
      </c>
      <c r="N255" s="114">
        <f t="shared" si="17"/>
        <v>0</v>
      </c>
      <c r="Q255" s="320">
        <f t="shared" si="18"/>
        <v>24400</v>
      </c>
      <c r="R255" s="101">
        <v>1</v>
      </c>
      <c r="S255" s="101">
        <v>0</v>
      </c>
      <c r="T255" s="12"/>
      <c r="U255" s="210"/>
      <c r="V255" s="13"/>
      <c r="W255" s="13"/>
      <c r="X255" s="13"/>
      <c r="Y255" s="13"/>
      <c r="Z255" s="13"/>
      <c r="AA255" s="13"/>
      <c r="AB255" s="13"/>
      <c r="AC255" s="13"/>
      <c r="AD255" s="13"/>
      <c r="AE255" s="13"/>
    </row>
    <row r="256" spans="1:31" ht="21" x14ac:dyDescent="0.4">
      <c r="A256" s="210"/>
      <c r="B256" s="108">
        <v>246</v>
      </c>
      <c r="C256" s="297">
        <v>2000.5409119140036</v>
      </c>
      <c r="D256" s="297">
        <v>2681.3271542105895</v>
      </c>
      <c r="E256" s="297">
        <v>18.777039848626263</v>
      </c>
      <c r="F256" s="297">
        <v>13.37288243156671</v>
      </c>
      <c r="G256" s="322">
        <v>-680.7862422965859</v>
      </c>
      <c r="H256" s="322">
        <v>5.4041574170595528</v>
      </c>
      <c r="I256" s="322">
        <v>-125.97453955495756</v>
      </c>
      <c r="K256" s="223">
        <f t="shared" si="15"/>
        <v>1124621.8500056616</v>
      </c>
      <c r="L256" s="223">
        <f t="shared" si="15"/>
        <v>799691.61873979203</v>
      </c>
      <c r="M256" s="114">
        <f t="shared" si="16"/>
        <v>1</v>
      </c>
      <c r="N256" s="114">
        <f t="shared" si="17"/>
        <v>0</v>
      </c>
      <c r="Q256" s="320">
        <f t="shared" si="18"/>
        <v>24500</v>
      </c>
      <c r="R256" s="101">
        <v>1</v>
      </c>
      <c r="S256" s="101">
        <v>0</v>
      </c>
      <c r="T256" s="12"/>
      <c r="U256" s="210"/>
      <c r="V256" s="13"/>
      <c r="W256" s="13"/>
      <c r="X256" s="13"/>
      <c r="Y256" s="13"/>
      <c r="Z256" s="13"/>
      <c r="AA256" s="13"/>
      <c r="AB256" s="13"/>
      <c r="AC256" s="13"/>
      <c r="AD256" s="13"/>
      <c r="AE256" s="13"/>
    </row>
    <row r="257" spans="1:31" ht="21" x14ac:dyDescent="0.4">
      <c r="A257" s="210"/>
      <c r="B257" s="108">
        <v>247</v>
      </c>
      <c r="C257" s="297">
        <v>2227.4712784747421</v>
      </c>
      <c r="D257" s="297">
        <v>3071.646557147199</v>
      </c>
      <c r="E257" s="297">
        <v>17.998164938674631</v>
      </c>
      <c r="F257" s="297">
        <v>12.511083506091285</v>
      </c>
      <c r="G257" s="322">
        <v>-844.1752786724569</v>
      </c>
      <c r="H257" s="322">
        <v>5.487081432583345</v>
      </c>
      <c r="I257" s="322">
        <v>-153.84777664489937</v>
      </c>
      <c r="K257" s="223">
        <f t="shared" si="15"/>
        <v>1077662.4250420032</v>
      </c>
      <c r="L257" s="223">
        <f t="shared" si="15"/>
        <v>747593.36380833003</v>
      </c>
      <c r="M257" s="114">
        <f t="shared" si="16"/>
        <v>1</v>
      </c>
      <c r="N257" s="114">
        <f t="shared" si="17"/>
        <v>0</v>
      </c>
      <c r="Q257" s="320">
        <f t="shared" si="18"/>
        <v>24600</v>
      </c>
      <c r="R257" s="101">
        <v>1</v>
      </c>
      <c r="S257" s="101">
        <v>0</v>
      </c>
      <c r="T257" s="12"/>
      <c r="U257" s="210"/>
      <c r="V257" s="13"/>
      <c r="W257" s="13"/>
      <c r="X257" s="13"/>
      <c r="Y257" s="13"/>
      <c r="Z257" s="13"/>
      <c r="AA257" s="13"/>
      <c r="AB257" s="13"/>
      <c r="AC257" s="13"/>
      <c r="AD257" s="13"/>
      <c r="AE257" s="13"/>
    </row>
    <row r="258" spans="1:31" ht="21" x14ac:dyDescent="0.4">
      <c r="A258" s="210"/>
      <c r="B258" s="108">
        <v>248</v>
      </c>
      <c r="C258" s="297">
        <v>2099.9969082797088</v>
      </c>
      <c r="D258" s="297">
        <v>2802.1700513122209</v>
      </c>
      <c r="E258" s="297">
        <v>20.497474908569668</v>
      </c>
      <c r="F258" s="297">
        <v>15.207751301515852</v>
      </c>
      <c r="G258" s="322">
        <v>-702.17314303251214</v>
      </c>
      <c r="H258" s="322">
        <v>5.2897236070538156</v>
      </c>
      <c r="I258" s="322">
        <v>-132.74287943819377</v>
      </c>
      <c r="K258" s="223">
        <f t="shared" si="15"/>
        <v>1227748.4976059005</v>
      </c>
      <c r="L258" s="223">
        <f t="shared" si="15"/>
        <v>909662.90803963901</v>
      </c>
      <c r="M258" s="114">
        <f t="shared" si="16"/>
        <v>1</v>
      </c>
      <c r="N258" s="114">
        <f t="shared" si="17"/>
        <v>0</v>
      </c>
      <c r="Q258" s="320">
        <f t="shared" si="18"/>
        <v>24700</v>
      </c>
      <c r="R258" s="101">
        <v>1</v>
      </c>
      <c r="S258" s="101">
        <v>0</v>
      </c>
      <c r="T258" s="12"/>
      <c r="U258" s="210"/>
      <c r="V258" s="13"/>
      <c r="W258" s="13"/>
      <c r="X258" s="13"/>
      <c r="Y258" s="13"/>
      <c r="Z258" s="13"/>
      <c r="AA258" s="13"/>
      <c r="AB258" s="13"/>
      <c r="AC258" s="13"/>
      <c r="AD258" s="13"/>
      <c r="AE258" s="13"/>
    </row>
    <row r="259" spans="1:31" ht="21" x14ac:dyDescent="0.4">
      <c r="A259" s="210"/>
      <c r="B259" s="108">
        <v>249</v>
      </c>
      <c r="C259" s="297">
        <v>2229.4217600161141</v>
      </c>
      <c r="D259" s="297">
        <v>3635.1481527772944</v>
      </c>
      <c r="E259" s="297">
        <v>19.014690401945714</v>
      </c>
      <c r="F259" s="297">
        <v>13.440709773995438</v>
      </c>
      <c r="G259" s="322">
        <v>-1405.7263927611803</v>
      </c>
      <c r="H259" s="322">
        <v>5.5739806279502755</v>
      </c>
      <c r="I259" s="322">
        <v>-252.19434486590765</v>
      </c>
      <c r="K259" s="223">
        <f t="shared" si="15"/>
        <v>1138652.0023567267</v>
      </c>
      <c r="L259" s="223">
        <f t="shared" si="15"/>
        <v>802807.43828694895</v>
      </c>
      <c r="M259" s="114">
        <f t="shared" si="16"/>
        <v>1</v>
      </c>
      <c r="N259" s="114">
        <f t="shared" si="17"/>
        <v>0</v>
      </c>
      <c r="Q259" s="320">
        <f t="shared" si="18"/>
        <v>24800</v>
      </c>
      <c r="R259" s="101">
        <v>1</v>
      </c>
      <c r="S259" s="101">
        <v>0</v>
      </c>
      <c r="T259" s="12"/>
      <c r="U259" s="210"/>
      <c r="V259" s="13"/>
      <c r="W259" s="13"/>
      <c r="X259" s="13"/>
      <c r="Y259" s="13"/>
      <c r="Z259" s="13"/>
      <c r="AA259" s="13"/>
      <c r="AB259" s="13"/>
      <c r="AC259" s="13"/>
      <c r="AD259" s="13"/>
      <c r="AE259" s="13"/>
    </row>
    <row r="260" spans="1:31" ht="21" x14ac:dyDescent="0.4">
      <c r="A260" s="210"/>
      <c r="B260" s="108">
        <v>250</v>
      </c>
      <c r="C260" s="297">
        <v>2132.5534133197966</v>
      </c>
      <c r="D260" s="297">
        <v>2907.0079131129505</v>
      </c>
      <c r="E260" s="297">
        <v>18.81467937594207</v>
      </c>
      <c r="F260" s="297">
        <v>13.814127814039216</v>
      </c>
      <c r="G260" s="322">
        <v>-774.4544997931539</v>
      </c>
      <c r="H260" s="322">
        <v>5.0005515619028547</v>
      </c>
      <c r="I260" s="322">
        <v>-154.87381545935935</v>
      </c>
      <c r="K260" s="223">
        <f t="shared" si="15"/>
        <v>1126748.2091432044</v>
      </c>
      <c r="L260" s="223">
        <f t="shared" si="15"/>
        <v>825940.66092923994</v>
      </c>
      <c r="M260" s="114">
        <f t="shared" si="16"/>
        <v>1</v>
      </c>
      <c r="N260" s="114">
        <f t="shared" si="17"/>
        <v>0</v>
      </c>
      <c r="Q260" s="320">
        <f t="shared" si="18"/>
        <v>24900</v>
      </c>
      <c r="R260" s="101">
        <v>1</v>
      </c>
      <c r="S260" s="101">
        <v>0</v>
      </c>
      <c r="T260" s="12"/>
      <c r="U260" s="210"/>
      <c r="V260" s="13"/>
      <c r="W260" s="13"/>
      <c r="X260" s="13"/>
      <c r="Y260" s="13"/>
      <c r="Z260" s="13"/>
      <c r="AA260" s="13"/>
      <c r="AB260" s="13"/>
      <c r="AC260" s="13"/>
      <c r="AD260" s="13"/>
      <c r="AE260" s="13"/>
    </row>
    <row r="261" spans="1:31" ht="21" x14ac:dyDescent="0.4">
      <c r="A261" s="210"/>
      <c r="B261" s="108">
        <v>251</v>
      </c>
      <c r="C261" s="297">
        <v>2047.3463052923962</v>
      </c>
      <c r="D261" s="297">
        <v>2660.0702663623342</v>
      </c>
      <c r="E261" s="297">
        <v>17.751518860806108</v>
      </c>
      <c r="F261" s="297">
        <v>12.780925190994768</v>
      </c>
      <c r="G261" s="322">
        <v>-612.72396106993801</v>
      </c>
      <c r="H261" s="322">
        <v>4.9705936698113398</v>
      </c>
      <c r="I261" s="322">
        <v>-123.26977455254236</v>
      </c>
      <c r="K261" s="223">
        <f t="shared" si="15"/>
        <v>1063043.7853430742</v>
      </c>
      <c r="L261" s="223">
        <f t="shared" si="15"/>
        <v>764195.44119332382</v>
      </c>
      <c r="M261" s="114">
        <f t="shared" si="16"/>
        <v>1</v>
      </c>
      <c r="N261" s="114">
        <f t="shared" si="17"/>
        <v>0</v>
      </c>
      <c r="Q261" s="320">
        <f t="shared" si="18"/>
        <v>25000</v>
      </c>
      <c r="R261" s="101">
        <v>1</v>
      </c>
      <c r="S261" s="101">
        <v>0</v>
      </c>
      <c r="T261" s="12"/>
      <c r="U261" s="210"/>
      <c r="V261" s="13"/>
      <c r="W261" s="13"/>
      <c r="X261" s="13"/>
      <c r="Y261" s="13"/>
      <c r="Z261" s="13"/>
      <c r="AA261" s="13"/>
      <c r="AB261" s="13"/>
      <c r="AC261" s="13"/>
      <c r="AD261" s="13"/>
      <c r="AE261" s="13"/>
    </row>
    <row r="262" spans="1:31" ht="21" x14ac:dyDescent="0.4">
      <c r="A262" s="210"/>
      <c r="B262" s="108">
        <v>252</v>
      </c>
      <c r="C262" s="297">
        <v>1880.2719653121385</v>
      </c>
      <c r="D262" s="297">
        <v>2812.3096765226078</v>
      </c>
      <c r="E262" s="297">
        <v>19.109157521424272</v>
      </c>
      <c r="F262" s="297">
        <v>14.632706716940886</v>
      </c>
      <c r="G262" s="322">
        <v>-932.0377112104693</v>
      </c>
      <c r="H262" s="322">
        <v>4.4764508044833864</v>
      </c>
      <c r="I262" s="322">
        <v>-208.20908168520194</v>
      </c>
      <c r="K262" s="223">
        <f t="shared" si="15"/>
        <v>1144669.1793201442</v>
      </c>
      <c r="L262" s="223">
        <f t="shared" si="15"/>
        <v>875150.09333993052</v>
      </c>
      <c r="M262" s="114">
        <f t="shared" si="16"/>
        <v>1</v>
      </c>
      <c r="N262" s="114">
        <f t="shared" si="17"/>
        <v>0</v>
      </c>
      <c r="Q262" s="320">
        <f t="shared" si="18"/>
        <v>25100</v>
      </c>
      <c r="R262" s="101">
        <v>1</v>
      </c>
      <c r="S262" s="101">
        <v>0</v>
      </c>
      <c r="T262" s="12"/>
      <c r="U262" s="210"/>
      <c r="V262" s="13"/>
      <c r="W262" s="13"/>
      <c r="X262" s="13"/>
      <c r="Y262" s="13"/>
      <c r="Z262" s="13"/>
      <c r="AA262" s="13"/>
      <c r="AB262" s="13"/>
      <c r="AC262" s="13"/>
      <c r="AD262" s="13"/>
      <c r="AE262" s="13"/>
    </row>
    <row r="263" spans="1:31" ht="21" x14ac:dyDescent="0.4">
      <c r="A263" s="210"/>
      <c r="B263" s="108">
        <v>253</v>
      </c>
      <c r="C263" s="297">
        <v>2100.3534301796308</v>
      </c>
      <c r="D263" s="297">
        <v>3429.6240558381801</v>
      </c>
      <c r="E263" s="297">
        <v>19.871272878983085</v>
      </c>
      <c r="F263" s="297">
        <v>14.620522968366</v>
      </c>
      <c r="G263" s="322">
        <v>-1329.2706256585493</v>
      </c>
      <c r="H263" s="322">
        <v>5.2507499106170847</v>
      </c>
      <c r="I263" s="322">
        <v>-253.15824373405155</v>
      </c>
      <c r="K263" s="223">
        <f t="shared" si="15"/>
        <v>1190176.0193088055</v>
      </c>
      <c r="L263" s="223">
        <f t="shared" si="15"/>
        <v>873801.75404612185</v>
      </c>
      <c r="M263" s="114">
        <f t="shared" si="16"/>
        <v>1</v>
      </c>
      <c r="N263" s="114">
        <f t="shared" si="17"/>
        <v>0</v>
      </c>
      <c r="Q263" s="320">
        <f t="shared" si="18"/>
        <v>25200</v>
      </c>
      <c r="R263" s="101">
        <v>1</v>
      </c>
      <c r="S263" s="101">
        <v>0</v>
      </c>
      <c r="T263" s="12"/>
      <c r="U263" s="210"/>
      <c r="V263" s="13"/>
      <c r="W263" s="13"/>
      <c r="X263" s="13"/>
      <c r="Y263" s="13"/>
      <c r="Z263" s="13"/>
      <c r="AA263" s="13"/>
      <c r="AB263" s="13"/>
      <c r="AC263" s="13"/>
      <c r="AD263" s="13"/>
      <c r="AE263" s="13"/>
    </row>
    <row r="264" spans="1:31" ht="21" x14ac:dyDescent="0.4">
      <c r="A264" s="210"/>
      <c r="B264" s="108">
        <v>254</v>
      </c>
      <c r="C264" s="297">
        <v>2098.081014733782</v>
      </c>
      <c r="D264" s="297">
        <v>3571.4564748704606</v>
      </c>
      <c r="E264" s="297">
        <v>19.017269252003619</v>
      </c>
      <c r="F264" s="297">
        <v>13.335999371206025</v>
      </c>
      <c r="G264" s="322">
        <v>-1473.3754601366786</v>
      </c>
      <c r="H264" s="322">
        <v>5.6812698807975934</v>
      </c>
      <c r="I264" s="322">
        <v>-259.33910746198023</v>
      </c>
      <c r="K264" s="223">
        <f t="shared" si="15"/>
        <v>1138938.0741054832</v>
      </c>
      <c r="L264" s="223">
        <f t="shared" si="15"/>
        <v>796588.50579749106</v>
      </c>
      <c r="M264" s="114">
        <f t="shared" si="16"/>
        <v>1</v>
      </c>
      <c r="N264" s="114">
        <f t="shared" si="17"/>
        <v>0</v>
      </c>
      <c r="Q264" s="320">
        <f t="shared" si="18"/>
        <v>25300</v>
      </c>
      <c r="R264" s="101">
        <v>1</v>
      </c>
      <c r="S264" s="101">
        <v>0</v>
      </c>
      <c r="T264" s="12"/>
      <c r="U264" s="210"/>
      <c r="V264" s="13"/>
      <c r="W264" s="13"/>
      <c r="X264" s="13"/>
      <c r="Y264" s="13"/>
      <c r="Z264" s="13"/>
      <c r="AA264" s="13"/>
      <c r="AB264" s="13"/>
      <c r="AC264" s="13"/>
      <c r="AD264" s="13"/>
      <c r="AE264" s="13"/>
    </row>
    <row r="265" spans="1:31" ht="21" x14ac:dyDescent="0.4">
      <c r="A265" s="210"/>
      <c r="B265" s="108">
        <v>255</v>
      </c>
      <c r="C265" s="297">
        <v>2125.3690984857149</v>
      </c>
      <c r="D265" s="297">
        <v>3106.8072117976726</v>
      </c>
      <c r="E265" s="297">
        <v>19.691382501168881</v>
      </c>
      <c r="F265" s="297">
        <v>14.21005838120603</v>
      </c>
      <c r="G265" s="322">
        <v>-981.43811331195775</v>
      </c>
      <c r="H265" s="322">
        <v>5.4813241199628511</v>
      </c>
      <c r="I265" s="322">
        <v>-179.05128246979297</v>
      </c>
      <c r="K265" s="223">
        <f t="shared" si="15"/>
        <v>1179357.5809716473</v>
      </c>
      <c r="L265" s="223">
        <f t="shared" si="15"/>
        <v>849496.69566056412</v>
      </c>
      <c r="M265" s="114">
        <f t="shared" si="16"/>
        <v>1</v>
      </c>
      <c r="N265" s="114">
        <f t="shared" si="17"/>
        <v>0</v>
      </c>
      <c r="Q265" s="320">
        <f t="shared" si="18"/>
        <v>25400</v>
      </c>
      <c r="R265" s="101">
        <v>1</v>
      </c>
      <c r="S265" s="101">
        <v>0</v>
      </c>
      <c r="T265" s="12"/>
      <c r="U265" s="210"/>
      <c r="V265" s="13"/>
      <c r="W265" s="13"/>
      <c r="X265" s="13"/>
      <c r="Y265" s="13"/>
      <c r="Z265" s="13"/>
      <c r="AA265" s="13"/>
      <c r="AB265" s="13"/>
      <c r="AC265" s="13"/>
      <c r="AD265" s="13"/>
      <c r="AE265" s="13"/>
    </row>
    <row r="266" spans="1:31" ht="21" x14ac:dyDescent="0.4">
      <c r="A266" s="210"/>
      <c r="B266" s="108">
        <v>256</v>
      </c>
      <c r="C266" s="297">
        <v>1993.7855822448034</v>
      </c>
      <c r="D266" s="297">
        <v>3021.0725669192943</v>
      </c>
      <c r="E266" s="297">
        <v>18.967495113792026</v>
      </c>
      <c r="F266" s="297">
        <v>15.074824889087305</v>
      </c>
      <c r="G266" s="322">
        <v>-1027.2869846744909</v>
      </c>
      <c r="H266" s="322">
        <v>3.8926702247047213</v>
      </c>
      <c r="I266" s="322">
        <v>-263.90290607070773</v>
      </c>
      <c r="K266" s="223">
        <f t="shared" si="15"/>
        <v>1136055.9212452767</v>
      </c>
      <c r="L266" s="223">
        <f t="shared" si="15"/>
        <v>901468.42077831901</v>
      </c>
      <c r="M266" s="114">
        <f t="shared" si="16"/>
        <v>1</v>
      </c>
      <c r="N266" s="114">
        <f t="shared" si="17"/>
        <v>0</v>
      </c>
      <c r="Q266" s="320">
        <f t="shared" si="18"/>
        <v>25500</v>
      </c>
      <c r="R266" s="101">
        <v>1</v>
      </c>
      <c r="S266" s="101">
        <v>0</v>
      </c>
      <c r="T266" s="12"/>
      <c r="U266" s="210"/>
      <c r="V266" s="13"/>
      <c r="W266" s="13"/>
      <c r="X266" s="13"/>
      <c r="Y266" s="13"/>
      <c r="Z266" s="13"/>
      <c r="AA266" s="13"/>
      <c r="AB266" s="13"/>
      <c r="AC266" s="13"/>
      <c r="AD266" s="13"/>
      <c r="AE266" s="13"/>
    </row>
    <row r="267" spans="1:31" ht="21" x14ac:dyDescent="0.4">
      <c r="A267" s="210"/>
      <c r="B267" s="108">
        <v>257</v>
      </c>
      <c r="C267" s="297">
        <v>2070.9557826221462</v>
      </c>
      <c r="D267" s="297">
        <v>2717.463467181442</v>
      </c>
      <c r="E267" s="297">
        <v>20.634056519427041</v>
      </c>
      <c r="F267" s="297">
        <v>14.959690202201273</v>
      </c>
      <c r="G267" s="322">
        <v>-646.50768455929574</v>
      </c>
      <c r="H267" s="322">
        <v>5.6743663172257683</v>
      </c>
      <c r="I267" s="322">
        <v>-113.93478115726889</v>
      </c>
      <c r="K267" s="223">
        <f t="shared" si="15"/>
        <v>1235972.4353830004</v>
      </c>
      <c r="L267" s="223">
        <f t="shared" si="15"/>
        <v>894863.94866489491</v>
      </c>
      <c r="M267" s="114">
        <f t="shared" si="16"/>
        <v>1</v>
      </c>
      <c r="N267" s="114">
        <f t="shared" si="17"/>
        <v>0</v>
      </c>
      <c r="Q267" s="320">
        <f t="shared" si="18"/>
        <v>25600</v>
      </c>
      <c r="R267" s="101">
        <v>1</v>
      </c>
      <c r="S267" s="101">
        <v>0</v>
      </c>
      <c r="T267" s="12"/>
      <c r="U267" s="210"/>
      <c r="V267" s="13"/>
      <c r="W267" s="13"/>
      <c r="X267" s="13"/>
      <c r="Y267" s="13"/>
      <c r="Z267" s="13"/>
      <c r="AA267" s="13"/>
      <c r="AB267" s="13"/>
      <c r="AC267" s="13"/>
      <c r="AD267" s="13"/>
      <c r="AE267" s="13"/>
    </row>
    <row r="268" spans="1:31" ht="21" x14ac:dyDescent="0.4">
      <c r="A268" s="210"/>
      <c r="B268" s="108">
        <v>258</v>
      </c>
      <c r="C268" s="297">
        <v>2206.8753207066356</v>
      </c>
      <c r="D268" s="297">
        <v>2644.8708287014329</v>
      </c>
      <c r="E268" s="297">
        <v>18.781797817517823</v>
      </c>
      <c r="F268" s="297">
        <v>14.376547738017937</v>
      </c>
      <c r="G268" s="322">
        <v>-437.99550799479721</v>
      </c>
      <c r="H268" s="322">
        <v>4.4052500794998863</v>
      </c>
      <c r="I268" s="322">
        <v>-99.425798783373821</v>
      </c>
      <c r="K268" s="223">
        <f t="shared" ref="K268:L331" si="19">E268*$N$4-C268</f>
        <v>1124700.9937303627</v>
      </c>
      <c r="L268" s="223">
        <f t="shared" si="19"/>
        <v>859947.99345237482</v>
      </c>
      <c r="M268" s="114">
        <f t="shared" ref="M268:M331" si="20">IF(MAX(K268:L268)=K268,1,0)</f>
        <v>1</v>
      </c>
      <c r="N268" s="114">
        <f t="shared" ref="N268:N331" si="21">IF(MAX(K268:L268)=L268,1,0)</f>
        <v>0</v>
      </c>
      <c r="Q268" s="320">
        <f t="shared" si="18"/>
        <v>25700</v>
      </c>
      <c r="R268" s="101">
        <v>1</v>
      </c>
      <c r="S268" s="101">
        <v>0</v>
      </c>
      <c r="T268" s="12"/>
      <c r="U268" s="210"/>
      <c r="V268" s="13"/>
      <c r="W268" s="13"/>
      <c r="X268" s="13"/>
      <c r="Y268" s="13"/>
      <c r="Z268" s="13"/>
      <c r="AA268" s="13"/>
      <c r="AB268" s="13"/>
      <c r="AC268" s="13"/>
      <c r="AD268" s="13"/>
      <c r="AE268" s="13"/>
    </row>
    <row r="269" spans="1:31" ht="21" x14ac:dyDescent="0.4">
      <c r="A269" s="210"/>
      <c r="B269" s="108">
        <v>259</v>
      </c>
      <c r="C269" s="297">
        <v>2082.7993634620925</v>
      </c>
      <c r="D269" s="297">
        <v>3189.3358510913613</v>
      </c>
      <c r="E269" s="297">
        <v>19.742757765914011</v>
      </c>
      <c r="F269" s="297">
        <v>14.42694112974764</v>
      </c>
      <c r="G269" s="322">
        <v>-1106.5364876292688</v>
      </c>
      <c r="H269" s="322">
        <v>5.315816636166371</v>
      </c>
      <c r="I269" s="322">
        <v>-208.15926570922397</v>
      </c>
      <c r="K269" s="223">
        <f t="shared" si="19"/>
        <v>1182482.6665913786</v>
      </c>
      <c r="L269" s="223">
        <f t="shared" si="19"/>
        <v>862427.13193376712</v>
      </c>
      <c r="M269" s="114">
        <f t="shared" si="20"/>
        <v>1</v>
      </c>
      <c r="N269" s="114">
        <f t="shared" si="21"/>
        <v>0</v>
      </c>
      <c r="Q269" s="320">
        <f t="shared" ref="Q269:Q332" si="22">Q268+100</f>
        <v>25800</v>
      </c>
      <c r="R269" s="101">
        <v>1</v>
      </c>
      <c r="S269" s="101">
        <v>0</v>
      </c>
      <c r="T269" s="12"/>
      <c r="U269" s="210"/>
      <c r="V269" s="13"/>
      <c r="W269" s="13"/>
      <c r="X269" s="13"/>
      <c r="Y269" s="13"/>
      <c r="Z269" s="13"/>
      <c r="AA269" s="13"/>
      <c r="AB269" s="13"/>
      <c r="AC269" s="13"/>
      <c r="AD269" s="13"/>
      <c r="AE269" s="13"/>
    </row>
    <row r="270" spans="1:31" ht="21" x14ac:dyDescent="0.4">
      <c r="A270" s="210"/>
      <c r="B270" s="108">
        <v>260</v>
      </c>
      <c r="C270" s="297">
        <v>1894.3457991793423</v>
      </c>
      <c r="D270" s="297">
        <v>3272.219429251033</v>
      </c>
      <c r="E270" s="297">
        <v>16.351848606751929</v>
      </c>
      <c r="F270" s="297">
        <v>12.045559238992242</v>
      </c>
      <c r="G270" s="322">
        <v>-1377.8736300716907</v>
      </c>
      <c r="H270" s="322">
        <v>4.3062893677596872</v>
      </c>
      <c r="I270" s="322">
        <v>-319.96772915158709</v>
      </c>
      <c r="K270" s="223">
        <f t="shared" si="19"/>
        <v>979216.57060593634</v>
      </c>
      <c r="L270" s="223">
        <f t="shared" si="19"/>
        <v>719461.33491028345</v>
      </c>
      <c r="M270" s="114">
        <f t="shared" si="20"/>
        <v>1</v>
      </c>
      <c r="N270" s="114">
        <f t="shared" si="21"/>
        <v>0</v>
      </c>
      <c r="Q270" s="320">
        <f t="shared" si="22"/>
        <v>25900</v>
      </c>
      <c r="R270" s="101">
        <v>1</v>
      </c>
      <c r="S270" s="101">
        <v>0</v>
      </c>
      <c r="T270" s="12"/>
      <c r="U270" s="210"/>
      <c r="V270" s="13"/>
      <c r="W270" s="13"/>
      <c r="X270" s="13"/>
      <c r="Y270" s="13"/>
      <c r="Z270" s="13"/>
      <c r="AA270" s="13"/>
      <c r="AB270" s="13"/>
      <c r="AC270" s="13"/>
      <c r="AD270" s="13"/>
      <c r="AE270" s="13"/>
    </row>
    <row r="271" spans="1:31" ht="21" x14ac:dyDescent="0.4">
      <c r="A271" s="210"/>
      <c r="B271" s="108">
        <v>261</v>
      </c>
      <c r="C271" s="297">
        <v>1939.9806529493503</v>
      </c>
      <c r="D271" s="297">
        <v>2975.1849199003382</v>
      </c>
      <c r="E271" s="297">
        <v>18.03271008733099</v>
      </c>
      <c r="F271" s="297">
        <v>13.378547290225001</v>
      </c>
      <c r="G271" s="322">
        <v>-1035.2042669509879</v>
      </c>
      <c r="H271" s="322">
        <v>4.6541627971059896</v>
      </c>
      <c r="I271" s="322">
        <v>-222.42545267103452</v>
      </c>
      <c r="K271" s="223">
        <f t="shared" si="19"/>
        <v>1080022.62458691</v>
      </c>
      <c r="L271" s="223">
        <f t="shared" si="19"/>
        <v>799737.65249359969</v>
      </c>
      <c r="M271" s="114">
        <f t="shared" si="20"/>
        <v>1</v>
      </c>
      <c r="N271" s="114">
        <f t="shared" si="21"/>
        <v>0</v>
      </c>
      <c r="Q271" s="320">
        <f t="shared" si="22"/>
        <v>26000</v>
      </c>
      <c r="R271" s="101">
        <v>1</v>
      </c>
      <c r="S271" s="101">
        <v>0</v>
      </c>
      <c r="T271" s="12"/>
      <c r="U271" s="210"/>
      <c r="V271" s="13"/>
      <c r="W271" s="13"/>
      <c r="X271" s="13"/>
      <c r="Y271" s="13"/>
      <c r="Z271" s="13"/>
      <c r="AA271" s="13"/>
      <c r="AB271" s="13"/>
      <c r="AC271" s="13"/>
      <c r="AD271" s="13"/>
      <c r="AE271" s="13"/>
    </row>
    <row r="272" spans="1:31" ht="21" x14ac:dyDescent="0.4">
      <c r="A272" s="210"/>
      <c r="B272" s="108">
        <v>262</v>
      </c>
      <c r="C272" s="297">
        <v>1859.5079911062871</v>
      </c>
      <c r="D272" s="297">
        <v>2737.497225782834</v>
      </c>
      <c r="E272" s="297">
        <v>17.773227635625421</v>
      </c>
      <c r="F272" s="297">
        <v>12.680807168011709</v>
      </c>
      <c r="G272" s="322">
        <v>-877.98923467654686</v>
      </c>
      <c r="H272" s="322">
        <v>5.0924204676137119</v>
      </c>
      <c r="I272" s="322">
        <v>-172.4109861430922</v>
      </c>
      <c r="K272" s="223">
        <f t="shared" si="19"/>
        <v>1064534.1501464189</v>
      </c>
      <c r="L272" s="223">
        <f t="shared" si="19"/>
        <v>758110.93285491969</v>
      </c>
      <c r="M272" s="114">
        <f t="shared" si="20"/>
        <v>1</v>
      </c>
      <c r="N272" s="114">
        <f t="shared" si="21"/>
        <v>0</v>
      </c>
      <c r="Q272" s="320">
        <f t="shared" si="22"/>
        <v>26100</v>
      </c>
      <c r="R272" s="101">
        <v>1</v>
      </c>
      <c r="S272" s="101">
        <v>0</v>
      </c>
      <c r="T272" s="12"/>
      <c r="U272" s="210"/>
      <c r="V272" s="13"/>
      <c r="W272" s="13"/>
      <c r="X272" s="13"/>
      <c r="Y272" s="13"/>
      <c r="Z272" s="13"/>
      <c r="AA272" s="13"/>
      <c r="AB272" s="13"/>
      <c r="AC272" s="13"/>
      <c r="AD272" s="13"/>
      <c r="AE272" s="13"/>
    </row>
    <row r="273" spans="1:31" ht="21" x14ac:dyDescent="0.4">
      <c r="A273" s="210"/>
      <c r="B273" s="108">
        <v>263</v>
      </c>
      <c r="C273" s="297">
        <v>2220.4306413375207</v>
      </c>
      <c r="D273" s="297">
        <v>2954.0103008962187</v>
      </c>
      <c r="E273" s="297">
        <v>19.111545284182643</v>
      </c>
      <c r="F273" s="297">
        <v>13.598701024836634</v>
      </c>
      <c r="G273" s="322">
        <v>-733.57965955869804</v>
      </c>
      <c r="H273" s="322">
        <v>5.512844259346009</v>
      </c>
      <c r="I273" s="322">
        <v>-133.06736505662195</v>
      </c>
      <c r="K273" s="223">
        <f t="shared" si="19"/>
        <v>1144472.2864096211</v>
      </c>
      <c r="L273" s="223">
        <f t="shared" si="19"/>
        <v>812968.05118930177</v>
      </c>
      <c r="M273" s="114">
        <f t="shared" si="20"/>
        <v>1</v>
      </c>
      <c r="N273" s="114">
        <f t="shared" si="21"/>
        <v>0</v>
      </c>
      <c r="Q273" s="320">
        <f t="shared" si="22"/>
        <v>26200</v>
      </c>
      <c r="R273" s="101">
        <v>1</v>
      </c>
      <c r="S273" s="101">
        <v>0</v>
      </c>
      <c r="T273" s="12"/>
      <c r="U273" s="210"/>
      <c r="V273" s="13"/>
      <c r="W273" s="13"/>
      <c r="X273" s="13"/>
      <c r="Y273" s="13"/>
      <c r="Z273" s="13"/>
      <c r="AA273" s="13"/>
      <c r="AB273" s="13"/>
      <c r="AC273" s="13"/>
      <c r="AD273" s="13"/>
      <c r="AE273" s="13"/>
    </row>
    <row r="274" spans="1:31" ht="21" x14ac:dyDescent="0.4">
      <c r="A274" s="210"/>
      <c r="B274" s="108">
        <v>264</v>
      </c>
      <c r="C274" s="297">
        <v>1898.9339124807907</v>
      </c>
      <c r="D274" s="297">
        <v>3326.4764565825244</v>
      </c>
      <c r="E274" s="297">
        <v>21.635248314716289</v>
      </c>
      <c r="F274" s="297">
        <v>15.510915086217585</v>
      </c>
      <c r="G274" s="322">
        <v>-1427.5425441017337</v>
      </c>
      <c r="H274" s="322">
        <v>6.1243332284987044</v>
      </c>
      <c r="I274" s="322">
        <v>-233.09354518119127</v>
      </c>
      <c r="K274" s="223">
        <f t="shared" si="19"/>
        <v>1296215.9649704967</v>
      </c>
      <c r="L274" s="223">
        <f t="shared" si="19"/>
        <v>927328.42871647258</v>
      </c>
      <c r="M274" s="114">
        <f t="shared" si="20"/>
        <v>1</v>
      </c>
      <c r="N274" s="114">
        <f t="shared" si="21"/>
        <v>0</v>
      </c>
      <c r="Q274" s="320">
        <f t="shared" si="22"/>
        <v>26300</v>
      </c>
      <c r="R274" s="101">
        <v>1</v>
      </c>
      <c r="S274" s="101">
        <v>0</v>
      </c>
      <c r="T274" s="12"/>
      <c r="U274" s="210"/>
      <c r="V274" s="13"/>
      <c r="W274" s="13"/>
      <c r="X274" s="13"/>
      <c r="Y274" s="13"/>
      <c r="Z274" s="13"/>
      <c r="AA274" s="13"/>
      <c r="AB274" s="13"/>
      <c r="AC274" s="13"/>
      <c r="AD274" s="13"/>
      <c r="AE274" s="13"/>
    </row>
    <row r="275" spans="1:31" ht="21" x14ac:dyDescent="0.4">
      <c r="A275" s="210"/>
      <c r="B275" s="108">
        <v>265</v>
      </c>
      <c r="C275" s="297">
        <v>1968.8586023403614</v>
      </c>
      <c r="D275" s="297">
        <v>2488.1022567139353</v>
      </c>
      <c r="E275" s="297">
        <v>21.213682052977514</v>
      </c>
      <c r="F275" s="297">
        <v>15.635280063018399</v>
      </c>
      <c r="G275" s="322">
        <v>-519.24365437357392</v>
      </c>
      <c r="H275" s="322">
        <v>5.5784019899591151</v>
      </c>
      <c r="I275" s="322">
        <v>-93.081075065617412</v>
      </c>
      <c r="K275" s="223">
        <f t="shared" si="19"/>
        <v>1270852.0645763106</v>
      </c>
      <c r="L275" s="223">
        <f t="shared" si="19"/>
        <v>935628.70152439002</v>
      </c>
      <c r="M275" s="114">
        <f t="shared" si="20"/>
        <v>1</v>
      </c>
      <c r="N275" s="114">
        <f t="shared" si="21"/>
        <v>0</v>
      </c>
      <c r="Q275" s="320">
        <f t="shared" si="22"/>
        <v>26400</v>
      </c>
      <c r="R275" s="101">
        <v>1</v>
      </c>
      <c r="S275" s="101">
        <v>0</v>
      </c>
      <c r="T275" s="12"/>
      <c r="U275" s="210"/>
      <c r="V275" s="13"/>
      <c r="W275" s="13"/>
      <c r="X275" s="13"/>
      <c r="Y275" s="13"/>
      <c r="Z275" s="13"/>
      <c r="AA275" s="13"/>
      <c r="AB275" s="13"/>
      <c r="AC275" s="13"/>
      <c r="AD275" s="13"/>
      <c r="AE275" s="13"/>
    </row>
    <row r="276" spans="1:31" ht="21" x14ac:dyDescent="0.4">
      <c r="A276" s="210"/>
      <c r="B276" s="108">
        <v>266</v>
      </c>
      <c r="C276" s="297">
        <v>2373.087730467676</v>
      </c>
      <c r="D276" s="297">
        <v>3370.2298237616915</v>
      </c>
      <c r="E276" s="297">
        <v>19.210079040831197</v>
      </c>
      <c r="F276" s="297">
        <v>13.842602136336039</v>
      </c>
      <c r="G276" s="322">
        <v>-997.14209329401547</v>
      </c>
      <c r="H276" s="322">
        <v>5.3674769044951578</v>
      </c>
      <c r="I276" s="322">
        <v>-185.77482698787736</v>
      </c>
      <c r="K276" s="223">
        <f t="shared" si="19"/>
        <v>1150231.6547194039</v>
      </c>
      <c r="L276" s="223">
        <f t="shared" si="19"/>
        <v>827185.89835640055</v>
      </c>
      <c r="M276" s="114">
        <f t="shared" si="20"/>
        <v>1</v>
      </c>
      <c r="N276" s="114">
        <f t="shared" si="21"/>
        <v>0</v>
      </c>
      <c r="Q276" s="320">
        <f t="shared" si="22"/>
        <v>26500</v>
      </c>
      <c r="R276" s="101">
        <v>1</v>
      </c>
      <c r="S276" s="101">
        <v>0</v>
      </c>
      <c r="T276" s="12"/>
      <c r="U276" s="210"/>
      <c r="V276" s="13"/>
      <c r="W276" s="13"/>
      <c r="X276" s="13"/>
      <c r="Y276" s="13"/>
      <c r="Z276" s="13"/>
      <c r="AA276" s="13"/>
      <c r="AB276" s="13"/>
      <c r="AC276" s="13"/>
      <c r="AD276" s="13"/>
      <c r="AE276" s="13"/>
    </row>
    <row r="277" spans="1:31" ht="21" x14ac:dyDescent="0.4">
      <c r="A277" s="210"/>
      <c r="B277" s="108">
        <v>267</v>
      </c>
      <c r="C277" s="297">
        <v>2093.6492969643446</v>
      </c>
      <c r="D277" s="297">
        <v>3500.7802255964152</v>
      </c>
      <c r="E277" s="297">
        <v>17.917808158985817</v>
      </c>
      <c r="F277" s="297">
        <v>12.641615865746164</v>
      </c>
      <c r="G277" s="322">
        <v>-1407.1309286320707</v>
      </c>
      <c r="H277" s="322">
        <v>5.276192293239653</v>
      </c>
      <c r="I277" s="322">
        <v>-266.69439823772484</v>
      </c>
      <c r="K277" s="223">
        <f t="shared" si="19"/>
        <v>1072974.8402421847</v>
      </c>
      <c r="L277" s="223">
        <f t="shared" si="19"/>
        <v>754996.17171917344</v>
      </c>
      <c r="M277" s="114">
        <f t="shared" si="20"/>
        <v>1</v>
      </c>
      <c r="N277" s="114">
        <f t="shared" si="21"/>
        <v>0</v>
      </c>
      <c r="Q277" s="320">
        <f t="shared" si="22"/>
        <v>26600</v>
      </c>
      <c r="R277" s="101">
        <v>1</v>
      </c>
      <c r="S277" s="101">
        <v>0</v>
      </c>
      <c r="T277" s="12"/>
      <c r="U277" s="210"/>
      <c r="V277" s="13"/>
      <c r="W277" s="13"/>
      <c r="X277" s="13"/>
      <c r="Y277" s="13"/>
      <c r="Z277" s="13"/>
      <c r="AA277" s="13"/>
      <c r="AB277" s="13"/>
      <c r="AC277" s="13"/>
      <c r="AD277" s="13"/>
      <c r="AE277" s="13"/>
    </row>
    <row r="278" spans="1:31" ht="21" x14ac:dyDescent="0.4">
      <c r="A278" s="210"/>
      <c r="B278" s="108">
        <v>268</v>
      </c>
      <c r="C278" s="297">
        <v>2239.8789445947177</v>
      </c>
      <c r="D278" s="297">
        <v>3173.3390638010087</v>
      </c>
      <c r="E278" s="297">
        <v>16.378120523590184</v>
      </c>
      <c r="F278" s="297">
        <v>10.905511705980691</v>
      </c>
      <c r="G278" s="322">
        <v>-933.46011920629098</v>
      </c>
      <c r="H278" s="322">
        <v>5.4726088176094922</v>
      </c>
      <c r="I278" s="322">
        <v>-170.56949442515401</v>
      </c>
      <c r="K278" s="223">
        <f t="shared" si="19"/>
        <v>980447.35247081623</v>
      </c>
      <c r="L278" s="223">
        <f t="shared" si="19"/>
        <v>651157.36329504044</v>
      </c>
      <c r="M278" s="114">
        <f t="shared" si="20"/>
        <v>1</v>
      </c>
      <c r="N278" s="114">
        <f t="shared" si="21"/>
        <v>0</v>
      </c>
      <c r="Q278" s="320">
        <f t="shared" si="22"/>
        <v>26700</v>
      </c>
      <c r="R278" s="101">
        <v>1</v>
      </c>
      <c r="S278" s="101">
        <v>0</v>
      </c>
      <c r="T278" s="12"/>
      <c r="U278" s="210"/>
      <c r="V278" s="13"/>
      <c r="W278" s="13"/>
      <c r="X278" s="13"/>
      <c r="Y278" s="13"/>
      <c r="Z278" s="13"/>
      <c r="AA278" s="13"/>
      <c r="AB278" s="13"/>
      <c r="AC278" s="13"/>
      <c r="AD278" s="13"/>
      <c r="AE278" s="13"/>
    </row>
    <row r="279" spans="1:31" ht="21" x14ac:dyDescent="0.4">
      <c r="A279" s="210"/>
      <c r="B279" s="108">
        <v>269</v>
      </c>
      <c r="C279" s="297">
        <v>1890.8181988425501</v>
      </c>
      <c r="D279" s="297">
        <v>2897.7717467693892</v>
      </c>
      <c r="E279" s="297">
        <v>17.683560378523929</v>
      </c>
      <c r="F279" s="297">
        <v>13.157427887884893</v>
      </c>
      <c r="G279" s="322">
        <v>-1006.9535479268391</v>
      </c>
      <c r="H279" s="322">
        <v>4.5261324906390357</v>
      </c>
      <c r="I279" s="322">
        <v>-222.47549094274731</v>
      </c>
      <c r="K279" s="223">
        <f t="shared" si="19"/>
        <v>1059122.8045125932</v>
      </c>
      <c r="L279" s="223">
        <f t="shared" si="19"/>
        <v>786547.9015263241</v>
      </c>
      <c r="M279" s="114">
        <f t="shared" si="20"/>
        <v>1</v>
      </c>
      <c r="N279" s="114">
        <f t="shared" si="21"/>
        <v>0</v>
      </c>
      <c r="Q279" s="320">
        <f t="shared" si="22"/>
        <v>26800</v>
      </c>
      <c r="R279" s="101">
        <v>1</v>
      </c>
      <c r="S279" s="101">
        <v>0</v>
      </c>
      <c r="T279" s="12"/>
      <c r="U279" s="210"/>
      <c r="V279" s="13"/>
      <c r="W279" s="13"/>
      <c r="X279" s="13"/>
      <c r="Y279" s="13"/>
      <c r="Z279" s="13"/>
      <c r="AA279" s="13"/>
      <c r="AB279" s="13"/>
      <c r="AC279" s="13"/>
      <c r="AD279" s="13"/>
      <c r="AE279" s="13"/>
    </row>
    <row r="280" spans="1:31" ht="21" x14ac:dyDescent="0.4">
      <c r="A280" s="210"/>
      <c r="B280" s="108">
        <v>270</v>
      </c>
      <c r="C280" s="297">
        <v>2241.1379402605612</v>
      </c>
      <c r="D280" s="297">
        <v>3300.0860234926454</v>
      </c>
      <c r="E280" s="297">
        <v>18.047542078338928</v>
      </c>
      <c r="F280" s="297">
        <v>13.449800334288906</v>
      </c>
      <c r="G280" s="322">
        <v>-1058.9480832320842</v>
      </c>
      <c r="H280" s="322">
        <v>4.5977417440500226</v>
      </c>
      <c r="I280" s="322">
        <v>-230.31917453877833</v>
      </c>
      <c r="K280" s="223">
        <f t="shared" si="19"/>
        <v>1080611.3867600751</v>
      </c>
      <c r="L280" s="223">
        <f t="shared" si="19"/>
        <v>803687.93403384171</v>
      </c>
      <c r="M280" s="114">
        <f t="shared" si="20"/>
        <v>1</v>
      </c>
      <c r="N280" s="114">
        <f t="shared" si="21"/>
        <v>0</v>
      </c>
      <c r="Q280" s="320">
        <f t="shared" si="22"/>
        <v>26900</v>
      </c>
      <c r="R280" s="101">
        <v>1</v>
      </c>
      <c r="S280" s="101">
        <v>0</v>
      </c>
      <c r="T280" s="12"/>
      <c r="U280" s="210"/>
      <c r="V280" s="13"/>
      <c r="W280" s="13"/>
      <c r="X280" s="13"/>
      <c r="Y280" s="13"/>
      <c r="Z280" s="13"/>
      <c r="AA280" s="13"/>
      <c r="AB280" s="13"/>
      <c r="AC280" s="13"/>
      <c r="AD280" s="13"/>
      <c r="AE280" s="13"/>
    </row>
    <row r="281" spans="1:31" ht="21" x14ac:dyDescent="0.4">
      <c r="A281" s="210"/>
      <c r="B281" s="108">
        <v>271</v>
      </c>
      <c r="C281" s="297">
        <v>2037.6599800679674</v>
      </c>
      <c r="D281" s="297">
        <v>3040.8117619485006</v>
      </c>
      <c r="E281" s="297">
        <v>19.535432977346645</v>
      </c>
      <c r="F281" s="297">
        <v>14.953620262624788</v>
      </c>
      <c r="G281" s="322">
        <v>-1003.1517818805332</v>
      </c>
      <c r="H281" s="322">
        <v>4.5818127147218561</v>
      </c>
      <c r="I281" s="322">
        <v>-218.94211840158783</v>
      </c>
      <c r="K281" s="223">
        <f t="shared" si="19"/>
        <v>1170088.3186607307</v>
      </c>
      <c r="L281" s="223">
        <f t="shared" si="19"/>
        <v>894176.40399553883</v>
      </c>
      <c r="M281" s="114">
        <f t="shared" si="20"/>
        <v>1</v>
      </c>
      <c r="N281" s="114">
        <f t="shared" si="21"/>
        <v>0</v>
      </c>
      <c r="Q281" s="320">
        <f t="shared" si="22"/>
        <v>27000</v>
      </c>
      <c r="R281" s="101">
        <v>1</v>
      </c>
      <c r="S281" s="101">
        <v>0</v>
      </c>
      <c r="T281" s="12"/>
      <c r="U281" s="210"/>
      <c r="V281" s="13"/>
      <c r="W281" s="13"/>
      <c r="X281" s="13"/>
      <c r="Y281" s="13"/>
      <c r="Z281" s="13"/>
      <c r="AA281" s="13"/>
      <c r="AB281" s="13"/>
      <c r="AC281" s="13"/>
      <c r="AD281" s="13"/>
      <c r="AE281" s="13"/>
    </row>
    <row r="282" spans="1:31" ht="21" x14ac:dyDescent="0.4">
      <c r="A282" s="210"/>
      <c r="B282" s="108">
        <v>272</v>
      </c>
      <c r="C282" s="297">
        <v>2112.6345410964395</v>
      </c>
      <c r="D282" s="297">
        <v>3360.0018418329091</v>
      </c>
      <c r="E282" s="297">
        <v>20.081489805967486</v>
      </c>
      <c r="F282" s="297">
        <v>13.990010614765808</v>
      </c>
      <c r="G282" s="322">
        <v>-1247.3673007364696</v>
      </c>
      <c r="H282" s="322">
        <v>6.0914791912016781</v>
      </c>
      <c r="I282" s="322">
        <v>-204.77247998123735</v>
      </c>
      <c r="K282" s="223">
        <f t="shared" si="19"/>
        <v>1202776.7538169527</v>
      </c>
      <c r="L282" s="223">
        <f t="shared" si="19"/>
        <v>836040.6350441156</v>
      </c>
      <c r="M282" s="114">
        <f t="shared" si="20"/>
        <v>1</v>
      </c>
      <c r="N282" s="114">
        <f t="shared" si="21"/>
        <v>0</v>
      </c>
      <c r="Q282" s="320">
        <f t="shared" si="22"/>
        <v>27100</v>
      </c>
      <c r="R282" s="101">
        <v>1</v>
      </c>
      <c r="S282" s="101">
        <v>0</v>
      </c>
      <c r="T282" s="12"/>
      <c r="U282" s="210"/>
      <c r="V282" s="13"/>
      <c r="W282" s="13"/>
      <c r="X282" s="13"/>
      <c r="Y282" s="13"/>
      <c r="Z282" s="13"/>
      <c r="AA282" s="13"/>
      <c r="AB282" s="13"/>
      <c r="AC282" s="13"/>
      <c r="AD282" s="13"/>
      <c r="AE282" s="13"/>
    </row>
    <row r="283" spans="1:31" ht="21" x14ac:dyDescent="0.4">
      <c r="A283" s="210"/>
      <c r="B283" s="108">
        <v>273</v>
      </c>
      <c r="C283" s="297">
        <v>2087.3575306834618</v>
      </c>
      <c r="D283" s="297">
        <v>3459.9226113455015</v>
      </c>
      <c r="E283" s="297">
        <v>19.625308057667688</v>
      </c>
      <c r="F283" s="297">
        <v>14.038395282558179</v>
      </c>
      <c r="G283" s="322">
        <v>-1372.5650806620397</v>
      </c>
      <c r="H283" s="322">
        <v>5.5869127751095089</v>
      </c>
      <c r="I283" s="322">
        <v>-245.67505094710128</v>
      </c>
      <c r="K283" s="223">
        <f t="shared" si="19"/>
        <v>1175431.1259293777</v>
      </c>
      <c r="L283" s="223">
        <f t="shared" si="19"/>
        <v>838843.79434214521</v>
      </c>
      <c r="M283" s="114">
        <f t="shared" si="20"/>
        <v>1</v>
      </c>
      <c r="N283" s="114">
        <f t="shared" si="21"/>
        <v>0</v>
      </c>
      <c r="Q283" s="320">
        <f t="shared" si="22"/>
        <v>27200</v>
      </c>
      <c r="R283" s="101">
        <v>1</v>
      </c>
      <c r="S283" s="101">
        <v>0</v>
      </c>
      <c r="T283" s="12"/>
      <c r="U283" s="210"/>
      <c r="V283" s="13"/>
      <c r="W283" s="13"/>
      <c r="X283" s="13"/>
      <c r="Y283" s="13"/>
      <c r="Z283" s="13"/>
      <c r="AA283" s="13"/>
      <c r="AB283" s="13"/>
      <c r="AC283" s="13"/>
      <c r="AD283" s="13"/>
      <c r="AE283" s="13"/>
    </row>
    <row r="284" spans="1:31" ht="21" x14ac:dyDescent="0.4">
      <c r="A284" s="210"/>
      <c r="B284" s="108">
        <v>274</v>
      </c>
      <c r="C284" s="297">
        <v>2299.8767396363955</v>
      </c>
      <c r="D284" s="297">
        <v>2931.9737791412508</v>
      </c>
      <c r="E284" s="297">
        <v>20.946586705281931</v>
      </c>
      <c r="F284" s="297">
        <v>15.267448127622005</v>
      </c>
      <c r="G284" s="322">
        <v>-632.09703950485527</v>
      </c>
      <c r="H284" s="322">
        <v>5.6791385776599252</v>
      </c>
      <c r="I284" s="322">
        <v>-111.30156992318177</v>
      </c>
      <c r="K284" s="223">
        <f t="shared" si="19"/>
        <v>1254495.3255772796</v>
      </c>
      <c r="L284" s="223">
        <f t="shared" si="19"/>
        <v>913114.91387817916</v>
      </c>
      <c r="M284" s="114">
        <f t="shared" si="20"/>
        <v>1</v>
      </c>
      <c r="N284" s="114">
        <f t="shared" si="21"/>
        <v>0</v>
      </c>
      <c r="Q284" s="320">
        <f t="shared" si="22"/>
        <v>27300</v>
      </c>
      <c r="R284" s="101">
        <v>1</v>
      </c>
      <c r="S284" s="101">
        <v>0</v>
      </c>
      <c r="T284" s="12"/>
      <c r="U284" s="210"/>
      <c r="V284" s="13"/>
      <c r="W284" s="13"/>
      <c r="X284" s="13"/>
      <c r="Y284" s="13"/>
      <c r="Z284" s="13"/>
      <c r="AA284" s="13"/>
      <c r="AB284" s="13"/>
      <c r="AC284" s="13"/>
      <c r="AD284" s="13"/>
      <c r="AE284" s="13"/>
    </row>
    <row r="285" spans="1:31" ht="21" x14ac:dyDescent="0.4">
      <c r="A285" s="210"/>
      <c r="B285" s="108">
        <v>275</v>
      </c>
      <c r="C285" s="297">
        <v>2002.8902182572429</v>
      </c>
      <c r="D285" s="297">
        <v>2723.3624289662112</v>
      </c>
      <c r="E285" s="297">
        <v>18.921144629847177</v>
      </c>
      <c r="F285" s="297">
        <v>13.546253332311268</v>
      </c>
      <c r="G285" s="322">
        <v>-720.4722107089683</v>
      </c>
      <c r="H285" s="322">
        <v>5.3748912975359087</v>
      </c>
      <c r="I285" s="322">
        <v>-134.04405239586242</v>
      </c>
      <c r="K285" s="223">
        <f t="shared" si="19"/>
        <v>1133265.7875725734</v>
      </c>
      <c r="L285" s="223">
        <f t="shared" si="19"/>
        <v>810051.83750970988</v>
      </c>
      <c r="M285" s="114">
        <f t="shared" si="20"/>
        <v>1</v>
      </c>
      <c r="N285" s="114">
        <f t="shared" si="21"/>
        <v>0</v>
      </c>
      <c r="Q285" s="320">
        <f t="shared" si="22"/>
        <v>27400</v>
      </c>
      <c r="R285" s="101">
        <v>1</v>
      </c>
      <c r="S285" s="101">
        <v>0</v>
      </c>
      <c r="T285" s="12"/>
      <c r="U285" s="210"/>
      <c r="V285" s="13"/>
      <c r="W285" s="13"/>
      <c r="X285" s="13"/>
      <c r="Y285" s="13"/>
      <c r="Z285" s="13"/>
      <c r="AA285" s="13"/>
      <c r="AB285" s="13"/>
      <c r="AC285" s="13"/>
      <c r="AD285" s="13"/>
      <c r="AE285" s="13"/>
    </row>
    <row r="286" spans="1:31" ht="21" x14ac:dyDescent="0.4">
      <c r="A286" s="210"/>
      <c r="B286" s="108">
        <v>276</v>
      </c>
      <c r="C286" s="297">
        <v>2035.8919418554897</v>
      </c>
      <c r="D286" s="297">
        <v>2935.5982757501174</v>
      </c>
      <c r="E286" s="297">
        <v>19.496017613903341</v>
      </c>
      <c r="F286" s="297">
        <v>13.648059071544068</v>
      </c>
      <c r="G286" s="322">
        <v>-899.70633389462773</v>
      </c>
      <c r="H286" s="322">
        <v>5.8479585423592724</v>
      </c>
      <c r="I286" s="322">
        <v>-153.84964297842893</v>
      </c>
      <c r="K286" s="223">
        <f t="shared" si="19"/>
        <v>1167725.164892345</v>
      </c>
      <c r="L286" s="223">
        <f t="shared" si="19"/>
        <v>815947.94601689407</v>
      </c>
      <c r="M286" s="114">
        <f t="shared" si="20"/>
        <v>1</v>
      </c>
      <c r="N286" s="114">
        <f t="shared" si="21"/>
        <v>0</v>
      </c>
      <c r="Q286" s="320">
        <f t="shared" si="22"/>
        <v>27500</v>
      </c>
      <c r="R286" s="101">
        <v>1</v>
      </c>
      <c r="S286" s="101">
        <v>0</v>
      </c>
      <c r="T286" s="12"/>
      <c r="U286" s="210"/>
      <c r="V286" s="13"/>
      <c r="W286" s="13"/>
      <c r="X286" s="13"/>
      <c r="Y286" s="13"/>
      <c r="Z286" s="13"/>
      <c r="AA286" s="13"/>
      <c r="AB286" s="13"/>
      <c r="AC286" s="13"/>
      <c r="AD286" s="13"/>
      <c r="AE286" s="13"/>
    </row>
    <row r="287" spans="1:31" ht="21" x14ac:dyDescent="0.4">
      <c r="A287" s="210"/>
      <c r="B287" s="108">
        <v>277</v>
      </c>
      <c r="C287" s="297">
        <v>1848.6541325261928</v>
      </c>
      <c r="D287" s="297">
        <v>3141.9101023323556</v>
      </c>
      <c r="E287" s="297">
        <v>17.094366625531713</v>
      </c>
      <c r="F287" s="297">
        <v>12.115649652204</v>
      </c>
      <c r="G287" s="322">
        <v>-1293.2559698061627</v>
      </c>
      <c r="H287" s="322">
        <v>4.9787169733277121</v>
      </c>
      <c r="I287" s="322">
        <v>-259.75687646726516</v>
      </c>
      <c r="K287" s="223">
        <f t="shared" si="19"/>
        <v>1023813.3433993766</v>
      </c>
      <c r="L287" s="223">
        <f t="shared" si="19"/>
        <v>723797.0690299077</v>
      </c>
      <c r="M287" s="114">
        <f t="shared" si="20"/>
        <v>1</v>
      </c>
      <c r="N287" s="114">
        <f t="shared" si="21"/>
        <v>0</v>
      </c>
      <c r="Q287" s="320">
        <f t="shared" si="22"/>
        <v>27600</v>
      </c>
      <c r="R287" s="101">
        <v>1</v>
      </c>
      <c r="S287" s="101">
        <v>0</v>
      </c>
      <c r="T287" s="12"/>
      <c r="U287" s="210"/>
      <c r="V287" s="13"/>
      <c r="W287" s="13"/>
      <c r="X287" s="13"/>
      <c r="Y287" s="13"/>
      <c r="Z287" s="13"/>
      <c r="AA287" s="13"/>
      <c r="AB287" s="13"/>
      <c r="AC287" s="13"/>
      <c r="AD287" s="13"/>
      <c r="AE287" s="13"/>
    </row>
    <row r="288" spans="1:31" ht="21" x14ac:dyDescent="0.4">
      <c r="A288" s="210"/>
      <c r="B288" s="108">
        <v>278</v>
      </c>
      <c r="C288" s="297">
        <v>2082.0462321284526</v>
      </c>
      <c r="D288" s="297">
        <v>3182.9742762075771</v>
      </c>
      <c r="E288" s="297">
        <v>18.179838125434877</v>
      </c>
      <c r="F288" s="297">
        <v>12.462744608416608</v>
      </c>
      <c r="G288" s="322">
        <v>-1100.9280440791244</v>
      </c>
      <c r="H288" s="322">
        <v>5.7170935170182684</v>
      </c>
      <c r="I288" s="322">
        <v>-192.56778655132265</v>
      </c>
      <c r="K288" s="223">
        <f t="shared" si="19"/>
        <v>1088708.2412939642</v>
      </c>
      <c r="L288" s="223">
        <f t="shared" si="19"/>
        <v>744581.70222878887</v>
      </c>
      <c r="M288" s="114">
        <f t="shared" si="20"/>
        <v>1</v>
      </c>
      <c r="N288" s="114">
        <f t="shared" si="21"/>
        <v>0</v>
      </c>
      <c r="Q288" s="320">
        <f t="shared" si="22"/>
        <v>27700</v>
      </c>
      <c r="R288" s="101">
        <v>1</v>
      </c>
      <c r="S288" s="101">
        <v>0</v>
      </c>
      <c r="T288" s="12"/>
      <c r="U288" s="210"/>
      <c r="V288" s="13"/>
      <c r="W288" s="13"/>
      <c r="X288" s="13"/>
      <c r="Y288" s="13"/>
      <c r="Z288" s="13"/>
      <c r="AA288" s="13"/>
      <c r="AB288" s="13"/>
      <c r="AC288" s="13"/>
      <c r="AD288" s="13"/>
      <c r="AE288" s="13"/>
    </row>
    <row r="289" spans="1:31" ht="21" x14ac:dyDescent="0.4">
      <c r="A289" s="210"/>
      <c r="B289" s="108">
        <v>279</v>
      </c>
      <c r="C289" s="297">
        <v>2036.1994563206549</v>
      </c>
      <c r="D289" s="297">
        <v>2877.1967549921756</v>
      </c>
      <c r="E289" s="297">
        <v>18.546470185099825</v>
      </c>
      <c r="F289" s="297">
        <v>14.121088688049586</v>
      </c>
      <c r="G289" s="322">
        <v>-840.99729867152064</v>
      </c>
      <c r="H289" s="322">
        <v>4.425381497050239</v>
      </c>
      <c r="I289" s="322">
        <v>-190.03950263544323</v>
      </c>
      <c r="K289" s="223">
        <f t="shared" si="19"/>
        <v>1110752.0116496689</v>
      </c>
      <c r="L289" s="223">
        <f t="shared" si="19"/>
        <v>844388.12452798302</v>
      </c>
      <c r="M289" s="114">
        <f t="shared" si="20"/>
        <v>1</v>
      </c>
      <c r="N289" s="114">
        <f t="shared" si="21"/>
        <v>0</v>
      </c>
      <c r="Q289" s="320">
        <f t="shared" si="22"/>
        <v>27800</v>
      </c>
      <c r="R289" s="101">
        <v>1</v>
      </c>
      <c r="S289" s="101">
        <v>0</v>
      </c>
      <c r="T289" s="12"/>
      <c r="U289" s="210"/>
      <c r="V289" s="13"/>
      <c r="W289" s="13"/>
      <c r="X289" s="13"/>
      <c r="Y289" s="13"/>
      <c r="Z289" s="13"/>
      <c r="AA289" s="13"/>
      <c r="AB289" s="13"/>
      <c r="AC289" s="13"/>
      <c r="AD289" s="13"/>
      <c r="AE289" s="13"/>
    </row>
    <row r="290" spans="1:31" ht="21" x14ac:dyDescent="0.4">
      <c r="A290" s="210"/>
      <c r="B290" s="108">
        <v>280</v>
      </c>
      <c r="C290" s="297">
        <v>2087.7321472968806</v>
      </c>
      <c r="D290" s="297">
        <v>3448.5277676841433</v>
      </c>
      <c r="E290" s="297">
        <v>19.46559162030254</v>
      </c>
      <c r="F290" s="297">
        <v>14.272461974634496</v>
      </c>
      <c r="G290" s="322">
        <v>-1360.7956203872627</v>
      </c>
      <c r="H290" s="322">
        <v>5.1931296456680442</v>
      </c>
      <c r="I290" s="322">
        <v>-262.03767539722378</v>
      </c>
      <c r="K290" s="223">
        <f t="shared" si="19"/>
        <v>1165847.7650708556</v>
      </c>
      <c r="L290" s="223">
        <f t="shared" si="19"/>
        <v>852899.19071038556</v>
      </c>
      <c r="M290" s="114">
        <f t="shared" si="20"/>
        <v>1</v>
      </c>
      <c r="N290" s="114">
        <f t="shared" si="21"/>
        <v>0</v>
      </c>
      <c r="Q290" s="320">
        <f t="shared" si="22"/>
        <v>27900</v>
      </c>
      <c r="R290" s="101">
        <v>1</v>
      </c>
      <c r="S290" s="101">
        <v>0</v>
      </c>
      <c r="T290" s="12"/>
      <c r="U290" s="210"/>
      <c r="V290" s="13"/>
      <c r="W290" s="13"/>
      <c r="X290" s="13"/>
      <c r="Y290" s="13"/>
      <c r="Z290" s="13"/>
      <c r="AA290" s="13"/>
      <c r="AB290" s="13"/>
      <c r="AC290" s="13"/>
      <c r="AD290" s="13"/>
      <c r="AE290" s="13"/>
    </row>
    <row r="291" spans="1:31" ht="21" x14ac:dyDescent="0.4">
      <c r="A291" s="210"/>
      <c r="B291" s="108">
        <v>281</v>
      </c>
      <c r="C291" s="297">
        <v>2253.3585334448558</v>
      </c>
      <c r="D291" s="297">
        <v>2824.4003938818705</v>
      </c>
      <c r="E291" s="297">
        <v>20.490261664820888</v>
      </c>
      <c r="F291" s="297">
        <v>14.724949751677293</v>
      </c>
      <c r="G291" s="322">
        <v>-571.04186043701475</v>
      </c>
      <c r="H291" s="322">
        <v>5.765311913143595</v>
      </c>
      <c r="I291" s="322">
        <v>-99.047869228925791</v>
      </c>
      <c r="K291" s="223">
        <f t="shared" si="19"/>
        <v>1227162.3413558085</v>
      </c>
      <c r="L291" s="223">
        <f t="shared" si="19"/>
        <v>880672.58470675582</v>
      </c>
      <c r="M291" s="114">
        <f t="shared" si="20"/>
        <v>1</v>
      </c>
      <c r="N291" s="114">
        <f t="shared" si="21"/>
        <v>0</v>
      </c>
      <c r="Q291" s="320">
        <f t="shared" si="22"/>
        <v>28000</v>
      </c>
      <c r="R291" s="101">
        <v>1</v>
      </c>
      <c r="S291" s="101">
        <v>0</v>
      </c>
      <c r="T291" s="12"/>
      <c r="U291" s="210"/>
      <c r="V291" s="13"/>
      <c r="W291" s="13"/>
      <c r="X291" s="13"/>
      <c r="Y291" s="13"/>
      <c r="Z291" s="13"/>
      <c r="AA291" s="13"/>
      <c r="AB291" s="13"/>
      <c r="AC291" s="13"/>
      <c r="AD291" s="13"/>
      <c r="AE291" s="13"/>
    </row>
    <row r="292" spans="1:31" ht="21" x14ac:dyDescent="0.4">
      <c r="A292" s="210"/>
      <c r="B292" s="108">
        <v>282</v>
      </c>
      <c r="C292" s="297">
        <v>2247.5145230099442</v>
      </c>
      <c r="D292" s="297">
        <v>3465.767759631638</v>
      </c>
      <c r="E292" s="297">
        <v>17.142113638192431</v>
      </c>
      <c r="F292" s="297">
        <v>11.789260882470737</v>
      </c>
      <c r="G292" s="322">
        <v>-1218.2532366216938</v>
      </c>
      <c r="H292" s="322">
        <v>5.3528527557216936</v>
      </c>
      <c r="I292" s="322">
        <v>-227.58952883945784</v>
      </c>
      <c r="K292" s="223">
        <f t="shared" si="19"/>
        <v>1026279.3037685358</v>
      </c>
      <c r="L292" s="223">
        <f t="shared" si="19"/>
        <v>703889.88518861262</v>
      </c>
      <c r="M292" s="114">
        <f t="shared" si="20"/>
        <v>1</v>
      </c>
      <c r="N292" s="114">
        <f t="shared" si="21"/>
        <v>0</v>
      </c>
      <c r="Q292" s="320">
        <f t="shared" si="22"/>
        <v>28100</v>
      </c>
      <c r="R292" s="101">
        <v>1</v>
      </c>
      <c r="S292" s="101">
        <v>0</v>
      </c>
      <c r="T292" s="12"/>
      <c r="U292" s="210"/>
      <c r="V292" s="13"/>
      <c r="W292" s="13"/>
      <c r="X292" s="13"/>
      <c r="Y292" s="13"/>
      <c r="Z292" s="13"/>
      <c r="AA292" s="13"/>
      <c r="AB292" s="13"/>
      <c r="AC292" s="13"/>
      <c r="AD292" s="13"/>
      <c r="AE292" s="13"/>
    </row>
    <row r="293" spans="1:31" ht="21" x14ac:dyDescent="0.4">
      <c r="A293" s="210"/>
      <c r="B293" s="108">
        <v>283</v>
      </c>
      <c r="C293" s="297">
        <v>2188.0805538280588</v>
      </c>
      <c r="D293" s="297">
        <v>3439.0262299817878</v>
      </c>
      <c r="E293" s="297">
        <v>18.816098820425573</v>
      </c>
      <c r="F293" s="297">
        <v>14.026033301315188</v>
      </c>
      <c r="G293" s="322">
        <v>-1250.945676153729</v>
      </c>
      <c r="H293" s="322">
        <v>4.7900655191103851</v>
      </c>
      <c r="I293" s="322">
        <v>-261.15418905294132</v>
      </c>
      <c r="K293" s="223">
        <f t="shared" si="19"/>
        <v>1126777.8486717064</v>
      </c>
      <c r="L293" s="223">
        <f t="shared" si="19"/>
        <v>838122.97184892942</v>
      </c>
      <c r="M293" s="114">
        <f t="shared" si="20"/>
        <v>1</v>
      </c>
      <c r="N293" s="114">
        <f t="shared" si="21"/>
        <v>0</v>
      </c>
      <c r="Q293" s="320">
        <f t="shared" si="22"/>
        <v>28200</v>
      </c>
      <c r="R293" s="101">
        <v>1</v>
      </c>
      <c r="S293" s="101">
        <v>0</v>
      </c>
      <c r="T293" s="12"/>
      <c r="U293" s="210"/>
      <c r="V293" s="13"/>
      <c r="W293" s="13"/>
      <c r="X293" s="13"/>
      <c r="Y293" s="13"/>
      <c r="Z293" s="13"/>
      <c r="AA293" s="13"/>
      <c r="AB293" s="13"/>
      <c r="AC293" s="13"/>
      <c r="AD293" s="13"/>
      <c r="AE293" s="13"/>
    </row>
    <row r="294" spans="1:31" ht="21" x14ac:dyDescent="0.4">
      <c r="A294" s="210"/>
      <c r="B294" s="108">
        <v>284</v>
      </c>
      <c r="C294" s="297">
        <v>2067.9223343027461</v>
      </c>
      <c r="D294" s="297">
        <v>3001.2327692906583</v>
      </c>
      <c r="E294" s="297">
        <v>17.801928536634282</v>
      </c>
      <c r="F294" s="297">
        <v>13.747774295133201</v>
      </c>
      <c r="G294" s="322">
        <v>-933.31043498791223</v>
      </c>
      <c r="H294" s="322">
        <v>4.0541542415010809</v>
      </c>
      <c r="I294" s="322">
        <v>-230.21088478428169</v>
      </c>
      <c r="K294" s="223">
        <f t="shared" si="19"/>
        <v>1066047.7898637543</v>
      </c>
      <c r="L294" s="223">
        <f t="shared" si="19"/>
        <v>821865.22493870137</v>
      </c>
      <c r="M294" s="114">
        <f t="shared" si="20"/>
        <v>1</v>
      </c>
      <c r="N294" s="114">
        <f t="shared" si="21"/>
        <v>0</v>
      </c>
      <c r="Q294" s="320">
        <f t="shared" si="22"/>
        <v>28300</v>
      </c>
      <c r="R294" s="101">
        <v>1</v>
      </c>
      <c r="S294" s="101">
        <v>0</v>
      </c>
      <c r="T294" s="12"/>
      <c r="U294" s="210"/>
      <c r="V294" s="13"/>
      <c r="W294" s="13"/>
      <c r="X294" s="13"/>
      <c r="Y294" s="13"/>
      <c r="Z294" s="13"/>
      <c r="AA294" s="13"/>
      <c r="AB294" s="13"/>
      <c r="AC294" s="13"/>
      <c r="AD294" s="13"/>
      <c r="AE294" s="13"/>
    </row>
    <row r="295" spans="1:31" ht="21" x14ac:dyDescent="0.4">
      <c r="A295" s="210"/>
      <c r="B295" s="108">
        <v>285</v>
      </c>
      <c r="C295" s="297">
        <v>2360.8991244067979</v>
      </c>
      <c r="D295" s="297">
        <v>3498.6168151587781</v>
      </c>
      <c r="E295" s="297">
        <v>16.270299195476525</v>
      </c>
      <c r="F295" s="297">
        <v>12.257263671942768</v>
      </c>
      <c r="G295" s="322">
        <v>-1137.7176907519802</v>
      </c>
      <c r="H295" s="322">
        <v>4.0130355235337571</v>
      </c>
      <c r="I295" s="322">
        <v>-283.50551199460614</v>
      </c>
      <c r="K295" s="223">
        <f t="shared" si="19"/>
        <v>973857.05260418472</v>
      </c>
      <c r="L295" s="223">
        <f t="shared" si="19"/>
        <v>731937.20350140729</v>
      </c>
      <c r="M295" s="114">
        <f t="shared" si="20"/>
        <v>1</v>
      </c>
      <c r="N295" s="114">
        <f t="shared" si="21"/>
        <v>0</v>
      </c>
      <c r="Q295" s="320">
        <f t="shared" si="22"/>
        <v>28400</v>
      </c>
      <c r="R295" s="101">
        <v>1</v>
      </c>
      <c r="S295" s="101">
        <v>0</v>
      </c>
      <c r="T295" s="12"/>
      <c r="U295" s="210"/>
      <c r="V295" s="13"/>
      <c r="W295" s="13"/>
      <c r="X295" s="13"/>
      <c r="Y295" s="13"/>
      <c r="Z295" s="13"/>
      <c r="AA295" s="13"/>
      <c r="AB295" s="13"/>
      <c r="AC295" s="13"/>
      <c r="AD295" s="13"/>
      <c r="AE295" s="13"/>
    </row>
    <row r="296" spans="1:31" ht="21" x14ac:dyDescent="0.4">
      <c r="A296" s="210"/>
      <c r="B296" s="108">
        <v>286</v>
      </c>
      <c r="C296" s="297">
        <v>1791.4700560651786</v>
      </c>
      <c r="D296" s="297">
        <v>2745.0775497321461</v>
      </c>
      <c r="E296" s="297">
        <v>19.498502152584223</v>
      </c>
      <c r="F296" s="297">
        <v>14.564753402077052</v>
      </c>
      <c r="G296" s="322">
        <v>-953.60749366696746</v>
      </c>
      <c r="H296" s="322">
        <v>4.9337487505071707</v>
      </c>
      <c r="I296" s="322">
        <v>-193.28254069868075</v>
      </c>
      <c r="K296" s="223">
        <f t="shared" si="19"/>
        <v>1168118.6590989882</v>
      </c>
      <c r="L296" s="223">
        <f t="shared" si="19"/>
        <v>871140.12657489092</v>
      </c>
      <c r="M296" s="114">
        <f t="shared" si="20"/>
        <v>1</v>
      </c>
      <c r="N296" s="114">
        <f t="shared" si="21"/>
        <v>0</v>
      </c>
      <c r="Q296" s="320">
        <f t="shared" si="22"/>
        <v>28500</v>
      </c>
      <c r="R296" s="101">
        <v>1</v>
      </c>
      <c r="S296" s="101">
        <v>0</v>
      </c>
      <c r="T296" s="12"/>
      <c r="U296" s="210"/>
      <c r="V296" s="13"/>
      <c r="W296" s="13"/>
      <c r="X296" s="13"/>
      <c r="Y296" s="13"/>
      <c r="Z296" s="13"/>
      <c r="AA296" s="13"/>
      <c r="AB296" s="13"/>
      <c r="AC296" s="13"/>
      <c r="AD296" s="13"/>
      <c r="AE296" s="13"/>
    </row>
    <row r="297" spans="1:31" ht="21" x14ac:dyDescent="0.4">
      <c r="A297" s="210"/>
      <c r="B297" s="108">
        <v>287</v>
      </c>
      <c r="C297" s="297">
        <v>2036.4793260368087</v>
      </c>
      <c r="D297" s="297">
        <v>3085.643596280268</v>
      </c>
      <c r="E297" s="297">
        <v>19.585818285793358</v>
      </c>
      <c r="F297" s="297">
        <v>14.412110170101592</v>
      </c>
      <c r="G297" s="322">
        <v>-1049.1642702434592</v>
      </c>
      <c r="H297" s="322">
        <v>5.1737081156917668</v>
      </c>
      <c r="I297" s="322">
        <v>-202.78768086304717</v>
      </c>
      <c r="K297" s="223">
        <f t="shared" si="19"/>
        <v>1173112.6178215647</v>
      </c>
      <c r="L297" s="223">
        <f t="shared" si="19"/>
        <v>861640.96660981525</v>
      </c>
      <c r="M297" s="114">
        <f t="shared" si="20"/>
        <v>1</v>
      </c>
      <c r="N297" s="114">
        <f t="shared" si="21"/>
        <v>0</v>
      </c>
      <c r="Q297" s="320">
        <f t="shared" si="22"/>
        <v>28600</v>
      </c>
      <c r="R297" s="101">
        <v>1</v>
      </c>
      <c r="S297" s="101">
        <v>0</v>
      </c>
      <c r="T297" s="12"/>
      <c r="U297" s="210"/>
      <c r="V297" s="13"/>
      <c r="W297" s="13"/>
      <c r="X297" s="13"/>
      <c r="Y297" s="13"/>
      <c r="Z297" s="13"/>
      <c r="AA297" s="13"/>
      <c r="AB297" s="13"/>
      <c r="AC297" s="13"/>
      <c r="AD297" s="13"/>
      <c r="AE297" s="13"/>
    </row>
    <row r="298" spans="1:31" ht="21" x14ac:dyDescent="0.4">
      <c r="A298" s="210"/>
      <c r="B298" s="108">
        <v>288</v>
      </c>
      <c r="C298" s="297">
        <v>2410.6017781759124</v>
      </c>
      <c r="D298" s="297">
        <v>3053.3662067281166</v>
      </c>
      <c r="E298" s="297">
        <v>20.537214442320785</v>
      </c>
      <c r="F298" s="297">
        <v>14.501212106021432</v>
      </c>
      <c r="G298" s="322">
        <v>-642.76442855220421</v>
      </c>
      <c r="H298" s="322">
        <v>6.0360023362993527</v>
      </c>
      <c r="I298" s="322">
        <v>-106.48843269770508</v>
      </c>
      <c r="K298" s="223">
        <f t="shared" si="19"/>
        <v>1229822.2647610712</v>
      </c>
      <c r="L298" s="223">
        <f t="shared" si="19"/>
        <v>867019.36015455774</v>
      </c>
      <c r="M298" s="114">
        <f t="shared" si="20"/>
        <v>1</v>
      </c>
      <c r="N298" s="114">
        <f t="shared" si="21"/>
        <v>0</v>
      </c>
      <c r="Q298" s="320">
        <f t="shared" si="22"/>
        <v>28700</v>
      </c>
      <c r="R298" s="101">
        <v>1</v>
      </c>
      <c r="S298" s="101">
        <v>0</v>
      </c>
      <c r="T298" s="12"/>
      <c r="U298" s="210"/>
      <c r="V298" s="13"/>
      <c r="W298" s="13"/>
      <c r="X298" s="13"/>
      <c r="Y298" s="13"/>
      <c r="Z298" s="13"/>
      <c r="AA298" s="13"/>
      <c r="AB298" s="13"/>
      <c r="AC298" s="13"/>
      <c r="AD298" s="13"/>
      <c r="AE298" s="13"/>
    </row>
    <row r="299" spans="1:31" ht="21" x14ac:dyDescent="0.4">
      <c r="A299" s="210"/>
      <c r="B299" s="108">
        <v>289</v>
      </c>
      <c r="C299" s="297">
        <v>1969.9887399118797</v>
      </c>
      <c r="D299" s="297">
        <v>2979.6479690791316</v>
      </c>
      <c r="E299" s="297">
        <v>19.753551880446043</v>
      </c>
      <c r="F299" s="297">
        <v>14.958241273629941</v>
      </c>
      <c r="G299" s="322">
        <v>-1009.6592291672519</v>
      </c>
      <c r="H299" s="322">
        <v>4.795310606816102</v>
      </c>
      <c r="I299" s="322">
        <v>-210.55137236201389</v>
      </c>
      <c r="K299" s="223">
        <f t="shared" si="19"/>
        <v>1183243.1240868506</v>
      </c>
      <c r="L299" s="223">
        <f t="shared" si="19"/>
        <v>894514.82844871737</v>
      </c>
      <c r="M299" s="114">
        <f t="shared" si="20"/>
        <v>1</v>
      </c>
      <c r="N299" s="114">
        <f t="shared" si="21"/>
        <v>0</v>
      </c>
      <c r="Q299" s="320">
        <f t="shared" si="22"/>
        <v>28800</v>
      </c>
      <c r="R299" s="101">
        <v>1</v>
      </c>
      <c r="S299" s="101">
        <v>0</v>
      </c>
      <c r="T299" s="12"/>
      <c r="U299" s="210"/>
      <c r="V299" s="13"/>
      <c r="W299" s="13"/>
      <c r="X299" s="13"/>
      <c r="Y299" s="13"/>
      <c r="Z299" s="13"/>
      <c r="AA299" s="13"/>
      <c r="AB299" s="13"/>
      <c r="AC299" s="13"/>
      <c r="AD299" s="13"/>
      <c r="AE299" s="13"/>
    </row>
    <row r="300" spans="1:31" ht="21" x14ac:dyDescent="0.4">
      <c r="A300" s="210"/>
      <c r="B300" s="108">
        <v>290</v>
      </c>
      <c r="C300" s="297">
        <v>2037.798941918508</v>
      </c>
      <c r="D300" s="297">
        <v>3149.2392740510113</v>
      </c>
      <c r="E300" s="297">
        <v>19.086626189363844</v>
      </c>
      <c r="F300" s="297">
        <v>13.972067980709943</v>
      </c>
      <c r="G300" s="322">
        <v>-1111.4403321325033</v>
      </c>
      <c r="H300" s="322">
        <v>5.1145582086539019</v>
      </c>
      <c r="I300" s="322">
        <v>-217.30915687926498</v>
      </c>
      <c r="K300" s="223">
        <f t="shared" si="19"/>
        <v>1143159.7724199123</v>
      </c>
      <c r="L300" s="223">
        <f t="shared" si="19"/>
        <v>835174.83956854546</v>
      </c>
      <c r="M300" s="114">
        <f t="shared" si="20"/>
        <v>1</v>
      </c>
      <c r="N300" s="114">
        <f t="shared" si="21"/>
        <v>0</v>
      </c>
      <c r="Q300" s="320">
        <f t="shared" si="22"/>
        <v>28900</v>
      </c>
      <c r="R300" s="101">
        <v>1</v>
      </c>
      <c r="S300" s="101">
        <v>0</v>
      </c>
      <c r="T300" s="12"/>
      <c r="U300" s="210"/>
      <c r="V300" s="13"/>
      <c r="W300" s="13"/>
      <c r="X300" s="13"/>
      <c r="Y300" s="13"/>
      <c r="Z300" s="13"/>
      <c r="AA300" s="13"/>
      <c r="AB300" s="13"/>
      <c r="AC300" s="13"/>
      <c r="AD300" s="13"/>
      <c r="AE300" s="13"/>
    </row>
    <row r="301" spans="1:31" ht="21" x14ac:dyDescent="0.4">
      <c r="A301" s="210"/>
      <c r="B301" s="108">
        <v>291</v>
      </c>
      <c r="C301" s="297">
        <v>1851.9927342652829</v>
      </c>
      <c r="D301" s="297">
        <v>3048.1717300377159</v>
      </c>
      <c r="E301" s="297">
        <v>18.195184246830923</v>
      </c>
      <c r="F301" s="297">
        <v>14.046797844082757</v>
      </c>
      <c r="G301" s="322">
        <v>-1196.1789957724329</v>
      </c>
      <c r="H301" s="322">
        <v>4.1483864027481658</v>
      </c>
      <c r="I301" s="322">
        <v>-288.34801767260751</v>
      </c>
      <c r="K301" s="223">
        <f t="shared" si="19"/>
        <v>1089859.06207559</v>
      </c>
      <c r="L301" s="223">
        <f t="shared" si="19"/>
        <v>839759.69891492778</v>
      </c>
      <c r="M301" s="114">
        <f t="shared" si="20"/>
        <v>1</v>
      </c>
      <c r="N301" s="114">
        <f t="shared" si="21"/>
        <v>0</v>
      </c>
      <c r="Q301" s="320">
        <f t="shared" si="22"/>
        <v>29000</v>
      </c>
      <c r="R301" s="101">
        <v>1</v>
      </c>
      <c r="S301" s="101">
        <v>0</v>
      </c>
      <c r="T301" s="12"/>
      <c r="U301" s="210"/>
      <c r="V301" s="13"/>
      <c r="W301" s="13"/>
      <c r="X301" s="13"/>
      <c r="Y301" s="13"/>
      <c r="Z301" s="13"/>
      <c r="AA301" s="13"/>
      <c r="AB301" s="13"/>
      <c r="AC301" s="13"/>
      <c r="AD301" s="13"/>
      <c r="AE301" s="13"/>
    </row>
    <row r="302" spans="1:31" ht="21" x14ac:dyDescent="0.4">
      <c r="A302" s="210"/>
      <c r="B302" s="108">
        <v>292</v>
      </c>
      <c r="C302" s="297">
        <v>2087.2928437485989</v>
      </c>
      <c r="D302" s="297">
        <v>3211.5208915286294</v>
      </c>
      <c r="E302" s="297">
        <v>21.051233877992573</v>
      </c>
      <c r="F302" s="297">
        <v>15.8748782877073</v>
      </c>
      <c r="G302" s="322">
        <v>-1124.2280477800305</v>
      </c>
      <c r="H302" s="322">
        <v>5.1763555902852723</v>
      </c>
      <c r="I302" s="322">
        <v>-217.18524320275176</v>
      </c>
      <c r="K302" s="223">
        <f t="shared" si="19"/>
        <v>1260986.7398358057</v>
      </c>
      <c r="L302" s="223">
        <f t="shared" si="19"/>
        <v>949281.17637090944</v>
      </c>
      <c r="M302" s="114">
        <f t="shared" si="20"/>
        <v>1</v>
      </c>
      <c r="N302" s="114">
        <f t="shared" si="21"/>
        <v>0</v>
      </c>
      <c r="Q302" s="320">
        <f t="shared" si="22"/>
        <v>29100</v>
      </c>
      <c r="R302" s="101">
        <v>1</v>
      </c>
      <c r="S302" s="101">
        <v>0</v>
      </c>
      <c r="T302" s="12"/>
      <c r="U302" s="210"/>
      <c r="V302" s="13"/>
      <c r="W302" s="13"/>
      <c r="X302" s="13"/>
      <c r="Y302" s="13"/>
      <c r="Z302" s="13"/>
      <c r="AA302" s="13"/>
      <c r="AB302" s="13"/>
      <c r="AC302" s="13"/>
      <c r="AD302" s="13"/>
      <c r="AE302" s="13"/>
    </row>
    <row r="303" spans="1:31" ht="21" x14ac:dyDescent="0.4">
      <c r="A303" s="210"/>
      <c r="B303" s="108">
        <v>293</v>
      </c>
      <c r="C303" s="297">
        <v>2173.8804411555429</v>
      </c>
      <c r="D303" s="297">
        <v>2998.2723115669405</v>
      </c>
      <c r="E303" s="297">
        <v>20.489349955806837</v>
      </c>
      <c r="F303" s="297">
        <v>15.756872411687954</v>
      </c>
      <c r="G303" s="322">
        <v>-824.39187041139758</v>
      </c>
      <c r="H303" s="322">
        <v>4.7324775441188827</v>
      </c>
      <c r="I303" s="322">
        <v>-174.19879180111084</v>
      </c>
      <c r="K303" s="223">
        <f t="shared" si="19"/>
        <v>1227187.1169072548</v>
      </c>
      <c r="L303" s="223">
        <f t="shared" si="19"/>
        <v>942414.07238971023</v>
      </c>
      <c r="M303" s="114">
        <f t="shared" si="20"/>
        <v>1</v>
      </c>
      <c r="N303" s="114">
        <f t="shared" si="21"/>
        <v>0</v>
      </c>
      <c r="Q303" s="320">
        <f t="shared" si="22"/>
        <v>29200</v>
      </c>
      <c r="R303" s="101">
        <v>1</v>
      </c>
      <c r="S303" s="101">
        <v>0</v>
      </c>
      <c r="T303" s="12"/>
      <c r="U303" s="210"/>
      <c r="V303" s="13"/>
      <c r="W303" s="13"/>
      <c r="X303" s="13"/>
      <c r="Y303" s="13"/>
      <c r="Z303" s="13"/>
      <c r="AA303" s="13"/>
      <c r="AB303" s="13"/>
      <c r="AC303" s="13"/>
      <c r="AD303" s="13"/>
      <c r="AE303" s="13"/>
    </row>
    <row r="304" spans="1:31" ht="21" x14ac:dyDescent="0.4">
      <c r="A304" s="210"/>
      <c r="B304" s="108">
        <v>294</v>
      </c>
      <c r="C304" s="297">
        <v>1832.137361262789</v>
      </c>
      <c r="D304" s="297">
        <v>2690.3507875222635</v>
      </c>
      <c r="E304" s="297">
        <v>15.970534084525903</v>
      </c>
      <c r="F304" s="297">
        <v>12.190520827450772</v>
      </c>
      <c r="G304" s="322">
        <v>-858.21342625947455</v>
      </c>
      <c r="H304" s="322">
        <v>3.7800132570751312</v>
      </c>
      <c r="I304" s="322">
        <v>-227.03979269203307</v>
      </c>
      <c r="K304" s="223">
        <f t="shared" si="19"/>
        <v>956399.90771029145</v>
      </c>
      <c r="L304" s="223">
        <f t="shared" si="19"/>
        <v>728740.89885952405</v>
      </c>
      <c r="M304" s="114">
        <f t="shared" si="20"/>
        <v>1</v>
      </c>
      <c r="N304" s="114">
        <f t="shared" si="21"/>
        <v>0</v>
      </c>
      <c r="Q304" s="320">
        <f t="shared" si="22"/>
        <v>29300</v>
      </c>
      <c r="R304" s="101">
        <v>1</v>
      </c>
      <c r="S304" s="101">
        <v>0</v>
      </c>
      <c r="T304" s="12"/>
      <c r="U304" s="210"/>
      <c r="V304" s="13"/>
      <c r="W304" s="13"/>
      <c r="X304" s="13"/>
      <c r="Y304" s="13"/>
      <c r="Z304" s="13"/>
      <c r="AA304" s="13"/>
      <c r="AB304" s="13"/>
      <c r="AC304" s="13"/>
      <c r="AD304" s="13"/>
      <c r="AE304" s="13"/>
    </row>
    <row r="305" spans="1:31" ht="21" x14ac:dyDescent="0.4">
      <c r="A305" s="210"/>
      <c r="B305" s="108">
        <v>295</v>
      </c>
      <c r="C305" s="297">
        <v>1898.9259276341895</v>
      </c>
      <c r="D305" s="297">
        <v>2972.5437381952638</v>
      </c>
      <c r="E305" s="297">
        <v>17.587960299155167</v>
      </c>
      <c r="F305" s="297">
        <v>13.339195813378723</v>
      </c>
      <c r="G305" s="322">
        <v>-1073.6178105610743</v>
      </c>
      <c r="H305" s="322">
        <v>4.2487644857764444</v>
      </c>
      <c r="I305" s="322">
        <v>-252.68941457103972</v>
      </c>
      <c r="K305" s="223">
        <f t="shared" si="19"/>
        <v>1053378.6920216759</v>
      </c>
      <c r="L305" s="223">
        <f t="shared" si="19"/>
        <v>797379.20506452816</v>
      </c>
      <c r="M305" s="114">
        <f t="shared" si="20"/>
        <v>1</v>
      </c>
      <c r="N305" s="114">
        <f t="shared" si="21"/>
        <v>0</v>
      </c>
      <c r="Q305" s="320">
        <f t="shared" si="22"/>
        <v>29400</v>
      </c>
      <c r="R305" s="101">
        <v>1</v>
      </c>
      <c r="S305" s="101">
        <v>0</v>
      </c>
      <c r="T305" s="12"/>
      <c r="U305" s="210"/>
      <c r="V305" s="13"/>
      <c r="W305" s="13"/>
      <c r="X305" s="13"/>
      <c r="Y305" s="13"/>
      <c r="Z305" s="13"/>
      <c r="AA305" s="13"/>
      <c r="AB305" s="13"/>
      <c r="AC305" s="13"/>
      <c r="AD305" s="13"/>
      <c r="AE305" s="13"/>
    </row>
    <row r="306" spans="1:31" ht="21" x14ac:dyDescent="0.4">
      <c r="A306" s="210"/>
      <c r="B306" s="108">
        <v>296</v>
      </c>
      <c r="C306" s="297">
        <v>2227.6806432804865</v>
      </c>
      <c r="D306" s="297">
        <v>2663.6170861233281</v>
      </c>
      <c r="E306" s="297">
        <v>18.584030152179007</v>
      </c>
      <c r="F306" s="297">
        <v>13.159457766677448</v>
      </c>
      <c r="G306" s="322">
        <v>-435.93644284284164</v>
      </c>
      <c r="H306" s="322">
        <v>5.4245723855015591</v>
      </c>
      <c r="I306" s="322">
        <v>-80.363282460380461</v>
      </c>
      <c r="K306" s="223">
        <f t="shared" si="19"/>
        <v>1112814.1284874598</v>
      </c>
      <c r="L306" s="223">
        <f t="shared" si="19"/>
        <v>786903.84891452361</v>
      </c>
      <c r="M306" s="114">
        <f t="shared" si="20"/>
        <v>1</v>
      </c>
      <c r="N306" s="114">
        <f t="shared" si="21"/>
        <v>0</v>
      </c>
      <c r="Q306" s="320">
        <f t="shared" si="22"/>
        <v>29500</v>
      </c>
      <c r="R306" s="101">
        <v>1</v>
      </c>
      <c r="S306" s="101">
        <v>0</v>
      </c>
      <c r="T306" s="12"/>
      <c r="U306" s="210"/>
      <c r="V306" s="13"/>
      <c r="W306" s="13"/>
      <c r="X306" s="13"/>
      <c r="Y306" s="13"/>
      <c r="Z306" s="13"/>
      <c r="AA306" s="13"/>
      <c r="AB306" s="13"/>
      <c r="AC306" s="13"/>
      <c r="AD306" s="13"/>
      <c r="AE306" s="13"/>
    </row>
    <row r="307" spans="1:31" ht="21" x14ac:dyDescent="0.4">
      <c r="A307" s="210"/>
      <c r="B307" s="108">
        <v>297</v>
      </c>
      <c r="C307" s="297">
        <v>2145.0445974544064</v>
      </c>
      <c r="D307" s="297">
        <v>2551.0209353432333</v>
      </c>
      <c r="E307" s="297">
        <v>19.757417207178161</v>
      </c>
      <c r="F307" s="297">
        <v>13.747232191560252</v>
      </c>
      <c r="G307" s="322">
        <v>-405.97633788882695</v>
      </c>
      <c r="H307" s="322">
        <v>6.0101850156179086</v>
      </c>
      <c r="I307" s="322">
        <v>-67.548059973838988</v>
      </c>
      <c r="K307" s="223">
        <f t="shared" si="19"/>
        <v>1183299.9878332352</v>
      </c>
      <c r="L307" s="223">
        <f t="shared" si="19"/>
        <v>822282.91055827192</v>
      </c>
      <c r="M307" s="114">
        <f t="shared" si="20"/>
        <v>1</v>
      </c>
      <c r="N307" s="114">
        <f t="shared" si="21"/>
        <v>0</v>
      </c>
      <c r="Q307" s="320">
        <f t="shared" si="22"/>
        <v>29600</v>
      </c>
      <c r="R307" s="101">
        <v>1</v>
      </c>
      <c r="S307" s="101">
        <v>0</v>
      </c>
      <c r="T307" s="12"/>
      <c r="U307" s="210"/>
      <c r="V307" s="13"/>
      <c r="W307" s="13"/>
      <c r="X307" s="13"/>
      <c r="Y307" s="13"/>
      <c r="Z307" s="13"/>
      <c r="AA307" s="13"/>
      <c r="AB307" s="13"/>
      <c r="AC307" s="13"/>
      <c r="AD307" s="13"/>
      <c r="AE307" s="13"/>
    </row>
    <row r="308" spans="1:31" ht="21" x14ac:dyDescent="0.4">
      <c r="A308" s="210"/>
      <c r="B308" s="108">
        <v>298</v>
      </c>
      <c r="C308" s="297">
        <v>2075.2286222938965</v>
      </c>
      <c r="D308" s="297">
        <v>3012.6043414723563</v>
      </c>
      <c r="E308" s="297">
        <v>18.854521420872693</v>
      </c>
      <c r="F308" s="297">
        <v>13.213983395282304</v>
      </c>
      <c r="G308" s="322">
        <v>-937.3757191784598</v>
      </c>
      <c r="H308" s="322">
        <v>5.6405380255903896</v>
      </c>
      <c r="I308" s="322">
        <v>-166.18551544652436</v>
      </c>
      <c r="K308" s="223">
        <f t="shared" si="19"/>
        <v>1129196.0566300678</v>
      </c>
      <c r="L308" s="223">
        <f t="shared" si="19"/>
        <v>789826.39937546581</v>
      </c>
      <c r="M308" s="114">
        <f t="shared" si="20"/>
        <v>1</v>
      </c>
      <c r="N308" s="114">
        <f t="shared" si="21"/>
        <v>0</v>
      </c>
      <c r="Q308" s="320">
        <f t="shared" si="22"/>
        <v>29700</v>
      </c>
      <c r="R308" s="101">
        <v>1</v>
      </c>
      <c r="S308" s="101">
        <v>0</v>
      </c>
      <c r="T308" s="12"/>
      <c r="U308" s="210"/>
      <c r="V308" s="13"/>
      <c r="W308" s="13"/>
      <c r="X308" s="13"/>
      <c r="Y308" s="13"/>
      <c r="Z308" s="13"/>
      <c r="AA308" s="13"/>
      <c r="AB308" s="13"/>
      <c r="AC308" s="13"/>
      <c r="AD308" s="13"/>
      <c r="AE308" s="13"/>
    </row>
    <row r="309" spans="1:31" ht="21" x14ac:dyDescent="0.4">
      <c r="A309" s="210"/>
      <c r="B309" s="108">
        <v>299</v>
      </c>
      <c r="C309" s="297">
        <v>2293.784840240111</v>
      </c>
      <c r="D309" s="297">
        <v>3225.8936400104276</v>
      </c>
      <c r="E309" s="297">
        <v>20.04105931681821</v>
      </c>
      <c r="F309" s="297">
        <v>13.853412148044969</v>
      </c>
      <c r="G309" s="322">
        <v>-932.10879977031664</v>
      </c>
      <c r="H309" s="322">
        <v>6.1876471687732408</v>
      </c>
      <c r="I309" s="322">
        <v>-150.64026347111772</v>
      </c>
      <c r="K309" s="223">
        <f t="shared" si="19"/>
        <v>1200169.7741688525</v>
      </c>
      <c r="L309" s="223">
        <f t="shared" si="19"/>
        <v>827978.83524268772</v>
      </c>
      <c r="M309" s="114">
        <f t="shared" si="20"/>
        <v>1</v>
      </c>
      <c r="N309" s="114">
        <f t="shared" si="21"/>
        <v>0</v>
      </c>
      <c r="Q309" s="320">
        <f t="shared" si="22"/>
        <v>29800</v>
      </c>
      <c r="R309" s="101">
        <v>1</v>
      </c>
      <c r="S309" s="101">
        <v>0</v>
      </c>
      <c r="T309" s="12"/>
      <c r="U309" s="210"/>
      <c r="V309" s="13"/>
      <c r="W309" s="13"/>
      <c r="X309" s="13"/>
      <c r="Y309" s="13"/>
      <c r="Z309" s="13"/>
      <c r="AA309" s="13"/>
      <c r="AB309" s="13"/>
      <c r="AC309" s="13"/>
      <c r="AD309" s="13"/>
      <c r="AE309" s="13"/>
    </row>
    <row r="310" spans="1:31" ht="21" x14ac:dyDescent="0.4">
      <c r="A310" s="210"/>
      <c r="B310" s="108">
        <v>300</v>
      </c>
      <c r="C310" s="297">
        <v>1950.5122056471182</v>
      </c>
      <c r="D310" s="297">
        <v>2554.1160528252253</v>
      </c>
      <c r="E310" s="297">
        <v>18.36446059134574</v>
      </c>
      <c r="F310" s="297">
        <v>13.911748624019625</v>
      </c>
      <c r="G310" s="322">
        <v>-603.60384717810712</v>
      </c>
      <c r="H310" s="322">
        <v>4.4527119673261151</v>
      </c>
      <c r="I310" s="322">
        <v>-135.55870031732044</v>
      </c>
      <c r="K310" s="223">
        <f t="shared" si="19"/>
        <v>1099917.1232750972</v>
      </c>
      <c r="L310" s="223">
        <f t="shared" si="19"/>
        <v>832150.80138835229</v>
      </c>
      <c r="M310" s="114">
        <f t="shared" si="20"/>
        <v>1</v>
      </c>
      <c r="N310" s="114">
        <f t="shared" si="21"/>
        <v>0</v>
      </c>
      <c r="Q310" s="320">
        <f t="shared" si="22"/>
        <v>29900</v>
      </c>
      <c r="R310" s="101">
        <v>1</v>
      </c>
      <c r="S310" s="101">
        <v>0</v>
      </c>
      <c r="T310" s="12"/>
      <c r="U310" s="210"/>
      <c r="V310" s="13"/>
      <c r="W310" s="13"/>
      <c r="X310" s="13"/>
      <c r="Y310" s="13"/>
      <c r="Z310" s="13"/>
      <c r="AA310" s="13"/>
      <c r="AB310" s="13"/>
      <c r="AC310" s="13"/>
      <c r="AD310" s="13"/>
      <c r="AE310" s="13"/>
    </row>
    <row r="311" spans="1:31" ht="21" x14ac:dyDescent="0.4">
      <c r="A311" s="210"/>
      <c r="B311" s="108">
        <v>301</v>
      </c>
      <c r="C311" s="297">
        <v>1987.1518697732397</v>
      </c>
      <c r="D311" s="297">
        <v>2863.6983238182247</v>
      </c>
      <c r="E311" s="297">
        <v>15.97788235451949</v>
      </c>
      <c r="F311" s="297">
        <v>9.7739308790913224</v>
      </c>
      <c r="G311" s="322">
        <v>-876.54645404498501</v>
      </c>
      <c r="H311" s="322">
        <v>6.2039514754281679</v>
      </c>
      <c r="I311" s="322">
        <v>-141.28841231539289</v>
      </c>
      <c r="K311" s="223">
        <f t="shared" si="19"/>
        <v>956685.78940139618</v>
      </c>
      <c r="L311" s="223">
        <f t="shared" si="19"/>
        <v>583572.15442166105</v>
      </c>
      <c r="M311" s="114">
        <f t="shared" si="20"/>
        <v>1</v>
      </c>
      <c r="N311" s="114">
        <f t="shared" si="21"/>
        <v>0</v>
      </c>
      <c r="Q311" s="320">
        <f t="shared" si="22"/>
        <v>30000</v>
      </c>
      <c r="R311" s="101">
        <v>1</v>
      </c>
      <c r="S311" s="101">
        <v>0</v>
      </c>
      <c r="T311" s="12"/>
      <c r="U311" s="210"/>
      <c r="V311" s="13"/>
      <c r="W311" s="13"/>
      <c r="X311" s="13"/>
      <c r="Y311" s="13"/>
      <c r="Z311" s="13"/>
      <c r="AA311" s="13"/>
      <c r="AB311" s="13"/>
      <c r="AC311" s="13"/>
      <c r="AD311" s="13"/>
      <c r="AE311" s="13"/>
    </row>
    <row r="312" spans="1:31" ht="21" x14ac:dyDescent="0.4">
      <c r="A312" s="210"/>
      <c r="B312" s="108">
        <v>302</v>
      </c>
      <c r="C312" s="297">
        <v>2167.8815311879239</v>
      </c>
      <c r="D312" s="297">
        <v>2729.3519225713453</v>
      </c>
      <c r="E312" s="297">
        <v>16.228778104157961</v>
      </c>
      <c r="F312" s="297">
        <v>11.409866699919304</v>
      </c>
      <c r="G312" s="322">
        <v>-561.47039138342143</v>
      </c>
      <c r="H312" s="322">
        <v>4.8189114042386567</v>
      </c>
      <c r="I312" s="322">
        <v>-116.51394771224862</v>
      </c>
      <c r="K312" s="223">
        <f t="shared" si="19"/>
        <v>971558.80471828976</v>
      </c>
      <c r="L312" s="223">
        <f t="shared" si="19"/>
        <v>681862.65007258696</v>
      </c>
      <c r="M312" s="114">
        <f t="shared" si="20"/>
        <v>1</v>
      </c>
      <c r="N312" s="114">
        <f t="shared" si="21"/>
        <v>0</v>
      </c>
      <c r="Q312" s="320">
        <f t="shared" si="22"/>
        <v>30100</v>
      </c>
      <c r="R312" s="101">
        <v>1</v>
      </c>
      <c r="S312" s="101">
        <v>0</v>
      </c>
      <c r="T312" s="12"/>
      <c r="U312" s="210"/>
      <c r="V312" s="13"/>
      <c r="W312" s="13"/>
      <c r="X312" s="13"/>
      <c r="Y312" s="13"/>
      <c r="Z312" s="13"/>
      <c r="AA312" s="13"/>
      <c r="AB312" s="13"/>
      <c r="AC312" s="13"/>
      <c r="AD312" s="13"/>
      <c r="AE312" s="13"/>
    </row>
    <row r="313" spans="1:31" ht="21" x14ac:dyDescent="0.4">
      <c r="A313" s="210"/>
      <c r="B313" s="108">
        <v>303</v>
      </c>
      <c r="C313" s="297">
        <v>1928.6520768255907</v>
      </c>
      <c r="D313" s="297">
        <v>2705.4422927551641</v>
      </c>
      <c r="E313" s="297">
        <v>18.743504049541059</v>
      </c>
      <c r="F313" s="297">
        <v>13.615293011752257</v>
      </c>
      <c r="G313" s="322">
        <v>-776.79021592957338</v>
      </c>
      <c r="H313" s="322">
        <v>5.1282110377888017</v>
      </c>
      <c r="I313" s="322">
        <v>-151.47391755244774</v>
      </c>
      <c r="K313" s="223">
        <f t="shared" si="19"/>
        <v>1122681.5908956381</v>
      </c>
      <c r="L313" s="223">
        <f t="shared" si="19"/>
        <v>814212.13841238036</v>
      </c>
      <c r="M313" s="114">
        <f t="shared" si="20"/>
        <v>1</v>
      </c>
      <c r="N313" s="114">
        <f t="shared" si="21"/>
        <v>0</v>
      </c>
      <c r="Q313" s="320">
        <f t="shared" si="22"/>
        <v>30200</v>
      </c>
      <c r="R313" s="101">
        <v>1</v>
      </c>
      <c r="S313" s="101">
        <v>0</v>
      </c>
      <c r="T313" s="12"/>
      <c r="U313" s="210"/>
      <c r="V313" s="13"/>
      <c r="W313" s="13"/>
      <c r="X313" s="13"/>
      <c r="Y313" s="13"/>
      <c r="Z313" s="13"/>
      <c r="AA313" s="13"/>
      <c r="AB313" s="13"/>
      <c r="AC313" s="13"/>
      <c r="AD313" s="13"/>
      <c r="AE313" s="13"/>
    </row>
    <row r="314" spans="1:31" ht="21" x14ac:dyDescent="0.4">
      <c r="A314" s="210"/>
      <c r="B314" s="108">
        <v>304</v>
      </c>
      <c r="C314" s="297">
        <v>2165.3402616179615</v>
      </c>
      <c r="D314" s="297">
        <v>3182.6684952377063</v>
      </c>
      <c r="E314" s="297">
        <v>19.147359198139654</v>
      </c>
      <c r="F314" s="297">
        <v>13.071571841151071</v>
      </c>
      <c r="G314" s="322">
        <v>-1017.3282336197449</v>
      </c>
      <c r="H314" s="322">
        <v>6.0757873569885827</v>
      </c>
      <c r="I314" s="322">
        <v>-167.43973642355644</v>
      </c>
      <c r="K314" s="223">
        <f t="shared" si="19"/>
        <v>1146676.2116267614</v>
      </c>
      <c r="L314" s="223">
        <f t="shared" si="19"/>
        <v>781111.64197382657</v>
      </c>
      <c r="M314" s="114">
        <f t="shared" si="20"/>
        <v>1</v>
      </c>
      <c r="N314" s="114">
        <f t="shared" si="21"/>
        <v>0</v>
      </c>
      <c r="Q314" s="320">
        <f t="shared" si="22"/>
        <v>30300</v>
      </c>
      <c r="R314" s="101">
        <v>1</v>
      </c>
      <c r="S314" s="101">
        <v>0</v>
      </c>
      <c r="T314" s="12"/>
      <c r="U314" s="210"/>
      <c r="V314" s="13"/>
      <c r="W314" s="13"/>
      <c r="X314" s="13"/>
      <c r="Y314" s="13"/>
      <c r="Z314" s="13"/>
      <c r="AA314" s="13"/>
      <c r="AB314" s="13"/>
      <c r="AC314" s="13"/>
      <c r="AD314" s="13"/>
      <c r="AE314" s="13"/>
    </row>
    <row r="315" spans="1:31" ht="21" x14ac:dyDescent="0.4">
      <c r="A315" s="210"/>
      <c r="B315" s="108">
        <v>305</v>
      </c>
      <c r="C315" s="297">
        <v>1933.1360934942609</v>
      </c>
      <c r="D315" s="297">
        <v>3079.6708102870725</v>
      </c>
      <c r="E315" s="297">
        <v>18.468792994212578</v>
      </c>
      <c r="F315" s="297">
        <v>13.465722421243896</v>
      </c>
      <c r="G315" s="322">
        <v>-1146.5347167928117</v>
      </c>
      <c r="H315" s="322">
        <v>5.0030705729686815</v>
      </c>
      <c r="I315" s="322">
        <v>-229.16620904519644</v>
      </c>
      <c r="K315" s="223">
        <f t="shared" si="19"/>
        <v>1106194.4435592603</v>
      </c>
      <c r="L315" s="223">
        <f t="shared" si="19"/>
        <v>804863.67446434661</v>
      </c>
      <c r="M315" s="114">
        <f t="shared" si="20"/>
        <v>1</v>
      </c>
      <c r="N315" s="114">
        <f t="shared" si="21"/>
        <v>0</v>
      </c>
      <c r="Q315" s="320">
        <f t="shared" si="22"/>
        <v>30400</v>
      </c>
      <c r="R315" s="101">
        <v>1</v>
      </c>
      <c r="S315" s="101">
        <v>0</v>
      </c>
      <c r="T315" s="12"/>
      <c r="U315" s="210"/>
      <c r="V315" s="13"/>
      <c r="W315" s="13"/>
      <c r="X315" s="13"/>
      <c r="Y315" s="13"/>
      <c r="Z315" s="13"/>
      <c r="AA315" s="13"/>
      <c r="AB315" s="13"/>
      <c r="AC315" s="13"/>
      <c r="AD315" s="13"/>
      <c r="AE315" s="13"/>
    </row>
    <row r="316" spans="1:31" ht="21" x14ac:dyDescent="0.4">
      <c r="A316" s="210"/>
      <c r="B316" s="108">
        <v>306</v>
      </c>
      <c r="C316" s="297">
        <v>2132.8438584191117</v>
      </c>
      <c r="D316" s="297">
        <v>2738.6807109644897</v>
      </c>
      <c r="E316" s="297">
        <v>18.245242178377506</v>
      </c>
      <c r="F316" s="297">
        <v>14.286376512791911</v>
      </c>
      <c r="G316" s="322">
        <v>-605.83685254537795</v>
      </c>
      <c r="H316" s="322">
        <v>3.9588656655855949</v>
      </c>
      <c r="I316" s="322">
        <v>-153.03294017069473</v>
      </c>
      <c r="K316" s="223">
        <f t="shared" si="19"/>
        <v>1092581.6868442311</v>
      </c>
      <c r="L316" s="223">
        <f t="shared" si="19"/>
        <v>854443.91005655017</v>
      </c>
      <c r="M316" s="114">
        <f t="shared" si="20"/>
        <v>1</v>
      </c>
      <c r="N316" s="114">
        <f t="shared" si="21"/>
        <v>0</v>
      </c>
      <c r="Q316" s="320">
        <f t="shared" si="22"/>
        <v>30500</v>
      </c>
      <c r="R316" s="101">
        <v>1</v>
      </c>
      <c r="S316" s="101">
        <v>0</v>
      </c>
      <c r="T316" s="12"/>
      <c r="U316" s="210"/>
      <c r="V316" s="13"/>
      <c r="W316" s="13"/>
      <c r="X316" s="13"/>
      <c r="Y316" s="13"/>
      <c r="Z316" s="13"/>
      <c r="AA316" s="13"/>
      <c r="AB316" s="13"/>
      <c r="AC316" s="13"/>
      <c r="AD316" s="13"/>
      <c r="AE316" s="13"/>
    </row>
    <row r="317" spans="1:31" ht="21" x14ac:dyDescent="0.4">
      <c r="A317" s="210"/>
      <c r="B317" s="108">
        <v>307</v>
      </c>
      <c r="C317" s="297">
        <v>1769.4789323036184</v>
      </c>
      <c r="D317" s="297">
        <v>2527.3156581520871</v>
      </c>
      <c r="E317" s="297">
        <v>16.659027637096894</v>
      </c>
      <c r="F317" s="297">
        <v>11.373384623883044</v>
      </c>
      <c r="G317" s="322">
        <v>-757.83672584846863</v>
      </c>
      <c r="H317" s="322">
        <v>5.2856430132138499</v>
      </c>
      <c r="I317" s="322">
        <v>-143.37644898717409</v>
      </c>
      <c r="K317" s="223">
        <f t="shared" si="19"/>
        <v>997772.17929351004</v>
      </c>
      <c r="L317" s="223">
        <f t="shared" si="19"/>
        <v>679875.76177483052</v>
      </c>
      <c r="M317" s="114">
        <f t="shared" si="20"/>
        <v>1</v>
      </c>
      <c r="N317" s="114">
        <f t="shared" si="21"/>
        <v>0</v>
      </c>
      <c r="Q317" s="320">
        <f t="shared" si="22"/>
        <v>30600</v>
      </c>
      <c r="R317" s="101">
        <v>1</v>
      </c>
      <c r="S317" s="101">
        <v>0</v>
      </c>
      <c r="T317" s="12"/>
      <c r="U317" s="210"/>
      <c r="V317" s="13"/>
      <c r="W317" s="13"/>
      <c r="X317" s="13"/>
      <c r="Y317" s="13"/>
      <c r="Z317" s="13"/>
      <c r="AA317" s="13"/>
      <c r="AB317" s="13"/>
      <c r="AC317" s="13"/>
      <c r="AD317" s="13"/>
      <c r="AE317" s="13"/>
    </row>
    <row r="318" spans="1:31" ht="21" x14ac:dyDescent="0.4">
      <c r="A318" s="210"/>
      <c r="B318" s="108">
        <v>308</v>
      </c>
      <c r="C318" s="297">
        <v>2342.1792508940794</v>
      </c>
      <c r="D318" s="297">
        <v>3408.7312661343217</v>
      </c>
      <c r="E318" s="297">
        <v>13.550007285636458</v>
      </c>
      <c r="F318" s="297">
        <v>9.0466200945296542</v>
      </c>
      <c r="G318" s="322">
        <v>-1066.5520152402423</v>
      </c>
      <c r="H318" s="322">
        <v>4.5033871911068033</v>
      </c>
      <c r="I318" s="322">
        <v>-236.83329235968148</v>
      </c>
      <c r="K318" s="223">
        <f t="shared" si="19"/>
        <v>810658.25788729335</v>
      </c>
      <c r="L318" s="223">
        <f t="shared" si="19"/>
        <v>539388.47440564493</v>
      </c>
      <c r="M318" s="114">
        <f t="shared" si="20"/>
        <v>1</v>
      </c>
      <c r="N318" s="114">
        <f t="shared" si="21"/>
        <v>0</v>
      </c>
      <c r="Q318" s="320">
        <f t="shared" si="22"/>
        <v>30700</v>
      </c>
      <c r="R318" s="101">
        <v>1</v>
      </c>
      <c r="S318" s="101">
        <v>0</v>
      </c>
      <c r="T318" s="12"/>
      <c r="U318" s="210"/>
      <c r="V318" s="13"/>
      <c r="W318" s="13"/>
      <c r="X318" s="13"/>
      <c r="Y318" s="13"/>
      <c r="Z318" s="13"/>
      <c r="AA318" s="13"/>
      <c r="AB318" s="13"/>
      <c r="AC318" s="13"/>
      <c r="AD318" s="13"/>
      <c r="AE318" s="13"/>
    </row>
    <row r="319" spans="1:31" ht="21" x14ac:dyDescent="0.4">
      <c r="A319" s="210"/>
      <c r="B319" s="108">
        <v>309</v>
      </c>
      <c r="C319" s="297">
        <v>2260.2743571804003</v>
      </c>
      <c r="D319" s="297">
        <v>3004.2920764974078</v>
      </c>
      <c r="E319" s="297">
        <v>17.541087351000741</v>
      </c>
      <c r="F319" s="297">
        <v>12.473750150034077</v>
      </c>
      <c r="G319" s="322">
        <v>-744.0177193170075</v>
      </c>
      <c r="H319" s="322">
        <v>5.067337200966664</v>
      </c>
      <c r="I319" s="322">
        <v>-146.82617118416275</v>
      </c>
      <c r="K319" s="223">
        <f t="shared" si="19"/>
        <v>1050204.966702864</v>
      </c>
      <c r="L319" s="223">
        <f t="shared" si="19"/>
        <v>745420.71692554711</v>
      </c>
      <c r="M319" s="114">
        <f t="shared" si="20"/>
        <v>1</v>
      </c>
      <c r="N319" s="114">
        <f t="shared" si="21"/>
        <v>0</v>
      </c>
      <c r="Q319" s="320">
        <f t="shared" si="22"/>
        <v>30800</v>
      </c>
      <c r="R319" s="101">
        <v>1</v>
      </c>
      <c r="S319" s="101">
        <v>0</v>
      </c>
      <c r="T319" s="12"/>
      <c r="U319" s="210"/>
      <c r="V319" s="13"/>
      <c r="W319" s="13"/>
      <c r="X319" s="13"/>
      <c r="Y319" s="13"/>
      <c r="Z319" s="13"/>
      <c r="AA319" s="13"/>
      <c r="AB319" s="13"/>
      <c r="AC319" s="13"/>
      <c r="AD319" s="13"/>
      <c r="AE319" s="13"/>
    </row>
    <row r="320" spans="1:31" ht="21" x14ac:dyDescent="0.4">
      <c r="A320" s="210"/>
      <c r="B320" s="108">
        <v>310</v>
      </c>
      <c r="C320" s="297">
        <v>1983.9879243620333</v>
      </c>
      <c r="D320" s="297">
        <v>2898.1121233754666</v>
      </c>
      <c r="E320" s="297">
        <v>17.525550633181325</v>
      </c>
      <c r="F320" s="297">
        <v>13.269768376635499</v>
      </c>
      <c r="G320" s="322">
        <v>-914.12419901343333</v>
      </c>
      <c r="H320" s="322">
        <v>4.2557822565458263</v>
      </c>
      <c r="I320" s="322">
        <v>-214.79581047818348</v>
      </c>
      <c r="K320" s="223">
        <f t="shared" si="19"/>
        <v>1049549.0500665174</v>
      </c>
      <c r="L320" s="223">
        <f t="shared" si="19"/>
        <v>793287.99047475448</v>
      </c>
      <c r="M320" s="114">
        <f t="shared" si="20"/>
        <v>1</v>
      </c>
      <c r="N320" s="114">
        <f t="shared" si="21"/>
        <v>0</v>
      </c>
      <c r="Q320" s="320">
        <f t="shared" si="22"/>
        <v>30900</v>
      </c>
      <c r="R320" s="101">
        <v>1</v>
      </c>
      <c r="S320" s="101">
        <v>0</v>
      </c>
      <c r="T320" s="12"/>
      <c r="U320" s="210"/>
      <c r="V320" s="13"/>
      <c r="W320" s="13"/>
      <c r="X320" s="13"/>
      <c r="Y320" s="13"/>
      <c r="Z320" s="13"/>
      <c r="AA320" s="13"/>
      <c r="AB320" s="13"/>
      <c r="AC320" s="13"/>
      <c r="AD320" s="13"/>
      <c r="AE320" s="13"/>
    </row>
    <row r="321" spans="1:31" ht="21" x14ac:dyDescent="0.4">
      <c r="A321" s="210"/>
      <c r="B321" s="108">
        <v>311</v>
      </c>
      <c r="C321" s="297">
        <v>1853.0875277793539</v>
      </c>
      <c r="D321" s="297">
        <v>3021.3394424812604</v>
      </c>
      <c r="E321" s="297">
        <v>20.054041546773455</v>
      </c>
      <c r="F321" s="297">
        <v>15.290464397983147</v>
      </c>
      <c r="G321" s="322">
        <v>-1168.2519147019066</v>
      </c>
      <c r="H321" s="322">
        <v>4.7635771487903078</v>
      </c>
      <c r="I321" s="322">
        <v>-245.2467711158157</v>
      </c>
      <c r="K321" s="223">
        <f t="shared" si="19"/>
        <v>1201389.405278628</v>
      </c>
      <c r="L321" s="223">
        <f t="shared" si="19"/>
        <v>914406.52443650749</v>
      </c>
      <c r="M321" s="114">
        <f t="shared" si="20"/>
        <v>1</v>
      </c>
      <c r="N321" s="114">
        <f t="shared" si="21"/>
        <v>0</v>
      </c>
      <c r="Q321" s="320">
        <f t="shared" si="22"/>
        <v>31000</v>
      </c>
      <c r="R321" s="101">
        <v>1</v>
      </c>
      <c r="S321" s="101">
        <v>0</v>
      </c>
      <c r="T321" s="12"/>
      <c r="U321" s="210"/>
      <c r="V321" s="13"/>
      <c r="W321" s="13"/>
      <c r="X321" s="13"/>
      <c r="Y321" s="13"/>
      <c r="Z321" s="13"/>
      <c r="AA321" s="13"/>
      <c r="AB321" s="13"/>
      <c r="AC321" s="13"/>
      <c r="AD321" s="13"/>
      <c r="AE321" s="13"/>
    </row>
    <row r="322" spans="1:31" ht="21" x14ac:dyDescent="0.4">
      <c r="A322" s="210"/>
      <c r="B322" s="108">
        <v>312</v>
      </c>
      <c r="C322" s="297">
        <v>2289.7424308303503</v>
      </c>
      <c r="D322" s="297">
        <v>2694.1273725934407</v>
      </c>
      <c r="E322" s="297">
        <v>20.099286797204378</v>
      </c>
      <c r="F322" s="297">
        <v>15.19779202044214</v>
      </c>
      <c r="G322" s="322">
        <v>-404.38494176309041</v>
      </c>
      <c r="H322" s="322">
        <v>4.9014947767622381</v>
      </c>
      <c r="I322" s="322">
        <v>-82.50237125218635</v>
      </c>
      <c r="K322" s="223">
        <f t="shared" si="19"/>
        <v>1203667.4654014322</v>
      </c>
      <c r="L322" s="223">
        <f t="shared" si="19"/>
        <v>909173.39385393506</v>
      </c>
      <c r="M322" s="114">
        <f t="shared" si="20"/>
        <v>1</v>
      </c>
      <c r="N322" s="114">
        <f t="shared" si="21"/>
        <v>0</v>
      </c>
      <c r="Q322" s="320">
        <f t="shared" si="22"/>
        <v>31100</v>
      </c>
      <c r="R322" s="101">
        <v>1</v>
      </c>
      <c r="S322" s="101">
        <v>0</v>
      </c>
      <c r="T322" s="12"/>
      <c r="U322" s="210"/>
      <c r="V322" s="13"/>
      <c r="W322" s="13"/>
      <c r="X322" s="13"/>
      <c r="Y322" s="13"/>
      <c r="Z322" s="13"/>
      <c r="AA322" s="13"/>
      <c r="AB322" s="13"/>
      <c r="AC322" s="13"/>
      <c r="AD322" s="13"/>
      <c r="AE322" s="13"/>
    </row>
    <row r="323" spans="1:31" ht="21" x14ac:dyDescent="0.4">
      <c r="A323" s="210"/>
      <c r="B323" s="108">
        <v>313</v>
      </c>
      <c r="C323" s="297">
        <v>1980.5192107748153</v>
      </c>
      <c r="D323" s="297">
        <v>3086.3513794232367</v>
      </c>
      <c r="E323" s="297">
        <v>18.859454825026866</v>
      </c>
      <c r="F323" s="297">
        <v>14.393994756097584</v>
      </c>
      <c r="G323" s="322">
        <v>-1105.8321686484214</v>
      </c>
      <c r="H323" s="322">
        <v>4.465460068929282</v>
      </c>
      <c r="I323" s="322">
        <v>-247.64126239596524</v>
      </c>
      <c r="K323" s="223">
        <f t="shared" si="19"/>
        <v>1129586.7702908369</v>
      </c>
      <c r="L323" s="223">
        <f t="shared" si="19"/>
        <v>860553.33398643171</v>
      </c>
      <c r="M323" s="114">
        <f t="shared" si="20"/>
        <v>1</v>
      </c>
      <c r="N323" s="114">
        <f t="shared" si="21"/>
        <v>0</v>
      </c>
      <c r="Q323" s="320">
        <f t="shared" si="22"/>
        <v>31200</v>
      </c>
      <c r="R323" s="101">
        <v>1</v>
      </c>
      <c r="S323" s="101">
        <v>0</v>
      </c>
      <c r="T323" s="12"/>
      <c r="U323" s="210"/>
      <c r="V323" s="13"/>
      <c r="W323" s="13"/>
      <c r="X323" s="13"/>
      <c r="Y323" s="13"/>
      <c r="Z323" s="13"/>
      <c r="AA323" s="13"/>
      <c r="AB323" s="13"/>
      <c r="AC323" s="13"/>
      <c r="AD323" s="13"/>
      <c r="AE323" s="13"/>
    </row>
    <row r="324" spans="1:31" ht="21" x14ac:dyDescent="0.4">
      <c r="A324" s="210"/>
      <c r="B324" s="108">
        <v>314</v>
      </c>
      <c r="C324" s="297">
        <v>2371.8725488903415</v>
      </c>
      <c r="D324" s="297">
        <v>3044.6708809288584</v>
      </c>
      <c r="E324" s="297">
        <v>20.245348131857632</v>
      </c>
      <c r="F324" s="297">
        <v>15.068666351934279</v>
      </c>
      <c r="G324" s="322">
        <v>-672.79833203851695</v>
      </c>
      <c r="H324" s="322">
        <v>5.1766817799233529</v>
      </c>
      <c r="I324" s="322">
        <v>-129.96710260379933</v>
      </c>
      <c r="K324" s="223">
        <f t="shared" si="19"/>
        <v>1212349.0153625677</v>
      </c>
      <c r="L324" s="223">
        <f t="shared" si="19"/>
        <v>901075.31023512792</v>
      </c>
      <c r="M324" s="114">
        <f t="shared" si="20"/>
        <v>1</v>
      </c>
      <c r="N324" s="114">
        <f t="shared" si="21"/>
        <v>0</v>
      </c>
      <c r="Q324" s="320">
        <f t="shared" si="22"/>
        <v>31300</v>
      </c>
      <c r="R324" s="101">
        <v>1</v>
      </c>
      <c r="S324" s="101">
        <v>0</v>
      </c>
      <c r="T324" s="12"/>
      <c r="U324" s="210"/>
      <c r="V324" s="13"/>
      <c r="W324" s="13"/>
      <c r="X324" s="13"/>
      <c r="Y324" s="13"/>
      <c r="Z324" s="13"/>
      <c r="AA324" s="13"/>
      <c r="AB324" s="13"/>
      <c r="AC324" s="13"/>
      <c r="AD324" s="13"/>
      <c r="AE324" s="13"/>
    </row>
    <row r="325" spans="1:31" ht="21" x14ac:dyDescent="0.4">
      <c r="A325" s="210"/>
      <c r="B325" s="108">
        <v>315</v>
      </c>
      <c r="C325" s="297">
        <v>2133.381193920653</v>
      </c>
      <c r="D325" s="297">
        <v>3045.0292386434498</v>
      </c>
      <c r="E325" s="297">
        <v>17.699776483584181</v>
      </c>
      <c r="F325" s="297">
        <v>12.489684001179997</v>
      </c>
      <c r="G325" s="322">
        <v>-911.64804472279684</v>
      </c>
      <c r="H325" s="322">
        <v>5.2100924824041837</v>
      </c>
      <c r="I325" s="322">
        <v>-174.97732483668298</v>
      </c>
      <c r="K325" s="223">
        <f t="shared" si="19"/>
        <v>1059853.2078211301</v>
      </c>
      <c r="L325" s="223">
        <f t="shared" si="19"/>
        <v>746336.0108321564</v>
      </c>
      <c r="M325" s="114">
        <f t="shared" si="20"/>
        <v>1</v>
      </c>
      <c r="N325" s="114">
        <f t="shared" si="21"/>
        <v>0</v>
      </c>
      <c r="Q325" s="320">
        <f t="shared" si="22"/>
        <v>31400</v>
      </c>
      <c r="R325" s="101">
        <v>1</v>
      </c>
      <c r="S325" s="101">
        <v>0</v>
      </c>
      <c r="T325" s="12"/>
      <c r="U325" s="210"/>
      <c r="V325" s="13"/>
      <c r="W325" s="13"/>
      <c r="X325" s="13"/>
      <c r="Y325" s="13"/>
      <c r="Z325" s="13"/>
      <c r="AA325" s="13"/>
      <c r="AB325" s="13"/>
      <c r="AC325" s="13"/>
      <c r="AD325" s="13"/>
      <c r="AE325" s="13"/>
    </row>
    <row r="326" spans="1:31" ht="21" x14ac:dyDescent="0.4">
      <c r="A326" s="210"/>
      <c r="B326" s="108">
        <v>316</v>
      </c>
      <c r="C326" s="297">
        <v>1902.1789493616698</v>
      </c>
      <c r="D326" s="297">
        <v>3296.4193898722829</v>
      </c>
      <c r="E326" s="297">
        <v>20.508666337444517</v>
      </c>
      <c r="F326" s="297">
        <v>15.399082561833513</v>
      </c>
      <c r="G326" s="322">
        <v>-1394.2404405106131</v>
      </c>
      <c r="H326" s="322">
        <v>5.1095837756110036</v>
      </c>
      <c r="I326" s="322">
        <v>-272.86771325006606</v>
      </c>
      <c r="K326" s="223">
        <f t="shared" si="19"/>
        <v>1228617.8012973093</v>
      </c>
      <c r="L326" s="223">
        <f t="shared" si="19"/>
        <v>920648.53432013851</v>
      </c>
      <c r="M326" s="114">
        <f t="shared" si="20"/>
        <v>1</v>
      </c>
      <c r="N326" s="114">
        <f t="shared" si="21"/>
        <v>0</v>
      </c>
      <c r="Q326" s="320">
        <f t="shared" si="22"/>
        <v>31500</v>
      </c>
      <c r="R326" s="101">
        <v>1</v>
      </c>
      <c r="S326" s="101">
        <v>0</v>
      </c>
      <c r="T326" s="12"/>
      <c r="U326" s="210"/>
      <c r="V326" s="13"/>
      <c r="W326" s="13"/>
      <c r="X326" s="13"/>
      <c r="Y326" s="13"/>
      <c r="Z326" s="13"/>
      <c r="AA326" s="13"/>
      <c r="AB326" s="13"/>
      <c r="AC326" s="13"/>
      <c r="AD326" s="13"/>
      <c r="AE326" s="13"/>
    </row>
    <row r="327" spans="1:31" ht="21" x14ac:dyDescent="0.4">
      <c r="A327" s="210"/>
      <c r="B327" s="108">
        <v>317</v>
      </c>
      <c r="C327" s="297">
        <v>2437.5933748209168</v>
      </c>
      <c r="D327" s="297">
        <v>3509.9745445836174</v>
      </c>
      <c r="E327" s="297">
        <v>19.551556756294801</v>
      </c>
      <c r="F327" s="297">
        <v>14.260787579952915</v>
      </c>
      <c r="G327" s="322">
        <v>-1072.3811697627007</v>
      </c>
      <c r="H327" s="322">
        <v>5.290769176341886</v>
      </c>
      <c r="I327" s="322">
        <v>-202.6890862217052</v>
      </c>
      <c r="K327" s="223">
        <f t="shared" si="19"/>
        <v>1170655.8120028672</v>
      </c>
      <c r="L327" s="223">
        <f t="shared" si="19"/>
        <v>852137.28025259124</v>
      </c>
      <c r="M327" s="114">
        <f t="shared" si="20"/>
        <v>1</v>
      </c>
      <c r="N327" s="114">
        <f t="shared" si="21"/>
        <v>0</v>
      </c>
      <c r="Q327" s="320">
        <f t="shared" si="22"/>
        <v>31600</v>
      </c>
      <c r="R327" s="101">
        <v>1</v>
      </c>
      <c r="S327" s="101">
        <v>0</v>
      </c>
      <c r="T327" s="12"/>
      <c r="U327" s="210"/>
      <c r="V327" s="13"/>
      <c r="W327" s="13"/>
      <c r="X327" s="13"/>
      <c r="Y327" s="13"/>
      <c r="Z327" s="13"/>
      <c r="AA327" s="13"/>
      <c r="AB327" s="13"/>
      <c r="AC327" s="13"/>
      <c r="AD327" s="13"/>
      <c r="AE327" s="13"/>
    </row>
    <row r="328" spans="1:31" ht="21" x14ac:dyDescent="0.4">
      <c r="A328" s="210"/>
      <c r="B328" s="108">
        <v>318</v>
      </c>
      <c r="C328" s="297">
        <v>1886.5571080945961</v>
      </c>
      <c r="D328" s="297">
        <v>3178.0443219162112</v>
      </c>
      <c r="E328" s="297">
        <v>19.326141722975194</v>
      </c>
      <c r="F328" s="297">
        <v>14.770981773754535</v>
      </c>
      <c r="G328" s="322">
        <v>-1291.4872138216151</v>
      </c>
      <c r="H328" s="322">
        <v>4.5551599492206591</v>
      </c>
      <c r="I328" s="322">
        <v>-283.52181442993572</v>
      </c>
      <c r="K328" s="223">
        <f t="shared" si="19"/>
        <v>1157681.946270417</v>
      </c>
      <c r="L328" s="223">
        <f t="shared" si="19"/>
        <v>883080.86210335593</v>
      </c>
      <c r="M328" s="114">
        <f t="shared" si="20"/>
        <v>1</v>
      </c>
      <c r="N328" s="114">
        <f t="shared" si="21"/>
        <v>0</v>
      </c>
      <c r="Q328" s="320">
        <f t="shared" si="22"/>
        <v>31700</v>
      </c>
      <c r="R328" s="101">
        <v>1</v>
      </c>
      <c r="S328" s="101">
        <v>0</v>
      </c>
      <c r="T328" s="12"/>
      <c r="U328" s="210"/>
      <c r="V328" s="13"/>
      <c r="W328" s="13"/>
      <c r="X328" s="13"/>
      <c r="Y328" s="13"/>
      <c r="Z328" s="13"/>
      <c r="AA328" s="13"/>
      <c r="AB328" s="13"/>
      <c r="AC328" s="13"/>
      <c r="AD328" s="13"/>
      <c r="AE328" s="13"/>
    </row>
    <row r="329" spans="1:31" ht="21" x14ac:dyDescent="0.4">
      <c r="A329" s="210"/>
      <c r="B329" s="108">
        <v>319</v>
      </c>
      <c r="C329" s="297">
        <v>2314.7377176825598</v>
      </c>
      <c r="D329" s="297">
        <v>3293.2073217901871</v>
      </c>
      <c r="E329" s="297">
        <v>20.164303085352191</v>
      </c>
      <c r="F329" s="297">
        <v>14.411458617715803</v>
      </c>
      <c r="G329" s="322">
        <v>-978.46960410762722</v>
      </c>
      <c r="H329" s="322">
        <v>5.7528444676363879</v>
      </c>
      <c r="I329" s="322">
        <v>-170.08448770207079</v>
      </c>
      <c r="K329" s="223">
        <f t="shared" si="19"/>
        <v>1207543.4474034491</v>
      </c>
      <c r="L329" s="223">
        <f t="shared" si="19"/>
        <v>861394.30974115804</v>
      </c>
      <c r="M329" s="114">
        <f t="shared" si="20"/>
        <v>1</v>
      </c>
      <c r="N329" s="114">
        <f t="shared" si="21"/>
        <v>0</v>
      </c>
      <c r="Q329" s="320">
        <f t="shared" si="22"/>
        <v>31800</v>
      </c>
      <c r="R329" s="101">
        <v>1</v>
      </c>
      <c r="S329" s="101">
        <v>0</v>
      </c>
      <c r="T329" s="12"/>
      <c r="U329" s="210"/>
      <c r="V329" s="13"/>
      <c r="W329" s="13"/>
      <c r="X329" s="13"/>
      <c r="Y329" s="13"/>
      <c r="Z329" s="13"/>
      <c r="AA329" s="13"/>
      <c r="AB329" s="13"/>
      <c r="AC329" s="13"/>
      <c r="AD329" s="13"/>
      <c r="AE329" s="13"/>
    </row>
    <row r="330" spans="1:31" ht="21" x14ac:dyDescent="0.4">
      <c r="A330" s="210"/>
      <c r="B330" s="108">
        <v>320</v>
      </c>
      <c r="C330" s="297">
        <v>2137.6574325240636</v>
      </c>
      <c r="D330" s="297">
        <v>3690.7389615302063</v>
      </c>
      <c r="E330" s="297">
        <v>19.017136693926997</v>
      </c>
      <c r="F330" s="297">
        <v>12.82334607801058</v>
      </c>
      <c r="G330" s="322">
        <v>-1553.0815290061428</v>
      </c>
      <c r="H330" s="322">
        <v>6.1937906159164164</v>
      </c>
      <c r="I330" s="322">
        <v>-250.74814847875723</v>
      </c>
      <c r="K330" s="223">
        <f t="shared" si="19"/>
        <v>1138890.5442030958</v>
      </c>
      <c r="L330" s="223">
        <f t="shared" si="19"/>
        <v>765710.02571910468</v>
      </c>
      <c r="M330" s="114">
        <f t="shared" si="20"/>
        <v>1</v>
      </c>
      <c r="N330" s="114">
        <f t="shared" si="21"/>
        <v>0</v>
      </c>
      <c r="Q330" s="320">
        <f t="shared" si="22"/>
        <v>31900</v>
      </c>
      <c r="R330" s="101">
        <v>1</v>
      </c>
      <c r="S330" s="101">
        <v>0</v>
      </c>
      <c r="T330" s="12"/>
      <c r="U330" s="210"/>
      <c r="V330" s="13"/>
      <c r="W330" s="13"/>
      <c r="X330" s="13"/>
      <c r="Y330" s="13"/>
      <c r="Z330" s="13"/>
      <c r="AA330" s="13"/>
      <c r="AB330" s="13"/>
      <c r="AC330" s="13"/>
      <c r="AD330" s="13"/>
      <c r="AE330" s="13"/>
    </row>
    <row r="331" spans="1:31" ht="21" x14ac:dyDescent="0.4">
      <c r="A331" s="210"/>
      <c r="B331" s="108">
        <v>321</v>
      </c>
      <c r="C331" s="297">
        <v>2048.9039528823073</v>
      </c>
      <c r="D331" s="297">
        <v>2614.0937246092972</v>
      </c>
      <c r="E331" s="297">
        <v>17.949173017814537</v>
      </c>
      <c r="F331" s="297">
        <v>14.084380258143</v>
      </c>
      <c r="G331" s="322">
        <v>-565.18977172698987</v>
      </c>
      <c r="H331" s="322">
        <v>3.8647927596715377</v>
      </c>
      <c r="I331" s="322">
        <v>-146.24064131579061</v>
      </c>
      <c r="K331" s="223">
        <f t="shared" si="19"/>
        <v>1074901.4771159899</v>
      </c>
      <c r="L331" s="223">
        <f t="shared" si="19"/>
        <v>842448.72176397068</v>
      </c>
      <c r="M331" s="114">
        <f t="shared" si="20"/>
        <v>1</v>
      </c>
      <c r="N331" s="114">
        <f t="shared" si="21"/>
        <v>0</v>
      </c>
      <c r="Q331" s="320">
        <f t="shared" si="22"/>
        <v>32000</v>
      </c>
      <c r="R331" s="101">
        <v>1</v>
      </c>
      <c r="S331" s="101">
        <v>0</v>
      </c>
      <c r="T331" s="12"/>
      <c r="U331" s="210"/>
      <c r="V331" s="13"/>
      <c r="W331" s="13"/>
      <c r="X331" s="13"/>
      <c r="Y331" s="13"/>
      <c r="Z331" s="13"/>
      <c r="AA331" s="13"/>
      <c r="AB331" s="13"/>
      <c r="AC331" s="13"/>
      <c r="AD331" s="13"/>
      <c r="AE331" s="13"/>
    </row>
    <row r="332" spans="1:31" ht="21" x14ac:dyDescent="0.4">
      <c r="A332" s="210"/>
      <c r="B332" s="108">
        <v>322</v>
      </c>
      <c r="C332" s="297">
        <v>1893.5605880492462</v>
      </c>
      <c r="D332" s="297">
        <v>2592.960815521913</v>
      </c>
      <c r="E332" s="297">
        <v>18.641071791638261</v>
      </c>
      <c r="F332" s="297">
        <v>13.796117600481162</v>
      </c>
      <c r="G332" s="322">
        <v>-699.40022747266676</v>
      </c>
      <c r="H332" s="322">
        <v>4.8449541911570986</v>
      </c>
      <c r="I332" s="322">
        <v>-144.35641698103078</v>
      </c>
      <c r="K332" s="223">
        <f t="shared" ref="K332:L395" si="23">E332*$N$4-C332</f>
        <v>1116570.7469102463</v>
      </c>
      <c r="L332" s="223">
        <f t="shared" si="23"/>
        <v>825174.09521334781</v>
      </c>
      <c r="M332" s="114">
        <f t="shared" ref="M332:M395" si="24">IF(MAX(K332:L332)=K332,1,0)</f>
        <v>1</v>
      </c>
      <c r="N332" s="114">
        <f t="shared" ref="N332:N395" si="25">IF(MAX(K332:L332)=L332,1,0)</f>
        <v>0</v>
      </c>
      <c r="Q332" s="320">
        <f t="shared" si="22"/>
        <v>32100</v>
      </c>
      <c r="R332" s="101">
        <v>1</v>
      </c>
      <c r="S332" s="101">
        <v>0</v>
      </c>
      <c r="T332" s="12"/>
      <c r="U332" s="210"/>
      <c r="V332" s="13"/>
      <c r="W332" s="13"/>
      <c r="X332" s="13"/>
      <c r="Y332" s="13"/>
      <c r="Z332" s="13"/>
      <c r="AA332" s="13"/>
      <c r="AB332" s="13"/>
      <c r="AC332" s="13"/>
      <c r="AD332" s="13"/>
      <c r="AE332" s="13"/>
    </row>
    <row r="333" spans="1:31" ht="21" x14ac:dyDescent="0.4">
      <c r="A333" s="210"/>
      <c r="B333" s="108">
        <v>323</v>
      </c>
      <c r="C333" s="297">
        <v>1945.8462617365876</v>
      </c>
      <c r="D333" s="297">
        <v>2874.1725878796569</v>
      </c>
      <c r="E333" s="297">
        <v>18.047618284422871</v>
      </c>
      <c r="F333" s="297">
        <v>12.869370018864629</v>
      </c>
      <c r="G333" s="322">
        <v>-928.32632614306931</v>
      </c>
      <c r="H333" s="322">
        <v>5.178248265558242</v>
      </c>
      <c r="I333" s="322">
        <v>-179.27420211147233</v>
      </c>
      <c r="K333" s="223">
        <f t="shared" si="23"/>
        <v>1080911.2508036355</v>
      </c>
      <c r="L333" s="223">
        <f t="shared" si="23"/>
        <v>769288.02854399802</v>
      </c>
      <c r="M333" s="114">
        <f t="shared" si="24"/>
        <v>1</v>
      </c>
      <c r="N333" s="114">
        <f t="shared" si="25"/>
        <v>0</v>
      </c>
      <c r="Q333" s="320">
        <f t="shared" ref="Q333:Q396" si="26">Q332+100</f>
        <v>32200</v>
      </c>
      <c r="R333" s="101">
        <v>1</v>
      </c>
      <c r="S333" s="101">
        <v>0</v>
      </c>
      <c r="T333" s="12"/>
      <c r="U333" s="210"/>
      <c r="V333" s="13"/>
      <c r="W333" s="13"/>
      <c r="X333" s="13"/>
      <c r="Y333" s="13"/>
      <c r="Z333" s="13"/>
      <c r="AA333" s="13"/>
      <c r="AB333" s="13"/>
      <c r="AC333" s="13"/>
      <c r="AD333" s="13"/>
      <c r="AE333" s="13"/>
    </row>
    <row r="334" spans="1:31" ht="21" x14ac:dyDescent="0.4">
      <c r="A334" s="210"/>
      <c r="B334" s="108">
        <v>324</v>
      </c>
      <c r="C334" s="297">
        <v>1931.7785724570381</v>
      </c>
      <c r="D334" s="297">
        <v>3354.2989734143084</v>
      </c>
      <c r="E334" s="297">
        <v>14.748151044962725</v>
      </c>
      <c r="F334" s="297">
        <v>11.035764116089808</v>
      </c>
      <c r="G334" s="322">
        <v>-1422.5204009572703</v>
      </c>
      <c r="H334" s="322">
        <v>3.7123869288729168</v>
      </c>
      <c r="I334" s="322">
        <v>-383.18214890093594</v>
      </c>
      <c r="K334" s="223">
        <f t="shared" si="23"/>
        <v>882957.28412530653</v>
      </c>
      <c r="L334" s="223">
        <f t="shared" si="23"/>
        <v>658791.54799197416</v>
      </c>
      <c r="M334" s="114">
        <f t="shared" si="24"/>
        <v>1</v>
      </c>
      <c r="N334" s="114">
        <f t="shared" si="25"/>
        <v>0</v>
      </c>
      <c r="Q334" s="320">
        <f t="shared" si="26"/>
        <v>32300</v>
      </c>
      <c r="R334" s="101">
        <v>1</v>
      </c>
      <c r="S334" s="101">
        <v>0</v>
      </c>
      <c r="T334" s="12"/>
      <c r="U334" s="210"/>
      <c r="V334" s="13"/>
      <c r="W334" s="13"/>
      <c r="X334" s="13"/>
      <c r="Y334" s="13"/>
      <c r="Z334" s="13"/>
      <c r="AA334" s="13"/>
      <c r="AB334" s="13"/>
      <c r="AC334" s="13"/>
      <c r="AD334" s="13"/>
      <c r="AE334" s="13"/>
    </row>
    <row r="335" spans="1:31" ht="21" x14ac:dyDescent="0.4">
      <c r="A335" s="210"/>
      <c r="B335" s="108">
        <v>325</v>
      </c>
      <c r="C335" s="297">
        <v>1750.1228213856743</v>
      </c>
      <c r="D335" s="297">
        <v>2804.4287457088981</v>
      </c>
      <c r="E335" s="297">
        <v>18.597557718388199</v>
      </c>
      <c r="F335" s="297">
        <v>14.062123707989214</v>
      </c>
      <c r="G335" s="322">
        <v>-1054.3059243232237</v>
      </c>
      <c r="H335" s="322">
        <v>4.5354340103989852</v>
      </c>
      <c r="I335" s="322">
        <v>-232.45976502047611</v>
      </c>
      <c r="K335" s="223">
        <f t="shared" si="23"/>
        <v>1114103.3402819063</v>
      </c>
      <c r="L335" s="223">
        <f t="shared" si="23"/>
        <v>840922.9937336439</v>
      </c>
      <c r="M335" s="114">
        <f t="shared" si="24"/>
        <v>1</v>
      </c>
      <c r="N335" s="114">
        <f t="shared" si="25"/>
        <v>0</v>
      </c>
      <c r="Q335" s="320">
        <f t="shared" si="26"/>
        <v>32400</v>
      </c>
      <c r="R335" s="101">
        <v>1</v>
      </c>
      <c r="S335" s="101">
        <v>0</v>
      </c>
      <c r="T335" s="12"/>
      <c r="U335" s="210"/>
      <c r="V335" s="13"/>
      <c r="W335" s="13"/>
      <c r="X335" s="13"/>
      <c r="Y335" s="13"/>
      <c r="Z335" s="13"/>
      <c r="AA335" s="13"/>
      <c r="AB335" s="13"/>
      <c r="AC335" s="13"/>
      <c r="AD335" s="13"/>
      <c r="AE335" s="13"/>
    </row>
    <row r="336" spans="1:31" ht="21" x14ac:dyDescent="0.4">
      <c r="A336" s="210"/>
      <c r="B336" s="108">
        <v>326</v>
      </c>
      <c r="C336" s="297">
        <v>2243.5172631649548</v>
      </c>
      <c r="D336" s="297">
        <v>3616.5313389875737</v>
      </c>
      <c r="E336" s="297">
        <v>17.800582989388822</v>
      </c>
      <c r="F336" s="297">
        <v>12.666206795631755</v>
      </c>
      <c r="G336" s="322">
        <v>-1373.0140758226189</v>
      </c>
      <c r="H336" s="322">
        <v>5.1343761937570669</v>
      </c>
      <c r="I336" s="322">
        <v>-267.41594772351874</v>
      </c>
      <c r="K336" s="223">
        <f t="shared" si="23"/>
        <v>1065791.4621001643</v>
      </c>
      <c r="L336" s="223">
        <f t="shared" si="23"/>
        <v>756355.87639891775</v>
      </c>
      <c r="M336" s="114">
        <f t="shared" si="24"/>
        <v>1</v>
      </c>
      <c r="N336" s="114">
        <f t="shared" si="25"/>
        <v>0</v>
      </c>
      <c r="Q336" s="320">
        <f t="shared" si="26"/>
        <v>32500</v>
      </c>
      <c r="R336" s="101">
        <v>1</v>
      </c>
      <c r="S336" s="101">
        <v>0</v>
      </c>
      <c r="T336" s="12"/>
      <c r="U336" s="210"/>
      <c r="V336" s="13"/>
      <c r="W336" s="13"/>
      <c r="X336" s="13"/>
      <c r="Y336" s="13"/>
      <c r="Z336" s="13"/>
      <c r="AA336" s="13"/>
      <c r="AB336" s="13"/>
      <c r="AC336" s="13"/>
      <c r="AD336" s="13"/>
      <c r="AE336" s="13"/>
    </row>
    <row r="337" spans="1:31" ht="21" x14ac:dyDescent="0.4">
      <c r="A337" s="210"/>
      <c r="B337" s="108">
        <v>327</v>
      </c>
      <c r="C337" s="297">
        <v>2101.5589620060036</v>
      </c>
      <c r="D337" s="297">
        <v>2704.3246509968039</v>
      </c>
      <c r="E337" s="297">
        <v>16.528602155098731</v>
      </c>
      <c r="F337" s="297">
        <v>12.094507827848545</v>
      </c>
      <c r="G337" s="322">
        <v>-602.7656889908003</v>
      </c>
      <c r="H337" s="322">
        <v>4.434094327250186</v>
      </c>
      <c r="I337" s="322">
        <v>-135.93885120721075</v>
      </c>
      <c r="K337" s="223">
        <f t="shared" si="23"/>
        <v>989614.57034391793</v>
      </c>
      <c r="L337" s="223">
        <f t="shared" si="23"/>
        <v>722966.14501991589</v>
      </c>
      <c r="M337" s="114">
        <f t="shared" si="24"/>
        <v>1</v>
      </c>
      <c r="N337" s="114">
        <f t="shared" si="25"/>
        <v>0</v>
      </c>
      <c r="Q337" s="320">
        <f t="shared" si="26"/>
        <v>32600</v>
      </c>
      <c r="R337" s="101">
        <v>1</v>
      </c>
      <c r="S337" s="101">
        <v>0</v>
      </c>
      <c r="T337" s="12"/>
      <c r="U337" s="210"/>
      <c r="V337" s="13"/>
      <c r="W337" s="13"/>
      <c r="X337" s="13"/>
      <c r="Y337" s="13"/>
      <c r="Z337" s="13"/>
      <c r="AA337" s="13"/>
      <c r="AB337" s="13"/>
      <c r="AC337" s="13"/>
      <c r="AD337" s="13"/>
      <c r="AE337" s="13"/>
    </row>
    <row r="338" spans="1:31" ht="21" x14ac:dyDescent="0.4">
      <c r="A338" s="210"/>
      <c r="B338" s="108">
        <v>328</v>
      </c>
      <c r="C338" s="297">
        <v>2275.9554052867097</v>
      </c>
      <c r="D338" s="297">
        <v>3581.666648823777</v>
      </c>
      <c r="E338" s="297">
        <v>17.530762533878026</v>
      </c>
      <c r="F338" s="297">
        <v>12.372988037161006</v>
      </c>
      <c r="G338" s="322">
        <v>-1305.7112435370673</v>
      </c>
      <c r="H338" s="322">
        <v>5.1577744967170194</v>
      </c>
      <c r="I338" s="322">
        <v>-253.15399972762805</v>
      </c>
      <c r="K338" s="223">
        <f t="shared" si="23"/>
        <v>1049569.7966273949</v>
      </c>
      <c r="L338" s="223">
        <f t="shared" si="23"/>
        <v>738797.61558083654</v>
      </c>
      <c r="M338" s="114">
        <f t="shared" si="24"/>
        <v>1</v>
      </c>
      <c r="N338" s="114">
        <f t="shared" si="25"/>
        <v>0</v>
      </c>
      <c r="Q338" s="320">
        <f t="shared" si="26"/>
        <v>32700</v>
      </c>
      <c r="R338" s="101">
        <v>1</v>
      </c>
      <c r="S338" s="101">
        <v>0</v>
      </c>
      <c r="T338" s="12"/>
      <c r="U338" s="210"/>
      <c r="V338" s="13"/>
      <c r="W338" s="13"/>
      <c r="X338" s="13"/>
      <c r="Y338" s="13"/>
      <c r="Z338" s="13"/>
      <c r="AA338" s="13"/>
      <c r="AB338" s="13"/>
      <c r="AC338" s="13"/>
      <c r="AD338" s="13"/>
      <c r="AE338" s="13"/>
    </row>
    <row r="339" spans="1:31" ht="21" x14ac:dyDescent="0.4">
      <c r="A339" s="210"/>
      <c r="B339" s="108">
        <v>329</v>
      </c>
      <c r="C339" s="297">
        <v>2101.0089768167754</v>
      </c>
      <c r="D339" s="297">
        <v>3410.9340943337165</v>
      </c>
      <c r="E339" s="297">
        <v>17.518187946100959</v>
      </c>
      <c r="F339" s="297">
        <v>13.248699643575023</v>
      </c>
      <c r="G339" s="322">
        <v>-1309.9251175169411</v>
      </c>
      <c r="H339" s="322">
        <v>4.2694883025259358</v>
      </c>
      <c r="I339" s="322">
        <v>-306.81079902290793</v>
      </c>
      <c r="K339" s="223">
        <f t="shared" si="23"/>
        <v>1048990.2677892409</v>
      </c>
      <c r="L339" s="223">
        <f t="shared" si="23"/>
        <v>791511.04452016775</v>
      </c>
      <c r="M339" s="114">
        <f t="shared" si="24"/>
        <v>1</v>
      </c>
      <c r="N339" s="114">
        <f t="shared" si="25"/>
        <v>0</v>
      </c>
      <c r="Q339" s="320">
        <f t="shared" si="26"/>
        <v>32800</v>
      </c>
      <c r="R339" s="101">
        <v>1</v>
      </c>
      <c r="S339" s="101">
        <v>0</v>
      </c>
      <c r="T339" s="12"/>
      <c r="U339" s="210"/>
      <c r="V339" s="13"/>
      <c r="W339" s="13"/>
      <c r="X339" s="13"/>
      <c r="Y339" s="13"/>
      <c r="Z339" s="13"/>
      <c r="AA339" s="13"/>
      <c r="AB339" s="13"/>
      <c r="AC339" s="13"/>
      <c r="AD339" s="13"/>
      <c r="AE339" s="13"/>
    </row>
    <row r="340" spans="1:31" ht="21" x14ac:dyDescent="0.4">
      <c r="A340" s="210"/>
      <c r="B340" s="108">
        <v>330</v>
      </c>
      <c r="C340" s="297">
        <v>2408.6465576239189</v>
      </c>
      <c r="D340" s="297">
        <v>3224.7635694174305</v>
      </c>
      <c r="E340" s="297">
        <v>19.352773371434619</v>
      </c>
      <c r="F340" s="297">
        <v>14.334560987579776</v>
      </c>
      <c r="G340" s="322">
        <v>-816.11701179351167</v>
      </c>
      <c r="H340" s="322">
        <v>5.0182123838548431</v>
      </c>
      <c r="I340" s="322">
        <v>-162.63102263650998</v>
      </c>
      <c r="K340" s="223">
        <f t="shared" si="23"/>
        <v>1158757.7557284532</v>
      </c>
      <c r="L340" s="223">
        <f t="shared" si="23"/>
        <v>856848.89568536915</v>
      </c>
      <c r="M340" s="114">
        <f t="shared" si="24"/>
        <v>1</v>
      </c>
      <c r="N340" s="114">
        <f t="shared" si="25"/>
        <v>0</v>
      </c>
      <c r="Q340" s="320">
        <f t="shared" si="26"/>
        <v>32900</v>
      </c>
      <c r="R340" s="101">
        <v>1</v>
      </c>
      <c r="S340" s="101">
        <v>0</v>
      </c>
      <c r="T340" s="12"/>
      <c r="U340" s="210"/>
      <c r="V340" s="13"/>
      <c r="W340" s="13"/>
      <c r="X340" s="13"/>
      <c r="Y340" s="13"/>
      <c r="Z340" s="13"/>
      <c r="AA340" s="13"/>
      <c r="AB340" s="13"/>
      <c r="AC340" s="13"/>
      <c r="AD340" s="13"/>
      <c r="AE340" s="13"/>
    </row>
    <row r="341" spans="1:31" ht="21" x14ac:dyDescent="0.4">
      <c r="A341" s="210"/>
      <c r="B341" s="108">
        <v>331</v>
      </c>
      <c r="C341" s="297">
        <v>1977.8433459018033</v>
      </c>
      <c r="D341" s="297">
        <v>2738.2403871363495</v>
      </c>
      <c r="E341" s="297">
        <v>20.41661669076592</v>
      </c>
      <c r="F341" s="297">
        <v>14.976123677637601</v>
      </c>
      <c r="G341" s="322">
        <v>-760.39704123454612</v>
      </c>
      <c r="H341" s="322">
        <v>5.4404930131283198</v>
      </c>
      <c r="I341" s="322">
        <v>-139.76620122471451</v>
      </c>
      <c r="K341" s="223">
        <f t="shared" si="23"/>
        <v>1223019.1581000534</v>
      </c>
      <c r="L341" s="223">
        <f t="shared" si="23"/>
        <v>895829.18027111969</v>
      </c>
      <c r="M341" s="114">
        <f t="shared" si="24"/>
        <v>1</v>
      </c>
      <c r="N341" s="114">
        <f t="shared" si="25"/>
        <v>0</v>
      </c>
      <c r="Q341" s="320">
        <f t="shared" si="26"/>
        <v>33000</v>
      </c>
      <c r="R341" s="101">
        <v>1</v>
      </c>
      <c r="S341" s="101">
        <v>0</v>
      </c>
      <c r="T341" s="12"/>
      <c r="U341" s="210"/>
      <c r="V341" s="13"/>
      <c r="W341" s="13"/>
      <c r="X341" s="13"/>
      <c r="Y341" s="13"/>
      <c r="Z341" s="13"/>
      <c r="AA341" s="13"/>
      <c r="AB341" s="13"/>
      <c r="AC341" s="13"/>
      <c r="AD341" s="13"/>
      <c r="AE341" s="13"/>
    </row>
    <row r="342" spans="1:31" ht="21" x14ac:dyDescent="0.4">
      <c r="A342" s="210"/>
      <c r="B342" s="108">
        <v>332</v>
      </c>
      <c r="C342" s="297">
        <v>2062.3874896781631</v>
      </c>
      <c r="D342" s="297">
        <v>3375.2787247486244</v>
      </c>
      <c r="E342" s="297">
        <v>19.662576561130933</v>
      </c>
      <c r="F342" s="297">
        <v>14.054828379204956</v>
      </c>
      <c r="G342" s="322">
        <v>-1312.8912350704613</v>
      </c>
      <c r="H342" s="322">
        <v>5.6077481819259773</v>
      </c>
      <c r="I342" s="322">
        <v>-234.12093276619808</v>
      </c>
      <c r="K342" s="223">
        <f t="shared" si="23"/>
        <v>1177692.2061781778</v>
      </c>
      <c r="L342" s="223">
        <f t="shared" si="23"/>
        <v>839914.42402754875</v>
      </c>
      <c r="M342" s="114">
        <f t="shared" si="24"/>
        <v>1</v>
      </c>
      <c r="N342" s="114">
        <f t="shared" si="25"/>
        <v>0</v>
      </c>
      <c r="Q342" s="320">
        <f t="shared" si="26"/>
        <v>33100</v>
      </c>
      <c r="R342" s="101">
        <v>1</v>
      </c>
      <c r="S342" s="101">
        <v>0</v>
      </c>
      <c r="T342" s="12"/>
      <c r="U342" s="210"/>
      <c r="V342" s="13"/>
      <c r="W342" s="13"/>
      <c r="X342" s="13"/>
      <c r="Y342" s="13"/>
      <c r="Z342" s="13"/>
      <c r="AA342" s="13"/>
      <c r="AB342" s="13"/>
      <c r="AC342" s="13"/>
      <c r="AD342" s="13"/>
      <c r="AE342" s="13"/>
    </row>
    <row r="343" spans="1:31" ht="21" x14ac:dyDescent="0.4">
      <c r="A343" s="210"/>
      <c r="B343" s="108">
        <v>333</v>
      </c>
      <c r="C343" s="297">
        <v>2161.7889596237133</v>
      </c>
      <c r="D343" s="297">
        <v>2843.9699287601179</v>
      </c>
      <c r="E343" s="297">
        <v>17.360351441276507</v>
      </c>
      <c r="F343" s="297">
        <v>13.463849859530152</v>
      </c>
      <c r="G343" s="322">
        <v>-682.18096913640466</v>
      </c>
      <c r="H343" s="322">
        <v>3.8965015817463549</v>
      </c>
      <c r="I343" s="322">
        <v>-175.07524501777851</v>
      </c>
      <c r="K343" s="223">
        <f t="shared" si="23"/>
        <v>1039459.2975169667</v>
      </c>
      <c r="L343" s="223">
        <f t="shared" si="23"/>
        <v>804987.02164304897</v>
      </c>
      <c r="M343" s="114">
        <f t="shared" si="24"/>
        <v>1</v>
      </c>
      <c r="N343" s="114">
        <f t="shared" si="25"/>
        <v>0</v>
      </c>
      <c r="Q343" s="320">
        <f t="shared" si="26"/>
        <v>33200</v>
      </c>
      <c r="R343" s="101">
        <v>1</v>
      </c>
      <c r="S343" s="101">
        <v>0</v>
      </c>
      <c r="T343" s="12"/>
      <c r="U343" s="210"/>
      <c r="V343" s="13"/>
      <c r="W343" s="13"/>
      <c r="X343" s="13"/>
      <c r="Y343" s="13"/>
      <c r="Z343" s="13"/>
      <c r="AA343" s="13"/>
      <c r="AB343" s="13"/>
      <c r="AC343" s="13"/>
      <c r="AD343" s="13"/>
      <c r="AE343" s="13"/>
    </row>
    <row r="344" spans="1:31" ht="21" x14ac:dyDescent="0.4">
      <c r="A344" s="210"/>
      <c r="B344" s="108">
        <v>334</v>
      </c>
      <c r="C344" s="297">
        <v>2071.0852630924128</v>
      </c>
      <c r="D344" s="297">
        <v>3450.2186636365382</v>
      </c>
      <c r="E344" s="297">
        <v>17.339238968811493</v>
      </c>
      <c r="F344" s="297">
        <v>12.683294715301281</v>
      </c>
      <c r="G344" s="322">
        <v>-1379.1334005441254</v>
      </c>
      <c r="H344" s="322">
        <v>4.6559442535102118</v>
      </c>
      <c r="I344" s="322">
        <v>-296.20917378990703</v>
      </c>
      <c r="K344" s="223">
        <f t="shared" si="23"/>
        <v>1038283.2528655971</v>
      </c>
      <c r="L344" s="223">
        <f t="shared" si="23"/>
        <v>757547.46425444027</v>
      </c>
      <c r="M344" s="114">
        <f t="shared" si="24"/>
        <v>1</v>
      </c>
      <c r="N344" s="114">
        <f t="shared" si="25"/>
        <v>0</v>
      </c>
      <c r="Q344" s="320">
        <f t="shared" si="26"/>
        <v>33300</v>
      </c>
      <c r="R344" s="101">
        <v>1</v>
      </c>
      <c r="S344" s="101">
        <v>0</v>
      </c>
      <c r="T344" s="12"/>
      <c r="U344" s="210"/>
      <c r="V344" s="13"/>
      <c r="W344" s="13"/>
      <c r="X344" s="13"/>
      <c r="Y344" s="13"/>
      <c r="Z344" s="13"/>
      <c r="AA344" s="13"/>
      <c r="AB344" s="13"/>
      <c r="AC344" s="13"/>
      <c r="AD344" s="13"/>
      <c r="AE344" s="13"/>
    </row>
    <row r="345" spans="1:31" ht="21" x14ac:dyDescent="0.4">
      <c r="A345" s="210"/>
      <c r="B345" s="108">
        <v>335</v>
      </c>
      <c r="C345" s="297">
        <v>1811.2113034591052</v>
      </c>
      <c r="D345" s="297">
        <v>3242.0951989364139</v>
      </c>
      <c r="E345" s="297">
        <v>18.419150996053283</v>
      </c>
      <c r="F345" s="297">
        <v>13.712521638543539</v>
      </c>
      <c r="G345" s="322">
        <v>-1430.8838954773087</v>
      </c>
      <c r="H345" s="322">
        <v>4.706629357509744</v>
      </c>
      <c r="I345" s="322">
        <v>-304.01456898114083</v>
      </c>
      <c r="K345" s="223">
        <f t="shared" si="23"/>
        <v>1103337.8484597378</v>
      </c>
      <c r="L345" s="223">
        <f t="shared" si="23"/>
        <v>819509.20311367593</v>
      </c>
      <c r="M345" s="114">
        <f t="shared" si="24"/>
        <v>1</v>
      </c>
      <c r="N345" s="114">
        <f t="shared" si="25"/>
        <v>0</v>
      </c>
      <c r="Q345" s="320">
        <f t="shared" si="26"/>
        <v>33400</v>
      </c>
      <c r="R345" s="101">
        <v>1</v>
      </c>
      <c r="S345" s="101">
        <v>0</v>
      </c>
      <c r="T345" s="12"/>
      <c r="U345" s="210"/>
      <c r="V345" s="13"/>
      <c r="W345" s="13"/>
      <c r="X345" s="13"/>
      <c r="Y345" s="13"/>
      <c r="Z345" s="13"/>
      <c r="AA345" s="13"/>
      <c r="AB345" s="13"/>
      <c r="AC345" s="13"/>
      <c r="AD345" s="13"/>
      <c r="AE345" s="13"/>
    </row>
    <row r="346" spans="1:31" ht="21" x14ac:dyDescent="0.4">
      <c r="A346" s="210"/>
      <c r="B346" s="108">
        <v>336</v>
      </c>
      <c r="C346" s="297">
        <v>2062.2344592228483</v>
      </c>
      <c r="D346" s="297">
        <v>2688.9661761035686</v>
      </c>
      <c r="E346" s="297">
        <v>18.55804374856087</v>
      </c>
      <c r="F346" s="297">
        <v>13.191906689725938</v>
      </c>
      <c r="G346" s="322">
        <v>-626.73171688072034</v>
      </c>
      <c r="H346" s="322">
        <v>5.3661370588349318</v>
      </c>
      <c r="I346" s="322">
        <v>-116.79383325643067</v>
      </c>
      <c r="K346" s="223">
        <f t="shared" si="23"/>
        <v>1111420.3904544294</v>
      </c>
      <c r="L346" s="223">
        <f t="shared" si="23"/>
        <v>788825.43520745274</v>
      </c>
      <c r="M346" s="114">
        <f t="shared" si="24"/>
        <v>1</v>
      </c>
      <c r="N346" s="114">
        <f t="shared" si="25"/>
        <v>0</v>
      </c>
      <c r="Q346" s="320">
        <f t="shared" si="26"/>
        <v>33500</v>
      </c>
      <c r="R346" s="101">
        <v>1</v>
      </c>
      <c r="S346" s="101">
        <v>0</v>
      </c>
      <c r="T346" s="12"/>
      <c r="U346" s="210"/>
      <c r="V346" s="13"/>
      <c r="W346" s="13"/>
      <c r="X346" s="13"/>
      <c r="Y346" s="13"/>
      <c r="Z346" s="13"/>
      <c r="AA346" s="13"/>
      <c r="AB346" s="13"/>
      <c r="AC346" s="13"/>
      <c r="AD346" s="13"/>
      <c r="AE346" s="13"/>
    </row>
    <row r="347" spans="1:31" ht="21" x14ac:dyDescent="0.4">
      <c r="A347" s="210"/>
      <c r="B347" s="108">
        <v>337</v>
      </c>
      <c r="C347" s="297">
        <v>2011.9714746275502</v>
      </c>
      <c r="D347" s="297">
        <v>2993.9696485936483</v>
      </c>
      <c r="E347" s="297">
        <v>20.072543669068821</v>
      </c>
      <c r="F347" s="297">
        <v>14.269681197327508</v>
      </c>
      <c r="G347" s="322">
        <v>-981.99817396609819</v>
      </c>
      <c r="H347" s="322">
        <v>5.8028624717413138</v>
      </c>
      <c r="I347" s="322">
        <v>-169.22651169973733</v>
      </c>
      <c r="K347" s="223">
        <f t="shared" si="23"/>
        <v>1202340.6486695018</v>
      </c>
      <c r="L347" s="223">
        <f t="shared" si="23"/>
        <v>853186.90219105675</v>
      </c>
      <c r="M347" s="114">
        <f t="shared" si="24"/>
        <v>1</v>
      </c>
      <c r="N347" s="114">
        <f t="shared" si="25"/>
        <v>0</v>
      </c>
      <c r="Q347" s="320">
        <f t="shared" si="26"/>
        <v>33600</v>
      </c>
      <c r="R347" s="101">
        <v>1</v>
      </c>
      <c r="S347" s="101">
        <v>0</v>
      </c>
      <c r="T347" s="12"/>
      <c r="U347" s="210"/>
      <c r="V347" s="13"/>
      <c r="W347" s="13"/>
      <c r="X347" s="13"/>
      <c r="Y347" s="13"/>
      <c r="Z347" s="13"/>
      <c r="AA347" s="13"/>
      <c r="AB347" s="13"/>
      <c r="AC347" s="13"/>
      <c r="AD347" s="13"/>
      <c r="AE347" s="13"/>
    </row>
    <row r="348" spans="1:31" ht="21" x14ac:dyDescent="0.4">
      <c r="A348" s="210"/>
      <c r="B348" s="108">
        <v>338</v>
      </c>
      <c r="C348" s="297">
        <v>2293.9856475642277</v>
      </c>
      <c r="D348" s="297">
        <v>3309.8388523826156</v>
      </c>
      <c r="E348" s="297">
        <v>20.002907496284202</v>
      </c>
      <c r="F348" s="297">
        <v>14.549999008041304</v>
      </c>
      <c r="G348" s="322">
        <v>-1015.8532048183879</v>
      </c>
      <c r="H348" s="322">
        <v>5.4529084882428975</v>
      </c>
      <c r="I348" s="322">
        <v>-186.29566349933896</v>
      </c>
      <c r="K348" s="223">
        <f t="shared" si="23"/>
        <v>1197880.4641294878</v>
      </c>
      <c r="L348" s="223">
        <f t="shared" si="23"/>
        <v>869690.10163009563</v>
      </c>
      <c r="M348" s="114">
        <f t="shared" si="24"/>
        <v>1</v>
      </c>
      <c r="N348" s="114">
        <f t="shared" si="25"/>
        <v>0</v>
      </c>
      <c r="Q348" s="320">
        <f t="shared" si="26"/>
        <v>33700</v>
      </c>
      <c r="R348" s="101">
        <v>1</v>
      </c>
      <c r="S348" s="101">
        <v>0</v>
      </c>
      <c r="T348" s="12"/>
      <c r="U348" s="210"/>
      <c r="V348" s="13"/>
      <c r="W348" s="13"/>
      <c r="X348" s="13"/>
      <c r="Y348" s="13"/>
      <c r="Z348" s="13"/>
      <c r="AA348" s="13"/>
      <c r="AB348" s="13"/>
      <c r="AC348" s="13"/>
      <c r="AD348" s="13"/>
      <c r="AE348" s="13"/>
    </row>
    <row r="349" spans="1:31" ht="21" x14ac:dyDescent="0.4">
      <c r="A349" s="210"/>
      <c r="B349" s="108">
        <v>339</v>
      </c>
      <c r="C349" s="297">
        <v>2078.137346619962</v>
      </c>
      <c r="D349" s="297">
        <v>2933.8843725853112</v>
      </c>
      <c r="E349" s="297">
        <v>19.367428106589543</v>
      </c>
      <c r="F349" s="297">
        <v>13.856809417896283</v>
      </c>
      <c r="G349" s="322">
        <v>-855.74702596534917</v>
      </c>
      <c r="H349" s="322">
        <v>5.5106186886932598</v>
      </c>
      <c r="I349" s="322">
        <v>-155.29055344024783</v>
      </c>
      <c r="K349" s="223">
        <f t="shared" si="23"/>
        <v>1159967.5490487525</v>
      </c>
      <c r="L349" s="223">
        <f t="shared" si="23"/>
        <v>828474.68070119165</v>
      </c>
      <c r="M349" s="114">
        <f t="shared" si="24"/>
        <v>1</v>
      </c>
      <c r="N349" s="114">
        <f t="shared" si="25"/>
        <v>0</v>
      </c>
      <c r="Q349" s="320">
        <f t="shared" si="26"/>
        <v>33800</v>
      </c>
      <c r="R349" s="101">
        <v>1</v>
      </c>
      <c r="S349" s="101">
        <v>0</v>
      </c>
      <c r="T349" s="12"/>
      <c r="U349" s="210"/>
      <c r="V349" s="13"/>
      <c r="W349" s="13"/>
      <c r="X349" s="13"/>
      <c r="Y349" s="13"/>
      <c r="Z349" s="13"/>
      <c r="AA349" s="13"/>
      <c r="AB349" s="13"/>
      <c r="AC349" s="13"/>
      <c r="AD349" s="13"/>
      <c r="AE349" s="13"/>
    </row>
    <row r="350" spans="1:31" ht="21" x14ac:dyDescent="0.4">
      <c r="A350" s="210"/>
      <c r="B350" s="108">
        <v>340</v>
      </c>
      <c r="C350" s="297">
        <v>2009.3861024466823</v>
      </c>
      <c r="D350" s="297">
        <v>2728.0597669780773</v>
      </c>
      <c r="E350" s="297">
        <v>19.849366199385194</v>
      </c>
      <c r="F350" s="297">
        <v>14.50094144134936</v>
      </c>
      <c r="G350" s="322">
        <v>-718.67366453139493</v>
      </c>
      <c r="H350" s="322">
        <v>5.3484247580358346</v>
      </c>
      <c r="I350" s="322">
        <v>-134.37109000208164</v>
      </c>
      <c r="K350" s="223">
        <f t="shared" si="23"/>
        <v>1188952.5858606652</v>
      </c>
      <c r="L350" s="223">
        <f t="shared" si="23"/>
        <v>867328.42671398353</v>
      </c>
      <c r="M350" s="114">
        <f t="shared" si="24"/>
        <v>1</v>
      </c>
      <c r="N350" s="114">
        <f t="shared" si="25"/>
        <v>0</v>
      </c>
      <c r="Q350" s="320">
        <f t="shared" si="26"/>
        <v>33900</v>
      </c>
      <c r="R350" s="101">
        <v>1</v>
      </c>
      <c r="S350" s="101">
        <v>0</v>
      </c>
      <c r="T350" s="12"/>
      <c r="U350" s="210"/>
      <c r="V350" s="13"/>
      <c r="W350" s="13"/>
      <c r="X350" s="13"/>
      <c r="Y350" s="13"/>
      <c r="Z350" s="13"/>
      <c r="AA350" s="13"/>
      <c r="AB350" s="13"/>
      <c r="AC350" s="13"/>
      <c r="AD350" s="13"/>
      <c r="AE350" s="13"/>
    </row>
    <row r="351" spans="1:31" ht="21" x14ac:dyDescent="0.4">
      <c r="A351" s="210"/>
      <c r="B351" s="108">
        <v>341</v>
      </c>
      <c r="C351" s="297">
        <v>2083.3121857395481</v>
      </c>
      <c r="D351" s="297">
        <v>2960.479522371842</v>
      </c>
      <c r="E351" s="297">
        <v>20.703356921427563</v>
      </c>
      <c r="F351" s="297">
        <v>15.481745175872868</v>
      </c>
      <c r="G351" s="322">
        <v>-877.16733663229388</v>
      </c>
      <c r="H351" s="322">
        <v>5.2216117455546947</v>
      </c>
      <c r="I351" s="322">
        <v>-167.98785114175737</v>
      </c>
      <c r="K351" s="223">
        <f t="shared" si="23"/>
        <v>1240118.103099914</v>
      </c>
      <c r="L351" s="223">
        <f t="shared" si="23"/>
        <v>925944.23103000026</v>
      </c>
      <c r="M351" s="114">
        <f t="shared" si="24"/>
        <v>1</v>
      </c>
      <c r="N351" s="114">
        <f t="shared" si="25"/>
        <v>0</v>
      </c>
      <c r="Q351" s="320">
        <f t="shared" si="26"/>
        <v>34000</v>
      </c>
      <c r="R351" s="101">
        <v>1</v>
      </c>
      <c r="S351" s="101">
        <v>0</v>
      </c>
      <c r="T351" s="12"/>
      <c r="U351" s="210"/>
      <c r="V351" s="13"/>
      <c r="W351" s="13"/>
      <c r="X351" s="13"/>
      <c r="Y351" s="13"/>
      <c r="Z351" s="13"/>
      <c r="AA351" s="13"/>
      <c r="AB351" s="13"/>
      <c r="AC351" s="13"/>
      <c r="AD351" s="13"/>
      <c r="AE351" s="13"/>
    </row>
    <row r="352" spans="1:31" ht="21" x14ac:dyDescent="0.4">
      <c r="A352" s="210"/>
      <c r="B352" s="108">
        <v>342</v>
      </c>
      <c r="C352" s="297">
        <v>1923.4428699631076</v>
      </c>
      <c r="D352" s="297">
        <v>2885.9820692771655</v>
      </c>
      <c r="E352" s="297">
        <v>19.453516380080924</v>
      </c>
      <c r="F352" s="297">
        <v>13.454002956843134</v>
      </c>
      <c r="G352" s="322">
        <v>-962.5391993140579</v>
      </c>
      <c r="H352" s="322">
        <v>5.99951342323779</v>
      </c>
      <c r="I352" s="322">
        <v>-160.43621064099548</v>
      </c>
      <c r="K352" s="223">
        <f t="shared" si="23"/>
        <v>1165287.5399348922</v>
      </c>
      <c r="L352" s="223">
        <f t="shared" si="23"/>
        <v>804354.19534131081</v>
      </c>
      <c r="M352" s="114">
        <f t="shared" si="24"/>
        <v>1</v>
      </c>
      <c r="N352" s="114">
        <f t="shared" si="25"/>
        <v>0</v>
      </c>
      <c r="Q352" s="320">
        <f t="shared" si="26"/>
        <v>34100</v>
      </c>
      <c r="R352" s="101">
        <v>1</v>
      </c>
      <c r="S352" s="101">
        <v>0</v>
      </c>
      <c r="T352" s="12"/>
      <c r="U352" s="210"/>
      <c r="V352" s="13"/>
      <c r="W352" s="13"/>
      <c r="X352" s="13"/>
      <c r="Y352" s="13"/>
      <c r="Z352" s="13"/>
      <c r="AA352" s="13"/>
      <c r="AB352" s="13"/>
      <c r="AC352" s="13"/>
      <c r="AD352" s="13"/>
      <c r="AE352" s="13"/>
    </row>
    <row r="353" spans="1:31" ht="21" x14ac:dyDescent="0.4">
      <c r="A353" s="210"/>
      <c r="B353" s="108">
        <v>343</v>
      </c>
      <c r="C353" s="297">
        <v>2223.8277157044449</v>
      </c>
      <c r="D353" s="297">
        <v>2660.7934016403369</v>
      </c>
      <c r="E353" s="297">
        <v>19.09800698285208</v>
      </c>
      <c r="F353" s="297">
        <v>13.923049744473742</v>
      </c>
      <c r="G353" s="322">
        <v>-436.965685935892</v>
      </c>
      <c r="H353" s="322">
        <v>5.1749572383783384</v>
      </c>
      <c r="I353" s="322">
        <v>-84.438511432574217</v>
      </c>
      <c r="K353" s="223">
        <f t="shared" si="23"/>
        <v>1143656.5912554204</v>
      </c>
      <c r="L353" s="223">
        <f t="shared" si="23"/>
        <v>832722.1912667841</v>
      </c>
      <c r="M353" s="114">
        <f t="shared" si="24"/>
        <v>1</v>
      </c>
      <c r="N353" s="114">
        <f t="shared" si="25"/>
        <v>0</v>
      </c>
      <c r="Q353" s="320">
        <f t="shared" si="26"/>
        <v>34200</v>
      </c>
      <c r="R353" s="101">
        <v>1</v>
      </c>
      <c r="S353" s="101">
        <v>0</v>
      </c>
      <c r="T353" s="12"/>
      <c r="U353" s="210"/>
      <c r="V353" s="13"/>
      <c r="W353" s="13"/>
      <c r="X353" s="13"/>
      <c r="Y353" s="13"/>
      <c r="Z353" s="13"/>
      <c r="AA353" s="13"/>
      <c r="AB353" s="13"/>
      <c r="AC353" s="13"/>
      <c r="AD353" s="13"/>
      <c r="AE353" s="13"/>
    </row>
    <row r="354" spans="1:31" ht="21" x14ac:dyDescent="0.4">
      <c r="A354" s="210"/>
      <c r="B354" s="108">
        <v>344</v>
      </c>
      <c r="C354" s="297">
        <v>2047.622444060235</v>
      </c>
      <c r="D354" s="297">
        <v>2935.38686444009</v>
      </c>
      <c r="E354" s="297">
        <v>19.581738223300896</v>
      </c>
      <c r="F354" s="297">
        <v>14.186592768264692</v>
      </c>
      <c r="G354" s="322">
        <v>-887.76442037985498</v>
      </c>
      <c r="H354" s="322">
        <v>5.3951454550362037</v>
      </c>
      <c r="I354" s="322">
        <v>-164.54874623466435</v>
      </c>
      <c r="K354" s="223">
        <f t="shared" si="23"/>
        <v>1172856.6709539937</v>
      </c>
      <c r="L354" s="223">
        <f t="shared" si="23"/>
        <v>848260.17923144146</v>
      </c>
      <c r="M354" s="114">
        <f t="shared" si="24"/>
        <v>1</v>
      </c>
      <c r="N354" s="114">
        <f t="shared" si="25"/>
        <v>0</v>
      </c>
      <c r="Q354" s="320">
        <f t="shared" si="26"/>
        <v>34300</v>
      </c>
      <c r="R354" s="101">
        <v>1</v>
      </c>
      <c r="S354" s="101">
        <v>0</v>
      </c>
      <c r="T354" s="12"/>
      <c r="U354" s="210"/>
      <c r="V354" s="13"/>
      <c r="W354" s="13"/>
      <c r="X354" s="13"/>
      <c r="Y354" s="13"/>
      <c r="Z354" s="13"/>
      <c r="AA354" s="13"/>
      <c r="AB354" s="13"/>
      <c r="AC354" s="13"/>
      <c r="AD354" s="13"/>
      <c r="AE354" s="13"/>
    </row>
    <row r="355" spans="1:31" ht="21" x14ac:dyDescent="0.4">
      <c r="A355" s="210"/>
      <c r="B355" s="108">
        <v>345</v>
      </c>
      <c r="C355" s="297">
        <v>1766.1518280632063</v>
      </c>
      <c r="D355" s="297">
        <v>2781.3444671981483</v>
      </c>
      <c r="E355" s="297">
        <v>19.486827768197156</v>
      </c>
      <c r="F355" s="297">
        <v>15.07728865263206</v>
      </c>
      <c r="G355" s="322">
        <v>-1015.1926391349421</v>
      </c>
      <c r="H355" s="322">
        <v>4.4095391155650958</v>
      </c>
      <c r="I355" s="322">
        <v>-230.22647322742753</v>
      </c>
      <c r="K355" s="223">
        <f t="shared" si="23"/>
        <v>1167443.5142637661</v>
      </c>
      <c r="L355" s="223">
        <f t="shared" si="23"/>
        <v>901855.97469072544</v>
      </c>
      <c r="M355" s="114">
        <f t="shared" si="24"/>
        <v>1</v>
      </c>
      <c r="N355" s="114">
        <f t="shared" si="25"/>
        <v>0</v>
      </c>
      <c r="Q355" s="320">
        <f t="shared" si="26"/>
        <v>34400</v>
      </c>
      <c r="R355" s="101">
        <v>1</v>
      </c>
      <c r="S355" s="101">
        <v>0</v>
      </c>
      <c r="T355" s="12"/>
      <c r="U355" s="210"/>
      <c r="V355" s="13"/>
      <c r="W355" s="13"/>
      <c r="X355" s="13"/>
      <c r="Y355" s="13"/>
      <c r="Z355" s="13"/>
      <c r="AA355" s="13"/>
      <c r="AB355" s="13"/>
      <c r="AC355" s="13"/>
      <c r="AD355" s="13"/>
      <c r="AE355" s="13"/>
    </row>
    <row r="356" spans="1:31" ht="21" x14ac:dyDescent="0.4">
      <c r="A356" s="210"/>
      <c r="B356" s="108">
        <v>346</v>
      </c>
      <c r="C356" s="297">
        <v>1868.1451123236675</v>
      </c>
      <c r="D356" s="297">
        <v>2872.6494420008089</v>
      </c>
      <c r="E356" s="297">
        <v>20.823025157899064</v>
      </c>
      <c r="F356" s="297">
        <v>14.86862687868723</v>
      </c>
      <c r="G356" s="322">
        <v>-1004.5043296771414</v>
      </c>
      <c r="H356" s="322">
        <v>5.9543982792118335</v>
      </c>
      <c r="I356" s="322">
        <v>-168.69955326705232</v>
      </c>
      <c r="K356" s="223">
        <f t="shared" si="23"/>
        <v>1247513.3643616203</v>
      </c>
      <c r="L356" s="223">
        <f t="shared" si="23"/>
        <v>889244.96327923308</v>
      </c>
      <c r="M356" s="114">
        <f t="shared" si="24"/>
        <v>1</v>
      </c>
      <c r="N356" s="114">
        <f t="shared" si="25"/>
        <v>0</v>
      </c>
      <c r="Q356" s="320">
        <f t="shared" si="26"/>
        <v>34500</v>
      </c>
      <c r="R356" s="101">
        <v>1</v>
      </c>
      <c r="S356" s="101">
        <v>0</v>
      </c>
      <c r="T356" s="12"/>
      <c r="U356" s="210"/>
      <c r="V356" s="13"/>
      <c r="W356" s="13"/>
      <c r="X356" s="13"/>
      <c r="Y356" s="13"/>
      <c r="Z356" s="13"/>
      <c r="AA356" s="13"/>
      <c r="AB356" s="13"/>
      <c r="AC356" s="13"/>
      <c r="AD356" s="13"/>
      <c r="AE356" s="13"/>
    </row>
    <row r="357" spans="1:31" ht="21" x14ac:dyDescent="0.4">
      <c r="A357" s="210"/>
      <c r="B357" s="108">
        <v>347</v>
      </c>
      <c r="C357" s="297">
        <v>1968.9893716441247</v>
      </c>
      <c r="D357" s="297">
        <v>2747.8902438208215</v>
      </c>
      <c r="E357" s="297">
        <v>19.787171719955293</v>
      </c>
      <c r="F357" s="297">
        <v>14.696018573666384</v>
      </c>
      <c r="G357" s="322">
        <v>-778.90087217669679</v>
      </c>
      <c r="H357" s="322">
        <v>5.0911531462889084</v>
      </c>
      <c r="I357" s="322">
        <v>-152.99105129934279</v>
      </c>
      <c r="K357" s="223">
        <f t="shared" si="23"/>
        <v>1185261.3138256734</v>
      </c>
      <c r="L357" s="223">
        <f t="shared" si="23"/>
        <v>879013.22417616216</v>
      </c>
      <c r="M357" s="114">
        <f t="shared" si="24"/>
        <v>1</v>
      </c>
      <c r="N357" s="114">
        <f t="shared" si="25"/>
        <v>0</v>
      </c>
      <c r="Q357" s="320">
        <f t="shared" si="26"/>
        <v>34600</v>
      </c>
      <c r="R357" s="101">
        <v>1</v>
      </c>
      <c r="S357" s="101">
        <v>0</v>
      </c>
      <c r="T357" s="12"/>
      <c r="U357" s="210"/>
      <c r="V357" s="13"/>
      <c r="W357" s="13"/>
      <c r="X357" s="13"/>
      <c r="Y357" s="13"/>
      <c r="Z357" s="13"/>
      <c r="AA357" s="13"/>
      <c r="AB357" s="13"/>
      <c r="AC357" s="13"/>
      <c r="AD357" s="13"/>
      <c r="AE357" s="13"/>
    </row>
    <row r="358" spans="1:31" ht="21" x14ac:dyDescent="0.4">
      <c r="A358" s="210"/>
      <c r="B358" s="108">
        <v>348</v>
      </c>
      <c r="C358" s="297">
        <v>1912.4445032378303</v>
      </c>
      <c r="D358" s="297">
        <v>3038.9419793958241</v>
      </c>
      <c r="E358" s="297">
        <v>19.71535757587602</v>
      </c>
      <c r="F358" s="297">
        <v>14.692432465682868</v>
      </c>
      <c r="G358" s="322">
        <v>-1126.4974761579938</v>
      </c>
      <c r="H358" s="322">
        <v>5.0229251101931514</v>
      </c>
      <c r="I358" s="322">
        <v>-224.27120680576411</v>
      </c>
      <c r="K358" s="223">
        <f t="shared" si="23"/>
        <v>1181009.0100493236</v>
      </c>
      <c r="L358" s="223">
        <f t="shared" si="23"/>
        <v>878507.00596157624</v>
      </c>
      <c r="M358" s="114">
        <f t="shared" si="24"/>
        <v>1</v>
      </c>
      <c r="N358" s="114">
        <f t="shared" si="25"/>
        <v>0</v>
      </c>
      <c r="Q358" s="320">
        <f t="shared" si="26"/>
        <v>34700</v>
      </c>
      <c r="R358" s="101">
        <v>1</v>
      </c>
      <c r="S358" s="101">
        <v>0</v>
      </c>
      <c r="T358" s="12"/>
      <c r="U358" s="210"/>
      <c r="V358" s="13"/>
      <c r="W358" s="13"/>
      <c r="X358" s="13"/>
      <c r="Y358" s="13"/>
      <c r="Z358" s="13"/>
      <c r="AA358" s="13"/>
      <c r="AB358" s="13"/>
      <c r="AC358" s="13"/>
      <c r="AD358" s="13"/>
      <c r="AE358" s="13"/>
    </row>
    <row r="359" spans="1:31" ht="21" x14ac:dyDescent="0.4">
      <c r="A359" s="210"/>
      <c r="B359" s="108">
        <v>349</v>
      </c>
      <c r="C359" s="297">
        <v>2196.1264236543116</v>
      </c>
      <c r="D359" s="297">
        <v>3079.0473370557652</v>
      </c>
      <c r="E359" s="297">
        <v>19.939608362034988</v>
      </c>
      <c r="F359" s="297">
        <v>14.532463834731324</v>
      </c>
      <c r="G359" s="322">
        <v>-882.92091340145362</v>
      </c>
      <c r="H359" s="322">
        <v>5.4071445273036645</v>
      </c>
      <c r="I359" s="322">
        <v>-163.28783315169355</v>
      </c>
      <c r="K359" s="223">
        <f t="shared" si="23"/>
        <v>1194180.3752984449</v>
      </c>
      <c r="L359" s="223">
        <f t="shared" si="23"/>
        <v>868868.78274682362</v>
      </c>
      <c r="M359" s="114">
        <f t="shared" si="24"/>
        <v>1</v>
      </c>
      <c r="N359" s="114">
        <f t="shared" si="25"/>
        <v>0</v>
      </c>
      <c r="Q359" s="320">
        <f t="shared" si="26"/>
        <v>34800</v>
      </c>
      <c r="R359" s="101">
        <v>1</v>
      </c>
      <c r="S359" s="101">
        <v>0</v>
      </c>
      <c r="T359" s="12"/>
      <c r="U359" s="210"/>
      <c r="V359" s="13"/>
      <c r="W359" s="13"/>
      <c r="X359" s="13"/>
      <c r="Y359" s="13"/>
      <c r="Z359" s="13"/>
      <c r="AA359" s="13"/>
      <c r="AB359" s="13"/>
      <c r="AC359" s="13"/>
      <c r="AD359" s="13"/>
      <c r="AE359" s="13"/>
    </row>
    <row r="360" spans="1:31" ht="21" x14ac:dyDescent="0.4">
      <c r="A360" s="210"/>
      <c r="B360" s="108">
        <v>350</v>
      </c>
      <c r="C360" s="297">
        <v>2261.8859411937456</v>
      </c>
      <c r="D360" s="297">
        <v>3060.3519991221619</v>
      </c>
      <c r="E360" s="297">
        <v>20.169110799739105</v>
      </c>
      <c r="F360" s="297">
        <v>15.116224084997709</v>
      </c>
      <c r="G360" s="322">
        <v>-798.46605792841638</v>
      </c>
      <c r="H360" s="322">
        <v>5.0528867147413958</v>
      </c>
      <c r="I360" s="322">
        <v>-158.02176122392672</v>
      </c>
      <c r="K360" s="223">
        <f t="shared" si="23"/>
        <v>1207884.7620431527</v>
      </c>
      <c r="L360" s="223">
        <f t="shared" si="23"/>
        <v>903913.09310074034</v>
      </c>
      <c r="M360" s="114">
        <f t="shared" si="24"/>
        <v>1</v>
      </c>
      <c r="N360" s="114">
        <f t="shared" si="25"/>
        <v>0</v>
      </c>
      <c r="Q360" s="320">
        <f t="shared" si="26"/>
        <v>34900</v>
      </c>
      <c r="R360" s="101">
        <v>1</v>
      </c>
      <c r="S360" s="101">
        <v>0</v>
      </c>
      <c r="T360" s="12"/>
      <c r="U360" s="210"/>
      <c r="V360" s="13"/>
      <c r="W360" s="13"/>
      <c r="X360" s="13"/>
      <c r="Y360" s="13"/>
      <c r="Z360" s="13"/>
      <c r="AA360" s="13"/>
      <c r="AB360" s="13"/>
      <c r="AC360" s="13"/>
      <c r="AD360" s="13"/>
      <c r="AE360" s="13"/>
    </row>
    <row r="361" spans="1:31" ht="21" x14ac:dyDescent="0.4">
      <c r="A361" s="210"/>
      <c r="B361" s="108">
        <v>351</v>
      </c>
      <c r="C361" s="297">
        <v>2031.6152428725168</v>
      </c>
      <c r="D361" s="297">
        <v>2663.8371134740264</v>
      </c>
      <c r="E361" s="297">
        <v>19.171497931914118</v>
      </c>
      <c r="F361" s="297">
        <v>14.47471611870443</v>
      </c>
      <c r="G361" s="322">
        <v>-632.22187060150964</v>
      </c>
      <c r="H361" s="322">
        <v>4.6967818132096877</v>
      </c>
      <c r="I361" s="322">
        <v>-134.60746011734824</v>
      </c>
      <c r="K361" s="223">
        <f t="shared" si="23"/>
        <v>1148258.2606719744</v>
      </c>
      <c r="L361" s="223">
        <f t="shared" si="23"/>
        <v>865819.13000879181</v>
      </c>
      <c r="M361" s="114">
        <f t="shared" si="24"/>
        <v>1</v>
      </c>
      <c r="N361" s="114">
        <f t="shared" si="25"/>
        <v>0</v>
      </c>
      <c r="Q361" s="320">
        <f t="shared" si="26"/>
        <v>35000</v>
      </c>
      <c r="R361" s="101">
        <v>1</v>
      </c>
      <c r="S361" s="101">
        <v>0</v>
      </c>
      <c r="T361" s="12"/>
      <c r="U361" s="210"/>
      <c r="V361" s="13"/>
      <c r="W361" s="13"/>
      <c r="X361" s="13"/>
      <c r="Y361" s="13"/>
      <c r="Z361" s="13"/>
      <c r="AA361" s="13"/>
      <c r="AB361" s="13"/>
      <c r="AC361" s="13"/>
      <c r="AD361" s="13"/>
      <c r="AE361" s="13"/>
    </row>
    <row r="362" spans="1:31" ht="21" x14ac:dyDescent="0.4">
      <c r="A362" s="210"/>
      <c r="B362" s="108">
        <v>352</v>
      </c>
      <c r="C362" s="297">
        <v>2058.7169912579197</v>
      </c>
      <c r="D362" s="297">
        <v>2630.0863327852917</v>
      </c>
      <c r="E362" s="297">
        <v>19.515653410417983</v>
      </c>
      <c r="F362" s="297">
        <v>15.055107792907302</v>
      </c>
      <c r="G362" s="322">
        <v>-571.36934152737194</v>
      </c>
      <c r="H362" s="322">
        <v>4.4605456175106806</v>
      </c>
      <c r="I362" s="322">
        <v>-128.09404734801006</v>
      </c>
      <c r="K362" s="223">
        <f t="shared" si="23"/>
        <v>1168880.4876338211</v>
      </c>
      <c r="L362" s="223">
        <f t="shared" si="23"/>
        <v>900676.38124165277</v>
      </c>
      <c r="M362" s="114">
        <f t="shared" si="24"/>
        <v>1</v>
      </c>
      <c r="N362" s="114">
        <f t="shared" si="25"/>
        <v>0</v>
      </c>
      <c r="Q362" s="320">
        <f t="shared" si="26"/>
        <v>35100</v>
      </c>
      <c r="R362" s="101">
        <v>1</v>
      </c>
      <c r="S362" s="101">
        <v>0</v>
      </c>
      <c r="T362" s="12"/>
      <c r="U362" s="210"/>
      <c r="V362" s="13"/>
      <c r="W362" s="13"/>
      <c r="X362" s="13"/>
      <c r="Y362" s="13"/>
      <c r="Z362" s="13"/>
      <c r="AA362" s="13"/>
      <c r="AB362" s="13"/>
      <c r="AC362" s="13"/>
      <c r="AD362" s="13"/>
      <c r="AE362" s="13"/>
    </row>
    <row r="363" spans="1:31" ht="21" x14ac:dyDescent="0.4">
      <c r="A363" s="210"/>
      <c r="B363" s="108">
        <v>353</v>
      </c>
      <c r="C363" s="297">
        <v>2161.726474663174</v>
      </c>
      <c r="D363" s="297">
        <v>3391.9528772034337</v>
      </c>
      <c r="E363" s="297">
        <v>17.667366873296739</v>
      </c>
      <c r="F363" s="297">
        <v>11.466220352989087</v>
      </c>
      <c r="G363" s="322">
        <v>-1230.2264025402596</v>
      </c>
      <c r="H363" s="322">
        <v>6.2011465203076526</v>
      </c>
      <c r="I363" s="322">
        <v>-198.38692708057886</v>
      </c>
      <c r="K363" s="223">
        <f t="shared" si="23"/>
        <v>1057880.2859231411</v>
      </c>
      <c r="L363" s="223">
        <f t="shared" si="23"/>
        <v>684581.26830214169</v>
      </c>
      <c r="M363" s="114">
        <f t="shared" si="24"/>
        <v>1</v>
      </c>
      <c r="N363" s="114">
        <f t="shared" si="25"/>
        <v>0</v>
      </c>
      <c r="Q363" s="320">
        <f t="shared" si="26"/>
        <v>35200</v>
      </c>
      <c r="R363" s="101">
        <v>1</v>
      </c>
      <c r="S363" s="101">
        <v>0</v>
      </c>
      <c r="T363" s="12"/>
      <c r="U363" s="210"/>
      <c r="V363" s="13"/>
      <c r="W363" s="13"/>
      <c r="X363" s="13"/>
      <c r="Y363" s="13"/>
      <c r="Z363" s="13"/>
      <c r="AA363" s="13"/>
      <c r="AB363" s="13"/>
      <c r="AC363" s="13"/>
      <c r="AD363" s="13"/>
      <c r="AE363" s="13"/>
    </row>
    <row r="364" spans="1:31" ht="21" x14ac:dyDescent="0.4">
      <c r="A364" s="210"/>
      <c r="B364" s="108">
        <v>354</v>
      </c>
      <c r="C364" s="297">
        <v>2181.5913651685369</v>
      </c>
      <c r="D364" s="297">
        <v>2552.2905959869636</v>
      </c>
      <c r="E364" s="297">
        <v>18.702248574359267</v>
      </c>
      <c r="F364" s="297">
        <v>13.610840983204266</v>
      </c>
      <c r="G364" s="322">
        <v>-370.69923081842671</v>
      </c>
      <c r="H364" s="322">
        <v>5.0914075911550007</v>
      </c>
      <c r="I364" s="322">
        <v>-72.808790925012644</v>
      </c>
      <c r="K364" s="223">
        <f t="shared" si="23"/>
        <v>1119953.3230963876</v>
      </c>
      <c r="L364" s="223">
        <f t="shared" si="23"/>
        <v>814098.16839626897</v>
      </c>
      <c r="M364" s="114">
        <f t="shared" si="24"/>
        <v>1</v>
      </c>
      <c r="N364" s="114">
        <f t="shared" si="25"/>
        <v>0</v>
      </c>
      <c r="Q364" s="320">
        <f t="shared" si="26"/>
        <v>35300</v>
      </c>
      <c r="R364" s="101">
        <v>1</v>
      </c>
      <c r="S364" s="101">
        <v>0</v>
      </c>
      <c r="T364" s="12"/>
      <c r="U364" s="210"/>
      <c r="V364" s="13"/>
      <c r="W364" s="13"/>
      <c r="X364" s="13"/>
      <c r="Y364" s="13"/>
      <c r="Z364" s="13"/>
      <c r="AA364" s="13"/>
      <c r="AB364" s="13"/>
      <c r="AC364" s="13"/>
      <c r="AD364" s="13"/>
      <c r="AE364" s="13"/>
    </row>
    <row r="365" spans="1:31" ht="21" x14ac:dyDescent="0.4">
      <c r="A365" s="210"/>
      <c r="B365" s="108">
        <v>355</v>
      </c>
      <c r="C365" s="297">
        <v>2203.3490986127335</v>
      </c>
      <c r="D365" s="297">
        <v>3308.2672805899438</v>
      </c>
      <c r="E365" s="297">
        <v>17.92990585565941</v>
      </c>
      <c r="F365" s="297">
        <v>12.929199222913194</v>
      </c>
      <c r="G365" s="322">
        <v>-1104.9181819772102</v>
      </c>
      <c r="H365" s="322">
        <v>5.0007066327462155</v>
      </c>
      <c r="I365" s="322">
        <v>-220.95240995379632</v>
      </c>
      <c r="K365" s="223">
        <f t="shared" si="23"/>
        <v>1073591.0022409519</v>
      </c>
      <c r="L365" s="223">
        <f t="shared" si="23"/>
        <v>772443.68609420175</v>
      </c>
      <c r="M365" s="114">
        <f t="shared" si="24"/>
        <v>1</v>
      </c>
      <c r="N365" s="114">
        <f t="shared" si="25"/>
        <v>0</v>
      </c>
      <c r="Q365" s="320">
        <f t="shared" si="26"/>
        <v>35400</v>
      </c>
      <c r="R365" s="101">
        <v>1</v>
      </c>
      <c r="S365" s="101">
        <v>0</v>
      </c>
      <c r="T365" s="12"/>
      <c r="U365" s="210"/>
      <c r="V365" s="13"/>
      <c r="W365" s="13"/>
      <c r="X365" s="13"/>
      <c r="Y365" s="13"/>
      <c r="Z365" s="13"/>
      <c r="AA365" s="13"/>
      <c r="AB365" s="13"/>
      <c r="AC365" s="13"/>
      <c r="AD365" s="13"/>
      <c r="AE365" s="13"/>
    </row>
    <row r="366" spans="1:31" ht="21" x14ac:dyDescent="0.4">
      <c r="A366" s="210"/>
      <c r="B366" s="108">
        <v>356</v>
      </c>
      <c r="C366" s="297">
        <v>2227.3919982047596</v>
      </c>
      <c r="D366" s="297">
        <v>3038.1085282342783</v>
      </c>
      <c r="E366" s="297">
        <v>20.87104274652382</v>
      </c>
      <c r="F366" s="297">
        <v>14.695842923358065</v>
      </c>
      <c r="G366" s="322">
        <v>-810.71653002951871</v>
      </c>
      <c r="H366" s="322">
        <v>6.1751998231657552</v>
      </c>
      <c r="I366" s="322">
        <v>-131.28587790603669</v>
      </c>
      <c r="K366" s="223">
        <f t="shared" si="23"/>
        <v>1250035.1727932242</v>
      </c>
      <c r="L366" s="223">
        <f t="shared" si="23"/>
        <v>878712.46687324962</v>
      </c>
      <c r="M366" s="114">
        <f t="shared" si="24"/>
        <v>1</v>
      </c>
      <c r="N366" s="114">
        <f t="shared" si="25"/>
        <v>0</v>
      </c>
      <c r="Q366" s="320">
        <f t="shared" si="26"/>
        <v>35500</v>
      </c>
      <c r="R366" s="101">
        <v>1</v>
      </c>
      <c r="S366" s="101">
        <v>0</v>
      </c>
      <c r="T366" s="12"/>
      <c r="U366" s="210"/>
      <c r="V366" s="13"/>
      <c r="W366" s="13"/>
      <c r="X366" s="13"/>
      <c r="Y366" s="13"/>
      <c r="Z366" s="13"/>
      <c r="AA366" s="13"/>
      <c r="AB366" s="13"/>
      <c r="AC366" s="13"/>
      <c r="AD366" s="13"/>
      <c r="AE366" s="13"/>
    </row>
    <row r="367" spans="1:31" ht="21" x14ac:dyDescent="0.4">
      <c r="A367" s="210"/>
      <c r="B367" s="108">
        <v>357</v>
      </c>
      <c r="C367" s="297">
        <v>2239.7066592901206</v>
      </c>
      <c r="D367" s="297">
        <v>2848.6533811763411</v>
      </c>
      <c r="E367" s="297">
        <v>17.4639727268816</v>
      </c>
      <c r="F367" s="297">
        <v>12.742238269648601</v>
      </c>
      <c r="G367" s="322">
        <v>-608.94672188622053</v>
      </c>
      <c r="H367" s="322">
        <v>4.7217344572329996</v>
      </c>
      <c r="I367" s="322">
        <v>-128.96674461508613</v>
      </c>
      <c r="K367" s="223">
        <f t="shared" si="23"/>
        <v>1045598.6569536059</v>
      </c>
      <c r="L367" s="223">
        <f t="shared" si="23"/>
        <v>761685.64279773971</v>
      </c>
      <c r="M367" s="114">
        <f t="shared" si="24"/>
        <v>1</v>
      </c>
      <c r="N367" s="114">
        <f t="shared" si="25"/>
        <v>0</v>
      </c>
      <c r="Q367" s="320">
        <f t="shared" si="26"/>
        <v>35600</v>
      </c>
      <c r="R367" s="101">
        <v>1</v>
      </c>
      <c r="S367" s="101">
        <v>0</v>
      </c>
      <c r="T367" s="12"/>
      <c r="U367" s="210"/>
      <c r="V367" s="13"/>
      <c r="W367" s="13"/>
      <c r="X367" s="13"/>
      <c r="Y367" s="13"/>
      <c r="Z367" s="13"/>
      <c r="AA367" s="13"/>
      <c r="AB367" s="13"/>
      <c r="AC367" s="13"/>
      <c r="AD367" s="13"/>
      <c r="AE367" s="13"/>
    </row>
    <row r="368" spans="1:31" ht="21" x14ac:dyDescent="0.4">
      <c r="A368" s="210"/>
      <c r="B368" s="108">
        <v>358</v>
      </c>
      <c r="C368" s="297">
        <v>2219.6801615913996</v>
      </c>
      <c r="D368" s="297">
        <v>3071.2808013642752</v>
      </c>
      <c r="E368" s="297">
        <v>21.805716370833689</v>
      </c>
      <c r="F368" s="297">
        <v>15.685694664702902</v>
      </c>
      <c r="G368" s="322">
        <v>-851.60063977287564</v>
      </c>
      <c r="H368" s="322">
        <v>6.1200217061307871</v>
      </c>
      <c r="I368" s="322">
        <v>-139.14993780492264</v>
      </c>
      <c r="K368" s="223">
        <f t="shared" si="23"/>
        <v>1306123.3020884299</v>
      </c>
      <c r="L368" s="223">
        <f t="shared" si="23"/>
        <v>938070.3990808099</v>
      </c>
      <c r="M368" s="114">
        <f t="shared" si="24"/>
        <v>1</v>
      </c>
      <c r="N368" s="114">
        <f t="shared" si="25"/>
        <v>0</v>
      </c>
      <c r="Q368" s="320">
        <f t="shared" si="26"/>
        <v>35700</v>
      </c>
      <c r="R368" s="101">
        <v>1</v>
      </c>
      <c r="S368" s="101">
        <v>0</v>
      </c>
      <c r="T368" s="12"/>
      <c r="U368" s="210"/>
      <c r="V368" s="13"/>
      <c r="W368" s="13"/>
      <c r="X368" s="13"/>
      <c r="Y368" s="13"/>
      <c r="Z368" s="13"/>
      <c r="AA368" s="13"/>
      <c r="AB368" s="13"/>
      <c r="AC368" s="13"/>
      <c r="AD368" s="13"/>
      <c r="AE368" s="13"/>
    </row>
    <row r="369" spans="1:31" ht="21" x14ac:dyDescent="0.4">
      <c r="A369" s="210"/>
      <c r="B369" s="108">
        <v>359</v>
      </c>
      <c r="C369" s="297">
        <v>2227.0696604964764</v>
      </c>
      <c r="D369" s="297">
        <v>3055.2437431196404</v>
      </c>
      <c r="E369" s="297">
        <v>19.514564226082278</v>
      </c>
      <c r="F369" s="297">
        <v>13.164330885047749</v>
      </c>
      <c r="G369" s="322">
        <v>-828.17408262316394</v>
      </c>
      <c r="H369" s="322">
        <v>6.3502333410345297</v>
      </c>
      <c r="I369" s="322">
        <v>-130.41632301471373</v>
      </c>
      <c r="K369" s="223">
        <f t="shared" si="23"/>
        <v>1168646.7839044402</v>
      </c>
      <c r="L369" s="223">
        <f t="shared" si="23"/>
        <v>786804.60935974529</v>
      </c>
      <c r="M369" s="114">
        <f t="shared" si="24"/>
        <v>1</v>
      </c>
      <c r="N369" s="114">
        <f t="shared" si="25"/>
        <v>0</v>
      </c>
      <c r="Q369" s="320">
        <f t="shared" si="26"/>
        <v>35800</v>
      </c>
      <c r="R369" s="101">
        <v>1</v>
      </c>
      <c r="S369" s="101">
        <v>0</v>
      </c>
      <c r="T369" s="12"/>
      <c r="U369" s="210"/>
      <c r="V369" s="13"/>
      <c r="W369" s="13"/>
      <c r="X369" s="13"/>
      <c r="Y369" s="13"/>
      <c r="Z369" s="13"/>
      <c r="AA369" s="13"/>
      <c r="AB369" s="13"/>
      <c r="AC369" s="13"/>
      <c r="AD369" s="13"/>
      <c r="AE369" s="13"/>
    </row>
    <row r="370" spans="1:31" ht="21" x14ac:dyDescent="0.4">
      <c r="A370" s="210"/>
      <c r="B370" s="108">
        <v>360</v>
      </c>
      <c r="C370" s="297">
        <v>2099.4112404751563</v>
      </c>
      <c r="D370" s="297">
        <v>3123.5366418745953</v>
      </c>
      <c r="E370" s="297">
        <v>19.529231069279927</v>
      </c>
      <c r="F370" s="297">
        <v>15.752902547390685</v>
      </c>
      <c r="G370" s="322">
        <v>-1024.1254013994389</v>
      </c>
      <c r="H370" s="322">
        <v>3.7763285218892424</v>
      </c>
      <c r="I370" s="322">
        <v>-271.19605602721339</v>
      </c>
      <c r="K370" s="223">
        <f t="shared" si="23"/>
        <v>1169654.4529163204</v>
      </c>
      <c r="L370" s="223">
        <f t="shared" si="23"/>
        <v>942050.61620156653</v>
      </c>
      <c r="M370" s="114">
        <f t="shared" si="24"/>
        <v>1</v>
      </c>
      <c r="N370" s="114">
        <f t="shared" si="25"/>
        <v>0</v>
      </c>
      <c r="Q370" s="320">
        <f t="shared" si="26"/>
        <v>35900</v>
      </c>
      <c r="R370" s="101">
        <v>1</v>
      </c>
      <c r="S370" s="101">
        <v>0</v>
      </c>
      <c r="T370" s="12"/>
      <c r="U370" s="210"/>
      <c r="V370" s="13"/>
      <c r="W370" s="13"/>
      <c r="X370" s="13"/>
      <c r="Y370" s="13"/>
      <c r="Z370" s="13"/>
      <c r="AA370" s="13"/>
      <c r="AB370" s="13"/>
      <c r="AC370" s="13"/>
      <c r="AD370" s="13"/>
      <c r="AE370" s="13"/>
    </row>
    <row r="371" spans="1:31" ht="21" x14ac:dyDescent="0.4">
      <c r="A371" s="210"/>
      <c r="B371" s="108">
        <v>361</v>
      </c>
      <c r="C371" s="297">
        <v>2126.1602948327036</v>
      </c>
      <c r="D371" s="297">
        <v>2600.391678267707</v>
      </c>
      <c r="E371" s="297">
        <v>20.071222631508441</v>
      </c>
      <c r="F371" s="297">
        <v>14.998664919272569</v>
      </c>
      <c r="G371" s="322">
        <v>-474.23138343500341</v>
      </c>
      <c r="H371" s="322">
        <v>5.0725577122358718</v>
      </c>
      <c r="I371" s="322">
        <v>-93.489598411286025</v>
      </c>
      <c r="K371" s="223">
        <f t="shared" si="23"/>
        <v>1202147.1975956738</v>
      </c>
      <c r="L371" s="223">
        <f t="shared" si="23"/>
        <v>897319.50347808644</v>
      </c>
      <c r="M371" s="114">
        <f t="shared" si="24"/>
        <v>1</v>
      </c>
      <c r="N371" s="114">
        <f t="shared" si="25"/>
        <v>0</v>
      </c>
      <c r="Q371" s="320">
        <f t="shared" si="26"/>
        <v>36000</v>
      </c>
      <c r="R371" s="101">
        <v>1</v>
      </c>
      <c r="S371" s="101">
        <v>0</v>
      </c>
      <c r="T371" s="12"/>
      <c r="U371" s="210"/>
      <c r="V371" s="13"/>
      <c r="W371" s="13"/>
      <c r="X371" s="13"/>
      <c r="Y371" s="13"/>
      <c r="Z371" s="13"/>
      <c r="AA371" s="13"/>
      <c r="AB371" s="13"/>
      <c r="AC371" s="13"/>
      <c r="AD371" s="13"/>
      <c r="AE371" s="13"/>
    </row>
    <row r="372" spans="1:31" ht="21" x14ac:dyDescent="0.4">
      <c r="A372" s="210"/>
      <c r="B372" s="108">
        <v>362</v>
      </c>
      <c r="C372" s="297">
        <v>2272.6822003490033</v>
      </c>
      <c r="D372" s="297">
        <v>3132.4370256441734</v>
      </c>
      <c r="E372" s="297">
        <v>18.582664970157126</v>
      </c>
      <c r="F372" s="297">
        <v>13.789051395915614</v>
      </c>
      <c r="G372" s="322">
        <v>-859.75482529517012</v>
      </c>
      <c r="H372" s="322">
        <v>4.7936135742415118</v>
      </c>
      <c r="I372" s="322">
        <v>-179.3542203558217</v>
      </c>
      <c r="K372" s="223">
        <f t="shared" si="23"/>
        <v>1112687.2160090785</v>
      </c>
      <c r="L372" s="223">
        <f t="shared" si="23"/>
        <v>824210.6467292927</v>
      </c>
      <c r="M372" s="114">
        <f t="shared" si="24"/>
        <v>1</v>
      </c>
      <c r="N372" s="114">
        <f t="shared" si="25"/>
        <v>0</v>
      </c>
      <c r="Q372" s="320">
        <f t="shared" si="26"/>
        <v>36100</v>
      </c>
      <c r="R372" s="101">
        <v>1</v>
      </c>
      <c r="S372" s="101">
        <v>0</v>
      </c>
      <c r="T372" s="12"/>
      <c r="U372" s="210"/>
      <c r="V372" s="13"/>
      <c r="W372" s="13"/>
      <c r="X372" s="13"/>
      <c r="Y372" s="13"/>
      <c r="Z372" s="13"/>
      <c r="AA372" s="13"/>
      <c r="AB372" s="13"/>
      <c r="AC372" s="13"/>
      <c r="AD372" s="13"/>
      <c r="AE372" s="13"/>
    </row>
    <row r="373" spans="1:31" ht="21" x14ac:dyDescent="0.4">
      <c r="A373" s="210"/>
      <c r="B373" s="108">
        <v>363</v>
      </c>
      <c r="C373" s="297">
        <v>2222.1227208006489</v>
      </c>
      <c r="D373" s="297">
        <v>3285.8276022070304</v>
      </c>
      <c r="E373" s="297">
        <v>21.09034551353491</v>
      </c>
      <c r="F373" s="297">
        <v>15.751268260953186</v>
      </c>
      <c r="G373" s="322">
        <v>-1063.7048814063814</v>
      </c>
      <c r="H373" s="322">
        <v>5.3390772525817241</v>
      </c>
      <c r="I373" s="322">
        <v>-199.23009746525474</v>
      </c>
      <c r="K373" s="223">
        <f t="shared" si="23"/>
        <v>1263198.6080912941</v>
      </c>
      <c r="L373" s="223">
        <f t="shared" si="23"/>
        <v>941790.26805498404</v>
      </c>
      <c r="M373" s="114">
        <f t="shared" si="24"/>
        <v>1</v>
      </c>
      <c r="N373" s="114">
        <f t="shared" si="25"/>
        <v>0</v>
      </c>
      <c r="Q373" s="320">
        <f t="shared" si="26"/>
        <v>36200</v>
      </c>
      <c r="R373" s="101">
        <v>1</v>
      </c>
      <c r="S373" s="101">
        <v>0</v>
      </c>
      <c r="T373" s="12"/>
      <c r="U373" s="210"/>
      <c r="V373" s="13"/>
      <c r="W373" s="13"/>
      <c r="X373" s="13"/>
      <c r="Y373" s="13"/>
      <c r="Z373" s="13"/>
      <c r="AA373" s="13"/>
      <c r="AB373" s="13"/>
      <c r="AC373" s="13"/>
      <c r="AD373" s="13"/>
      <c r="AE373" s="13"/>
    </row>
    <row r="374" spans="1:31" ht="21" x14ac:dyDescent="0.4">
      <c r="A374" s="210"/>
      <c r="B374" s="108">
        <v>364</v>
      </c>
      <c r="C374" s="297">
        <v>2015.6716646297987</v>
      </c>
      <c r="D374" s="297">
        <v>3150.8964932231829</v>
      </c>
      <c r="E374" s="297">
        <v>19.272626211283907</v>
      </c>
      <c r="F374" s="297">
        <v>13.364743391520843</v>
      </c>
      <c r="G374" s="322">
        <v>-1135.2248285933842</v>
      </c>
      <c r="H374" s="322">
        <v>5.9078828197630635</v>
      </c>
      <c r="I374" s="322">
        <v>-192.15425613991997</v>
      </c>
      <c r="K374" s="223">
        <f t="shared" si="23"/>
        <v>1154341.9010124046</v>
      </c>
      <c r="L374" s="223">
        <f t="shared" si="23"/>
        <v>798733.7069980274</v>
      </c>
      <c r="M374" s="114">
        <f t="shared" si="24"/>
        <v>1</v>
      </c>
      <c r="N374" s="114">
        <f t="shared" si="25"/>
        <v>0</v>
      </c>
      <c r="Q374" s="320">
        <f t="shared" si="26"/>
        <v>36300</v>
      </c>
      <c r="R374" s="101">
        <v>1</v>
      </c>
      <c r="S374" s="101">
        <v>0</v>
      </c>
      <c r="T374" s="12"/>
      <c r="U374" s="210"/>
      <c r="V374" s="13"/>
      <c r="W374" s="13"/>
      <c r="X374" s="13"/>
      <c r="Y374" s="13"/>
      <c r="Z374" s="13"/>
      <c r="AA374" s="13"/>
      <c r="AB374" s="13"/>
      <c r="AC374" s="13"/>
      <c r="AD374" s="13"/>
      <c r="AE374" s="13"/>
    </row>
    <row r="375" spans="1:31" ht="21" x14ac:dyDescent="0.4">
      <c r="A375" s="210"/>
      <c r="B375" s="108">
        <v>365</v>
      </c>
      <c r="C375" s="297">
        <v>1904.3488809110045</v>
      </c>
      <c r="D375" s="297">
        <v>2870.899589143055</v>
      </c>
      <c r="E375" s="297">
        <v>21.245382295566575</v>
      </c>
      <c r="F375" s="297">
        <v>14.897667282008671</v>
      </c>
      <c r="G375" s="322">
        <v>-966.55070823205051</v>
      </c>
      <c r="H375" s="322">
        <v>6.3477150135579041</v>
      </c>
      <c r="I375" s="322">
        <v>-152.26750195426581</v>
      </c>
      <c r="K375" s="223">
        <f t="shared" si="23"/>
        <v>1272818.5888530836</v>
      </c>
      <c r="L375" s="223">
        <f t="shared" si="23"/>
        <v>890989.13733137713</v>
      </c>
      <c r="M375" s="114">
        <f t="shared" si="24"/>
        <v>1</v>
      </c>
      <c r="N375" s="114">
        <f t="shared" si="25"/>
        <v>0</v>
      </c>
      <c r="Q375" s="320">
        <f t="shared" si="26"/>
        <v>36400</v>
      </c>
      <c r="R375" s="101">
        <v>1</v>
      </c>
      <c r="S375" s="101">
        <v>0</v>
      </c>
      <c r="T375" s="12"/>
      <c r="U375" s="210"/>
      <c r="V375" s="13"/>
      <c r="W375" s="13"/>
      <c r="X375" s="13"/>
      <c r="Y375" s="13"/>
      <c r="Z375" s="13"/>
      <c r="AA375" s="13"/>
      <c r="AB375" s="13"/>
      <c r="AC375" s="13"/>
      <c r="AD375" s="13"/>
      <c r="AE375" s="13"/>
    </row>
    <row r="376" spans="1:31" ht="21" x14ac:dyDescent="0.4">
      <c r="A376" s="210"/>
      <c r="B376" s="108">
        <v>366</v>
      </c>
      <c r="C376" s="297">
        <v>1859.3681003377083</v>
      </c>
      <c r="D376" s="297">
        <v>2848.9148160830414</v>
      </c>
      <c r="E376" s="297">
        <v>17.976849344525299</v>
      </c>
      <c r="F376" s="297">
        <v>12.640370005503259</v>
      </c>
      <c r="G376" s="322">
        <v>-989.54671574533313</v>
      </c>
      <c r="H376" s="322">
        <v>5.3364793390220395</v>
      </c>
      <c r="I376" s="322">
        <v>-185.43062811270565</v>
      </c>
      <c r="K376" s="223">
        <f t="shared" si="23"/>
        <v>1076751.5925711803</v>
      </c>
      <c r="L376" s="223">
        <f t="shared" si="23"/>
        <v>755573.28551411256</v>
      </c>
      <c r="M376" s="114">
        <f t="shared" si="24"/>
        <v>1</v>
      </c>
      <c r="N376" s="114">
        <f t="shared" si="25"/>
        <v>0</v>
      </c>
      <c r="Q376" s="320">
        <f t="shared" si="26"/>
        <v>36500</v>
      </c>
      <c r="R376" s="101">
        <v>1</v>
      </c>
      <c r="S376" s="101">
        <v>0</v>
      </c>
      <c r="T376" s="12"/>
      <c r="U376" s="210"/>
      <c r="V376" s="13"/>
      <c r="W376" s="13"/>
      <c r="X376" s="13"/>
      <c r="Y376" s="13"/>
      <c r="Z376" s="13"/>
      <c r="AA376" s="13"/>
      <c r="AB376" s="13"/>
      <c r="AC376" s="13"/>
      <c r="AD376" s="13"/>
      <c r="AE376" s="13"/>
    </row>
    <row r="377" spans="1:31" ht="21" x14ac:dyDescent="0.4">
      <c r="A377" s="210"/>
      <c r="B377" s="108">
        <v>367</v>
      </c>
      <c r="C377" s="297">
        <v>2110.8717576571112</v>
      </c>
      <c r="D377" s="297">
        <v>2877.8235345142789</v>
      </c>
      <c r="E377" s="297">
        <v>20.995032709504372</v>
      </c>
      <c r="F377" s="297">
        <v>14.429426380151057</v>
      </c>
      <c r="G377" s="322">
        <v>-766.95177685716772</v>
      </c>
      <c r="H377" s="322">
        <v>6.5656063293533151</v>
      </c>
      <c r="I377" s="322">
        <v>-116.81354902871693</v>
      </c>
      <c r="K377" s="223">
        <f t="shared" si="23"/>
        <v>1257591.0908126053</v>
      </c>
      <c r="L377" s="223">
        <f t="shared" si="23"/>
        <v>862887.75927454908</v>
      </c>
      <c r="M377" s="114">
        <f t="shared" si="24"/>
        <v>1</v>
      </c>
      <c r="N377" s="114">
        <f t="shared" si="25"/>
        <v>0</v>
      </c>
      <c r="Q377" s="320">
        <f t="shared" si="26"/>
        <v>36600</v>
      </c>
      <c r="R377" s="101">
        <v>1</v>
      </c>
      <c r="S377" s="101">
        <v>0</v>
      </c>
      <c r="T377" s="12"/>
      <c r="U377" s="210"/>
      <c r="V377" s="13"/>
      <c r="W377" s="13"/>
      <c r="X377" s="13"/>
      <c r="Y377" s="13"/>
      <c r="Z377" s="13"/>
      <c r="AA377" s="13"/>
      <c r="AB377" s="13"/>
      <c r="AC377" s="13"/>
      <c r="AD377" s="13"/>
      <c r="AE377" s="13"/>
    </row>
    <row r="378" spans="1:31" ht="21" x14ac:dyDescent="0.4">
      <c r="A378" s="210"/>
      <c r="B378" s="108">
        <v>368</v>
      </c>
      <c r="C378" s="297">
        <v>2029.844720452644</v>
      </c>
      <c r="D378" s="297">
        <v>3186.3722152853584</v>
      </c>
      <c r="E378" s="297">
        <v>20.926368461762834</v>
      </c>
      <c r="F378" s="297">
        <v>14.459395627239696</v>
      </c>
      <c r="G378" s="322">
        <v>-1156.5274948327144</v>
      </c>
      <c r="H378" s="322">
        <v>6.4669728345231388</v>
      </c>
      <c r="I378" s="322">
        <v>-178.83599087640118</v>
      </c>
      <c r="K378" s="223">
        <f t="shared" si="23"/>
        <v>1253552.2629853175</v>
      </c>
      <c r="L378" s="223">
        <f t="shared" si="23"/>
        <v>864377.36541909643</v>
      </c>
      <c r="M378" s="114">
        <f t="shared" si="24"/>
        <v>1</v>
      </c>
      <c r="N378" s="114">
        <f t="shared" si="25"/>
        <v>0</v>
      </c>
      <c r="Q378" s="320">
        <f t="shared" si="26"/>
        <v>36700</v>
      </c>
      <c r="R378" s="101">
        <v>1</v>
      </c>
      <c r="S378" s="101">
        <v>0</v>
      </c>
      <c r="T378" s="12"/>
      <c r="U378" s="210"/>
      <c r="V378" s="13"/>
      <c r="W378" s="13"/>
      <c r="X378" s="13"/>
      <c r="Y378" s="13"/>
      <c r="Z378" s="13"/>
      <c r="AA378" s="13"/>
      <c r="AB378" s="13"/>
      <c r="AC378" s="13"/>
      <c r="AD378" s="13"/>
      <c r="AE378" s="13"/>
    </row>
    <row r="379" spans="1:31" ht="21" x14ac:dyDescent="0.4">
      <c r="A379" s="210"/>
      <c r="B379" s="108">
        <v>369</v>
      </c>
      <c r="C379" s="297">
        <v>2251.7612445748941</v>
      </c>
      <c r="D379" s="297">
        <v>3395.3459752948638</v>
      </c>
      <c r="E379" s="297">
        <v>20.158727018596316</v>
      </c>
      <c r="F379" s="297">
        <v>14.551662636266389</v>
      </c>
      <c r="G379" s="322">
        <v>-1143.5847307199697</v>
      </c>
      <c r="H379" s="322">
        <v>5.6070643823299271</v>
      </c>
      <c r="I379" s="322">
        <v>-203.95427138733353</v>
      </c>
      <c r="K379" s="223">
        <f t="shared" si="23"/>
        <v>1207271.8598712042</v>
      </c>
      <c r="L379" s="223">
        <f t="shared" si="23"/>
        <v>869704.4122006885</v>
      </c>
      <c r="M379" s="114">
        <f t="shared" si="24"/>
        <v>1</v>
      </c>
      <c r="N379" s="114">
        <f t="shared" si="25"/>
        <v>0</v>
      </c>
      <c r="Q379" s="320">
        <f t="shared" si="26"/>
        <v>36800</v>
      </c>
      <c r="R379" s="101">
        <v>1</v>
      </c>
      <c r="S379" s="101">
        <v>0</v>
      </c>
      <c r="T379" s="12"/>
      <c r="U379" s="210"/>
      <c r="V379" s="13"/>
      <c r="W379" s="13"/>
      <c r="X379" s="13"/>
      <c r="Y379" s="13"/>
      <c r="Z379" s="13"/>
      <c r="AA379" s="13"/>
      <c r="AB379" s="13"/>
      <c r="AC379" s="13"/>
      <c r="AD379" s="13"/>
      <c r="AE379" s="13"/>
    </row>
    <row r="380" spans="1:31" ht="21" x14ac:dyDescent="0.4">
      <c r="A380" s="210"/>
      <c r="B380" s="108">
        <v>370</v>
      </c>
      <c r="C380" s="297">
        <v>2294.9772875453355</v>
      </c>
      <c r="D380" s="297">
        <v>2922.1437663890101</v>
      </c>
      <c r="E380" s="297">
        <v>20.153044416760977</v>
      </c>
      <c r="F380" s="297">
        <v>15.675356215930973</v>
      </c>
      <c r="G380" s="322">
        <v>-627.16647884367467</v>
      </c>
      <c r="H380" s="322">
        <v>4.4776882008300039</v>
      </c>
      <c r="I380" s="322">
        <v>-140.06479475891607</v>
      </c>
      <c r="K380" s="223">
        <f t="shared" si="23"/>
        <v>1206887.6877181132</v>
      </c>
      <c r="L380" s="223">
        <f t="shared" si="23"/>
        <v>937599.22918946936</v>
      </c>
      <c r="M380" s="114">
        <f t="shared" si="24"/>
        <v>1</v>
      </c>
      <c r="N380" s="114">
        <f t="shared" si="25"/>
        <v>0</v>
      </c>
      <c r="Q380" s="320">
        <f t="shared" si="26"/>
        <v>36900</v>
      </c>
      <c r="R380" s="101">
        <v>1</v>
      </c>
      <c r="S380" s="101">
        <v>0</v>
      </c>
      <c r="T380" s="12"/>
      <c r="U380" s="210"/>
      <c r="V380" s="13"/>
      <c r="W380" s="13"/>
      <c r="X380" s="13"/>
      <c r="Y380" s="13"/>
      <c r="Z380" s="13"/>
      <c r="AA380" s="13"/>
      <c r="AB380" s="13"/>
      <c r="AC380" s="13"/>
      <c r="AD380" s="13"/>
      <c r="AE380" s="13"/>
    </row>
    <row r="381" spans="1:31" ht="21" x14ac:dyDescent="0.4">
      <c r="A381" s="210"/>
      <c r="B381" s="108">
        <v>371</v>
      </c>
      <c r="C381" s="297">
        <v>1853.6019673792409</v>
      </c>
      <c r="D381" s="297">
        <v>2805.4073599352141</v>
      </c>
      <c r="E381" s="297">
        <v>18.984723684670804</v>
      </c>
      <c r="F381" s="297">
        <v>14.666580868056457</v>
      </c>
      <c r="G381" s="322">
        <v>-951.80539255597319</v>
      </c>
      <c r="H381" s="322">
        <v>4.3181428166143476</v>
      </c>
      <c r="I381" s="322">
        <v>-220.42008172907975</v>
      </c>
      <c r="K381" s="223">
        <f t="shared" si="23"/>
        <v>1137229.819112869</v>
      </c>
      <c r="L381" s="223">
        <f t="shared" si="23"/>
        <v>877189.44472345221</v>
      </c>
      <c r="M381" s="114">
        <f t="shared" si="24"/>
        <v>1</v>
      </c>
      <c r="N381" s="114">
        <f t="shared" si="25"/>
        <v>0</v>
      </c>
      <c r="Q381" s="320">
        <f t="shared" si="26"/>
        <v>37000</v>
      </c>
      <c r="R381" s="101">
        <v>1</v>
      </c>
      <c r="S381" s="101">
        <v>0</v>
      </c>
      <c r="T381" s="12"/>
      <c r="U381" s="210"/>
      <c r="V381" s="13"/>
      <c r="W381" s="13"/>
      <c r="X381" s="13"/>
      <c r="Y381" s="13"/>
      <c r="Z381" s="13"/>
      <c r="AA381" s="13"/>
      <c r="AB381" s="13"/>
      <c r="AC381" s="13"/>
      <c r="AD381" s="13"/>
      <c r="AE381" s="13"/>
    </row>
    <row r="382" spans="1:31" ht="21" x14ac:dyDescent="0.4">
      <c r="A382" s="210"/>
      <c r="B382" s="108">
        <v>372</v>
      </c>
      <c r="C382" s="297">
        <v>1979.1490420895748</v>
      </c>
      <c r="D382" s="297">
        <v>3187.3833491822916</v>
      </c>
      <c r="E382" s="297">
        <v>16.106657177514222</v>
      </c>
      <c r="F382" s="297">
        <v>10.119165525163369</v>
      </c>
      <c r="G382" s="322">
        <v>-1208.2343070927168</v>
      </c>
      <c r="H382" s="322">
        <v>5.9874916523508528</v>
      </c>
      <c r="I382" s="322">
        <v>-201.79306748900953</v>
      </c>
      <c r="K382" s="223">
        <f t="shared" si="23"/>
        <v>964420.28160876373</v>
      </c>
      <c r="L382" s="223">
        <f t="shared" si="23"/>
        <v>603962.5481606198</v>
      </c>
      <c r="M382" s="114">
        <f t="shared" si="24"/>
        <v>1</v>
      </c>
      <c r="N382" s="114">
        <f t="shared" si="25"/>
        <v>0</v>
      </c>
      <c r="Q382" s="320">
        <f t="shared" si="26"/>
        <v>37100</v>
      </c>
      <c r="R382" s="101">
        <v>1</v>
      </c>
      <c r="S382" s="101">
        <v>0</v>
      </c>
      <c r="T382" s="12"/>
      <c r="U382" s="210"/>
      <c r="V382" s="13"/>
      <c r="W382" s="13"/>
      <c r="X382" s="13"/>
      <c r="Y382" s="13"/>
      <c r="Z382" s="13"/>
      <c r="AA382" s="13"/>
      <c r="AB382" s="13"/>
      <c r="AC382" s="13"/>
      <c r="AD382" s="13"/>
      <c r="AE382" s="13"/>
    </row>
    <row r="383" spans="1:31" ht="21" x14ac:dyDescent="0.4">
      <c r="A383" s="210"/>
      <c r="B383" s="108">
        <v>373</v>
      </c>
      <c r="C383" s="297">
        <v>2023.9264622236806</v>
      </c>
      <c r="D383" s="297">
        <v>2888.2284083272775</v>
      </c>
      <c r="E383" s="297">
        <v>19.204872466483749</v>
      </c>
      <c r="F383" s="297">
        <v>14.449152751103886</v>
      </c>
      <c r="G383" s="322">
        <v>-864.30194610359695</v>
      </c>
      <c r="H383" s="322">
        <v>4.7557197153798629</v>
      </c>
      <c r="I383" s="322">
        <v>-181.73946275859549</v>
      </c>
      <c r="K383" s="223">
        <f t="shared" si="23"/>
        <v>1150268.4215268013</v>
      </c>
      <c r="L383" s="223">
        <f t="shared" si="23"/>
        <v>864060.93665790581</v>
      </c>
      <c r="M383" s="114">
        <f t="shared" si="24"/>
        <v>1</v>
      </c>
      <c r="N383" s="114">
        <f t="shared" si="25"/>
        <v>0</v>
      </c>
      <c r="Q383" s="320">
        <f t="shared" si="26"/>
        <v>37200</v>
      </c>
      <c r="R383" s="101">
        <v>1</v>
      </c>
      <c r="S383" s="101">
        <v>0</v>
      </c>
      <c r="T383" s="12"/>
      <c r="U383" s="210"/>
      <c r="V383" s="13"/>
      <c r="W383" s="13"/>
      <c r="X383" s="13"/>
      <c r="Y383" s="13"/>
      <c r="Z383" s="13"/>
      <c r="AA383" s="13"/>
      <c r="AB383" s="13"/>
      <c r="AC383" s="13"/>
      <c r="AD383" s="13"/>
      <c r="AE383" s="13"/>
    </row>
    <row r="384" spans="1:31" ht="21" x14ac:dyDescent="0.4">
      <c r="A384" s="210"/>
      <c r="B384" s="108">
        <v>374</v>
      </c>
      <c r="C384" s="297">
        <v>1854.2884629462169</v>
      </c>
      <c r="D384" s="297">
        <v>3063.0106647771509</v>
      </c>
      <c r="E384" s="297">
        <v>19.616570352133788</v>
      </c>
      <c r="F384" s="297">
        <v>15.453059239956815</v>
      </c>
      <c r="G384" s="322">
        <v>-1208.722201830934</v>
      </c>
      <c r="H384" s="322">
        <v>4.1635111121769732</v>
      </c>
      <c r="I384" s="322">
        <v>-290.31319222273669</v>
      </c>
      <c r="K384" s="223">
        <f t="shared" si="23"/>
        <v>1175139.932665081</v>
      </c>
      <c r="L384" s="223">
        <f t="shared" si="23"/>
        <v>924120.54373263172</v>
      </c>
      <c r="M384" s="114">
        <f t="shared" si="24"/>
        <v>1</v>
      </c>
      <c r="N384" s="114">
        <f t="shared" si="25"/>
        <v>0</v>
      </c>
      <c r="Q384" s="320">
        <f t="shared" si="26"/>
        <v>37300</v>
      </c>
      <c r="R384" s="101">
        <v>1</v>
      </c>
      <c r="S384" s="101">
        <v>0</v>
      </c>
      <c r="T384" s="12"/>
      <c r="U384" s="210"/>
      <c r="V384" s="13"/>
      <c r="W384" s="13"/>
      <c r="X384" s="13"/>
      <c r="Y384" s="13"/>
      <c r="Z384" s="13"/>
      <c r="AA384" s="13"/>
      <c r="AB384" s="13"/>
      <c r="AC384" s="13"/>
      <c r="AD384" s="13"/>
      <c r="AE384" s="13"/>
    </row>
    <row r="385" spans="1:31" ht="21" x14ac:dyDescent="0.4">
      <c r="A385" s="210"/>
      <c r="B385" s="108">
        <v>375</v>
      </c>
      <c r="C385" s="297">
        <v>1977.2647084448124</v>
      </c>
      <c r="D385" s="297">
        <v>3138.6076030596182</v>
      </c>
      <c r="E385" s="297">
        <v>20.09953377254698</v>
      </c>
      <c r="F385" s="297">
        <v>14.202121832805604</v>
      </c>
      <c r="G385" s="322">
        <v>-1161.3428946148058</v>
      </c>
      <c r="H385" s="322">
        <v>5.8974119397413762</v>
      </c>
      <c r="I385" s="322">
        <v>-196.92416037427682</v>
      </c>
      <c r="K385" s="223">
        <f t="shared" si="23"/>
        <v>1203994.7616443741</v>
      </c>
      <c r="L385" s="223">
        <f t="shared" si="23"/>
        <v>848988.70236527664</v>
      </c>
      <c r="M385" s="114">
        <f t="shared" si="24"/>
        <v>1</v>
      </c>
      <c r="N385" s="114">
        <f t="shared" si="25"/>
        <v>0</v>
      </c>
      <c r="Q385" s="320">
        <f t="shared" si="26"/>
        <v>37400</v>
      </c>
      <c r="R385" s="101">
        <v>1</v>
      </c>
      <c r="S385" s="101">
        <v>0</v>
      </c>
      <c r="T385" s="12"/>
      <c r="U385" s="210"/>
      <c r="V385" s="13"/>
      <c r="W385" s="13"/>
      <c r="X385" s="13"/>
      <c r="Y385" s="13"/>
      <c r="Z385" s="13"/>
      <c r="AA385" s="13"/>
      <c r="AB385" s="13"/>
      <c r="AC385" s="13"/>
      <c r="AD385" s="13"/>
      <c r="AE385" s="13"/>
    </row>
    <row r="386" spans="1:31" ht="21" x14ac:dyDescent="0.4">
      <c r="A386" s="210"/>
      <c r="B386" s="108">
        <v>376</v>
      </c>
      <c r="C386" s="297">
        <v>1948.193729174106</v>
      </c>
      <c r="D386" s="297">
        <v>3110.708461393634</v>
      </c>
      <c r="E386" s="297">
        <v>15.308161739062886</v>
      </c>
      <c r="F386" s="297">
        <v>10.215465824110222</v>
      </c>
      <c r="G386" s="322">
        <v>-1162.514732219528</v>
      </c>
      <c r="H386" s="322">
        <v>5.0926959149526638</v>
      </c>
      <c r="I386" s="322">
        <v>-228.27098881091027</v>
      </c>
      <c r="K386" s="223">
        <f t="shared" si="23"/>
        <v>916541.5106145991</v>
      </c>
      <c r="L386" s="223">
        <f t="shared" si="23"/>
        <v>609817.24098521972</v>
      </c>
      <c r="M386" s="114">
        <f t="shared" si="24"/>
        <v>1</v>
      </c>
      <c r="N386" s="114">
        <f t="shared" si="25"/>
        <v>0</v>
      </c>
      <c r="Q386" s="320">
        <f t="shared" si="26"/>
        <v>37500</v>
      </c>
      <c r="R386" s="101">
        <v>1</v>
      </c>
      <c r="S386" s="101">
        <v>0</v>
      </c>
      <c r="T386" s="12"/>
      <c r="U386" s="210"/>
      <c r="V386" s="13"/>
      <c r="W386" s="13"/>
      <c r="X386" s="13"/>
      <c r="Y386" s="13"/>
      <c r="Z386" s="13"/>
      <c r="AA386" s="13"/>
      <c r="AB386" s="13"/>
      <c r="AC386" s="13"/>
      <c r="AD386" s="13"/>
      <c r="AE386" s="13"/>
    </row>
    <row r="387" spans="1:31" ht="21" x14ac:dyDescent="0.4">
      <c r="A387" s="210"/>
      <c r="B387" s="108">
        <v>377</v>
      </c>
      <c r="C387" s="297">
        <v>1971.3238213444488</v>
      </c>
      <c r="D387" s="297">
        <v>2577.2738418456597</v>
      </c>
      <c r="E387" s="297">
        <v>16.963685822146324</v>
      </c>
      <c r="F387" s="297">
        <v>11.713279834143062</v>
      </c>
      <c r="G387" s="322">
        <v>-605.95002050121093</v>
      </c>
      <c r="H387" s="322">
        <v>5.2504059880032621</v>
      </c>
      <c r="I387" s="322">
        <v>-115.41012673796197</v>
      </c>
      <c r="K387" s="223">
        <f t="shared" si="23"/>
        <v>1015849.825507435</v>
      </c>
      <c r="L387" s="223">
        <f t="shared" si="23"/>
        <v>700219.51620673807</v>
      </c>
      <c r="M387" s="114">
        <f t="shared" si="24"/>
        <v>1</v>
      </c>
      <c r="N387" s="114">
        <f t="shared" si="25"/>
        <v>0</v>
      </c>
      <c r="Q387" s="320">
        <f t="shared" si="26"/>
        <v>37600</v>
      </c>
      <c r="R387" s="101">
        <v>1</v>
      </c>
      <c r="S387" s="101">
        <v>0</v>
      </c>
      <c r="T387" s="12"/>
      <c r="U387" s="210"/>
      <c r="V387" s="13"/>
      <c r="W387" s="13"/>
      <c r="X387" s="13"/>
      <c r="Y387" s="13"/>
      <c r="Z387" s="13"/>
      <c r="AA387" s="13"/>
      <c r="AB387" s="13"/>
      <c r="AC387" s="13"/>
      <c r="AD387" s="13"/>
      <c r="AE387" s="13"/>
    </row>
    <row r="388" spans="1:31" ht="21" x14ac:dyDescent="0.4">
      <c r="A388" s="210"/>
      <c r="B388" s="108">
        <v>378</v>
      </c>
      <c r="C388" s="297">
        <v>1958.1765216586782</v>
      </c>
      <c r="D388" s="297">
        <v>3049.7493556674008</v>
      </c>
      <c r="E388" s="297">
        <v>20.419305446995121</v>
      </c>
      <c r="F388" s="297">
        <v>15.675008687273719</v>
      </c>
      <c r="G388" s="322">
        <v>-1091.5728340087226</v>
      </c>
      <c r="H388" s="322">
        <v>4.7442967597214025</v>
      </c>
      <c r="I388" s="322">
        <v>-230.08106138639241</v>
      </c>
      <c r="K388" s="223">
        <f t="shared" si="23"/>
        <v>1223200.1502980485</v>
      </c>
      <c r="L388" s="223">
        <f t="shared" si="23"/>
        <v>937450.77188075578</v>
      </c>
      <c r="M388" s="114">
        <f t="shared" si="24"/>
        <v>1</v>
      </c>
      <c r="N388" s="114">
        <f t="shared" si="25"/>
        <v>0</v>
      </c>
      <c r="Q388" s="320">
        <f t="shared" si="26"/>
        <v>37700</v>
      </c>
      <c r="R388" s="101">
        <v>1</v>
      </c>
      <c r="S388" s="101">
        <v>0</v>
      </c>
      <c r="T388" s="12"/>
      <c r="U388" s="210"/>
      <c r="V388" s="13"/>
      <c r="W388" s="13"/>
      <c r="X388" s="13"/>
      <c r="Y388" s="13"/>
      <c r="Z388" s="13"/>
      <c r="AA388" s="13"/>
      <c r="AB388" s="13"/>
      <c r="AC388" s="13"/>
      <c r="AD388" s="13"/>
      <c r="AE388" s="13"/>
    </row>
    <row r="389" spans="1:31" ht="21" x14ac:dyDescent="0.4">
      <c r="A389" s="210"/>
      <c r="B389" s="108">
        <v>379</v>
      </c>
      <c r="C389" s="297">
        <v>2117.1114461961793</v>
      </c>
      <c r="D389" s="297">
        <v>3109.0842161421451</v>
      </c>
      <c r="E389" s="297">
        <v>19.591238995600641</v>
      </c>
      <c r="F389" s="297">
        <v>14.719269562360184</v>
      </c>
      <c r="G389" s="322">
        <v>-991.97276994596587</v>
      </c>
      <c r="H389" s="322">
        <v>4.8719694332404568</v>
      </c>
      <c r="I389" s="322">
        <v>-203.60816781360271</v>
      </c>
      <c r="K389" s="223">
        <f t="shared" si="23"/>
        <v>1173357.2282898421</v>
      </c>
      <c r="L389" s="223">
        <f t="shared" si="23"/>
        <v>880047.08952546888</v>
      </c>
      <c r="M389" s="114">
        <f t="shared" si="24"/>
        <v>1</v>
      </c>
      <c r="N389" s="114">
        <f t="shared" si="25"/>
        <v>0</v>
      </c>
      <c r="Q389" s="320">
        <f t="shared" si="26"/>
        <v>37800</v>
      </c>
      <c r="R389" s="101">
        <v>1</v>
      </c>
      <c r="S389" s="101">
        <v>0</v>
      </c>
      <c r="T389" s="12"/>
      <c r="U389" s="210"/>
      <c r="V389" s="13"/>
      <c r="W389" s="13"/>
      <c r="X389" s="13"/>
      <c r="Y389" s="13"/>
      <c r="Z389" s="13"/>
      <c r="AA389" s="13"/>
      <c r="AB389" s="13"/>
      <c r="AC389" s="13"/>
      <c r="AD389" s="13"/>
      <c r="AE389" s="13"/>
    </row>
    <row r="390" spans="1:31" ht="21" x14ac:dyDescent="0.4">
      <c r="A390" s="210"/>
      <c r="B390" s="108">
        <v>380</v>
      </c>
      <c r="C390" s="297">
        <v>1789.8720776867231</v>
      </c>
      <c r="D390" s="297">
        <v>2499.2489013053091</v>
      </c>
      <c r="E390" s="297">
        <v>19.623728903735611</v>
      </c>
      <c r="F390" s="297">
        <v>15.494488236810842</v>
      </c>
      <c r="G390" s="322">
        <v>-709.37682361858606</v>
      </c>
      <c r="H390" s="322">
        <v>4.129240666924769</v>
      </c>
      <c r="I390" s="322">
        <v>-171.79352835999526</v>
      </c>
      <c r="K390" s="223">
        <f t="shared" si="23"/>
        <v>1175633.86214645</v>
      </c>
      <c r="L390" s="223">
        <f t="shared" si="23"/>
        <v>927170.04530734522</v>
      </c>
      <c r="M390" s="114">
        <f t="shared" si="24"/>
        <v>1</v>
      </c>
      <c r="N390" s="114">
        <f t="shared" si="25"/>
        <v>0</v>
      </c>
      <c r="Q390" s="320">
        <f t="shared" si="26"/>
        <v>37900</v>
      </c>
      <c r="R390" s="101">
        <v>1</v>
      </c>
      <c r="S390" s="101">
        <v>0</v>
      </c>
      <c r="T390" s="12"/>
      <c r="U390" s="210"/>
      <c r="V390" s="13"/>
      <c r="W390" s="13"/>
      <c r="X390" s="13"/>
      <c r="Y390" s="13"/>
      <c r="Z390" s="13"/>
      <c r="AA390" s="13"/>
      <c r="AB390" s="13"/>
      <c r="AC390" s="13"/>
      <c r="AD390" s="13"/>
      <c r="AE390" s="13"/>
    </row>
    <row r="391" spans="1:31" ht="21" x14ac:dyDescent="0.4">
      <c r="A391" s="210"/>
      <c r="B391" s="108">
        <v>381</v>
      </c>
      <c r="C391" s="297">
        <v>2414.4719708195421</v>
      </c>
      <c r="D391" s="297">
        <v>3016.7937382254286</v>
      </c>
      <c r="E391" s="297">
        <v>21.184967416065309</v>
      </c>
      <c r="F391" s="297">
        <v>15.068499564624636</v>
      </c>
      <c r="G391" s="322">
        <v>-602.32176740588648</v>
      </c>
      <c r="H391" s="322">
        <v>6.1164678514406727</v>
      </c>
      <c r="I391" s="322">
        <v>-98.475424384682356</v>
      </c>
      <c r="K391" s="223">
        <f t="shared" si="23"/>
        <v>1268683.572993099</v>
      </c>
      <c r="L391" s="223">
        <f t="shared" si="23"/>
        <v>901093.18013925268</v>
      </c>
      <c r="M391" s="114">
        <f t="shared" si="24"/>
        <v>1</v>
      </c>
      <c r="N391" s="114">
        <f t="shared" si="25"/>
        <v>0</v>
      </c>
      <c r="Q391" s="320">
        <f t="shared" si="26"/>
        <v>38000</v>
      </c>
      <c r="R391" s="101">
        <v>1</v>
      </c>
      <c r="S391" s="101">
        <v>0</v>
      </c>
      <c r="T391" s="12"/>
      <c r="U391" s="210"/>
      <c r="V391" s="13"/>
      <c r="W391" s="13"/>
      <c r="X391" s="13"/>
      <c r="Y391" s="13"/>
      <c r="Z391" s="13"/>
      <c r="AA391" s="13"/>
      <c r="AB391" s="13"/>
      <c r="AC391" s="13"/>
      <c r="AD391" s="13"/>
      <c r="AE391" s="13"/>
    </row>
    <row r="392" spans="1:31" ht="21" x14ac:dyDescent="0.4">
      <c r="A392" s="210"/>
      <c r="B392" s="108">
        <v>382</v>
      </c>
      <c r="C392" s="297">
        <v>2530.7639575820372</v>
      </c>
      <c r="D392" s="297">
        <v>3222.5048689516188</v>
      </c>
      <c r="E392" s="297">
        <v>17.752526207660814</v>
      </c>
      <c r="F392" s="297">
        <v>13.045087952360451</v>
      </c>
      <c r="G392" s="322">
        <v>-691.74091136958168</v>
      </c>
      <c r="H392" s="322">
        <v>4.7074382553003637</v>
      </c>
      <c r="I392" s="322">
        <v>-146.94635890140725</v>
      </c>
      <c r="K392" s="223">
        <f t="shared" si="23"/>
        <v>1062620.8085020669</v>
      </c>
      <c r="L392" s="223">
        <f t="shared" si="23"/>
        <v>779482.77227267541</v>
      </c>
      <c r="M392" s="114">
        <f t="shared" si="24"/>
        <v>1</v>
      </c>
      <c r="N392" s="114">
        <f t="shared" si="25"/>
        <v>0</v>
      </c>
      <c r="Q392" s="320">
        <f t="shared" si="26"/>
        <v>38100</v>
      </c>
      <c r="R392" s="101">
        <v>1</v>
      </c>
      <c r="S392" s="101">
        <v>0</v>
      </c>
      <c r="T392" s="12"/>
      <c r="U392" s="210"/>
      <c r="V392" s="13"/>
      <c r="W392" s="13"/>
      <c r="X392" s="13"/>
      <c r="Y392" s="13"/>
      <c r="Z392" s="13"/>
      <c r="AA392" s="13"/>
      <c r="AB392" s="13"/>
      <c r="AC392" s="13"/>
      <c r="AD392" s="13"/>
      <c r="AE392" s="13"/>
    </row>
    <row r="393" spans="1:31" ht="21" x14ac:dyDescent="0.4">
      <c r="A393" s="210"/>
      <c r="B393" s="108">
        <v>383</v>
      </c>
      <c r="C393" s="297">
        <v>2289.0640975489118</v>
      </c>
      <c r="D393" s="297">
        <v>3133.5207235471989</v>
      </c>
      <c r="E393" s="297">
        <v>21.760132252936021</v>
      </c>
      <c r="F393" s="297">
        <v>15.520808172480093</v>
      </c>
      <c r="G393" s="322">
        <v>-844.45662599828711</v>
      </c>
      <c r="H393" s="322">
        <v>6.239324080455928</v>
      </c>
      <c r="I393" s="322">
        <v>-135.34424804819241</v>
      </c>
      <c r="K393" s="223">
        <f t="shared" si="23"/>
        <v>1303318.8710786125</v>
      </c>
      <c r="L393" s="223">
        <f t="shared" si="23"/>
        <v>928114.96962525835</v>
      </c>
      <c r="M393" s="114">
        <f t="shared" si="24"/>
        <v>1</v>
      </c>
      <c r="N393" s="114">
        <f t="shared" si="25"/>
        <v>0</v>
      </c>
      <c r="Q393" s="320">
        <f t="shared" si="26"/>
        <v>38200</v>
      </c>
      <c r="R393" s="101">
        <v>1</v>
      </c>
      <c r="S393" s="101">
        <v>0</v>
      </c>
      <c r="T393" s="12"/>
      <c r="U393" s="210"/>
      <c r="V393" s="13"/>
      <c r="W393" s="13"/>
      <c r="X393" s="13"/>
      <c r="Y393" s="13"/>
      <c r="Z393" s="13"/>
      <c r="AA393" s="13"/>
      <c r="AB393" s="13"/>
      <c r="AC393" s="13"/>
      <c r="AD393" s="13"/>
      <c r="AE393" s="13"/>
    </row>
    <row r="394" spans="1:31" ht="21" x14ac:dyDescent="0.4">
      <c r="A394" s="210"/>
      <c r="B394" s="108">
        <v>384</v>
      </c>
      <c r="C394" s="297">
        <v>2306.1379467825145</v>
      </c>
      <c r="D394" s="297">
        <v>3212.031501262029</v>
      </c>
      <c r="E394" s="297">
        <v>19.649812951247988</v>
      </c>
      <c r="F394" s="297">
        <v>14.329273225066855</v>
      </c>
      <c r="G394" s="322">
        <v>-905.89355447951448</v>
      </c>
      <c r="H394" s="322">
        <v>5.3205397261811331</v>
      </c>
      <c r="I394" s="322">
        <v>-170.26346970436549</v>
      </c>
      <c r="K394" s="223">
        <f t="shared" si="23"/>
        <v>1176682.6391280969</v>
      </c>
      <c r="L394" s="223">
        <f t="shared" si="23"/>
        <v>856544.36200274935</v>
      </c>
      <c r="M394" s="114">
        <f t="shared" si="24"/>
        <v>1</v>
      </c>
      <c r="N394" s="114">
        <f t="shared" si="25"/>
        <v>0</v>
      </c>
      <c r="Q394" s="320">
        <f t="shared" si="26"/>
        <v>38300</v>
      </c>
      <c r="R394" s="101">
        <v>1</v>
      </c>
      <c r="S394" s="101">
        <v>0</v>
      </c>
      <c r="T394" s="12"/>
      <c r="U394" s="210"/>
      <c r="V394" s="13"/>
      <c r="W394" s="13"/>
      <c r="X394" s="13"/>
      <c r="Y394" s="13"/>
      <c r="Z394" s="13"/>
      <c r="AA394" s="13"/>
      <c r="AB394" s="13"/>
      <c r="AC394" s="13"/>
      <c r="AD394" s="13"/>
      <c r="AE394" s="13"/>
    </row>
    <row r="395" spans="1:31" ht="21" x14ac:dyDescent="0.4">
      <c r="A395" s="210"/>
      <c r="B395" s="108">
        <v>385</v>
      </c>
      <c r="C395" s="297">
        <v>2179.5914872718513</v>
      </c>
      <c r="D395" s="297">
        <v>3280.9836434609247</v>
      </c>
      <c r="E395" s="297">
        <v>19.373948068120235</v>
      </c>
      <c r="F395" s="297">
        <v>14.454551735230421</v>
      </c>
      <c r="G395" s="322">
        <v>-1101.3921561890734</v>
      </c>
      <c r="H395" s="322">
        <v>4.9193963328898143</v>
      </c>
      <c r="I395" s="322">
        <v>-223.88766459523694</v>
      </c>
      <c r="K395" s="223">
        <f t="shared" si="23"/>
        <v>1160257.2925999421</v>
      </c>
      <c r="L395" s="223">
        <f t="shared" si="23"/>
        <v>863992.12047036435</v>
      </c>
      <c r="M395" s="114">
        <f t="shared" si="24"/>
        <v>1</v>
      </c>
      <c r="N395" s="114">
        <f t="shared" si="25"/>
        <v>0</v>
      </c>
      <c r="Q395" s="320">
        <f t="shared" si="26"/>
        <v>38400</v>
      </c>
      <c r="R395" s="101">
        <v>1</v>
      </c>
      <c r="S395" s="101">
        <v>0</v>
      </c>
      <c r="T395" s="12"/>
      <c r="U395" s="210"/>
      <c r="V395" s="13"/>
      <c r="W395" s="13"/>
      <c r="X395" s="13"/>
      <c r="Y395" s="13"/>
      <c r="Z395" s="13"/>
      <c r="AA395" s="13"/>
      <c r="AB395" s="13"/>
      <c r="AC395" s="13"/>
      <c r="AD395" s="13"/>
      <c r="AE395" s="13"/>
    </row>
    <row r="396" spans="1:31" ht="21" x14ac:dyDescent="0.4">
      <c r="A396" s="210"/>
      <c r="B396" s="108">
        <v>386</v>
      </c>
      <c r="C396" s="297">
        <v>2542.3677799351331</v>
      </c>
      <c r="D396" s="297">
        <v>3231.1206703881808</v>
      </c>
      <c r="E396" s="297">
        <v>22.53517936475874</v>
      </c>
      <c r="F396" s="297">
        <v>15.383139877345743</v>
      </c>
      <c r="G396" s="322">
        <v>-688.75289045304771</v>
      </c>
      <c r="H396" s="322">
        <v>7.1520394874129973</v>
      </c>
      <c r="I396" s="322">
        <v>-96.30160622927157</v>
      </c>
      <c r="K396" s="223">
        <f t="shared" ref="K396:L459" si="27">E396*$N$4-C396</f>
        <v>1349568.3941055893</v>
      </c>
      <c r="L396" s="223">
        <f t="shared" si="27"/>
        <v>919757.27197035635</v>
      </c>
      <c r="M396" s="114">
        <f t="shared" ref="M396:M459" si="28">IF(MAX(K396:L396)=K396,1,0)</f>
        <v>1</v>
      </c>
      <c r="N396" s="114">
        <f t="shared" ref="N396:N459" si="29">IF(MAX(K396:L396)=L396,1,0)</f>
        <v>0</v>
      </c>
      <c r="Q396" s="320">
        <f t="shared" si="26"/>
        <v>38500</v>
      </c>
      <c r="R396" s="101">
        <v>1</v>
      </c>
      <c r="S396" s="101">
        <v>0</v>
      </c>
      <c r="T396" s="12"/>
      <c r="U396" s="210"/>
      <c r="V396" s="13"/>
      <c r="W396" s="13"/>
      <c r="X396" s="13"/>
      <c r="Y396" s="13"/>
      <c r="Z396" s="13"/>
      <c r="AA396" s="13"/>
      <c r="AB396" s="13"/>
      <c r="AC396" s="13"/>
      <c r="AD396" s="13"/>
      <c r="AE396" s="13"/>
    </row>
    <row r="397" spans="1:31" ht="21" x14ac:dyDescent="0.4">
      <c r="A397" s="210"/>
      <c r="B397" s="108">
        <v>387</v>
      </c>
      <c r="C397" s="297">
        <v>2046.7940706030445</v>
      </c>
      <c r="D397" s="297">
        <v>2899.2210685729387</v>
      </c>
      <c r="E397" s="297">
        <v>19.88401694949744</v>
      </c>
      <c r="F397" s="297">
        <v>14.064499071037707</v>
      </c>
      <c r="G397" s="322">
        <v>-852.42699796989427</v>
      </c>
      <c r="H397" s="322">
        <v>5.8195178784597328</v>
      </c>
      <c r="I397" s="322">
        <v>-146.477253919101</v>
      </c>
      <c r="K397" s="223">
        <f t="shared" si="27"/>
        <v>1190994.2228992432</v>
      </c>
      <c r="L397" s="223">
        <f t="shared" si="27"/>
        <v>840970.72319368948</v>
      </c>
      <c r="M397" s="114">
        <f t="shared" si="28"/>
        <v>1</v>
      </c>
      <c r="N397" s="114">
        <f t="shared" si="29"/>
        <v>0</v>
      </c>
      <c r="Q397" s="320">
        <f t="shared" ref="Q397:Q460" si="30">Q396+100</f>
        <v>38600</v>
      </c>
      <c r="R397" s="101">
        <v>1</v>
      </c>
      <c r="S397" s="101">
        <v>0</v>
      </c>
      <c r="T397" s="12"/>
      <c r="U397" s="210"/>
      <c r="V397" s="13"/>
      <c r="W397" s="13"/>
      <c r="X397" s="13"/>
      <c r="Y397" s="13"/>
      <c r="Z397" s="13"/>
      <c r="AA397" s="13"/>
      <c r="AB397" s="13"/>
      <c r="AC397" s="13"/>
      <c r="AD397" s="13"/>
      <c r="AE397" s="13"/>
    </row>
    <row r="398" spans="1:31" ht="21" x14ac:dyDescent="0.4">
      <c r="A398" s="210"/>
      <c r="B398" s="108">
        <v>388</v>
      </c>
      <c r="C398" s="297">
        <v>2271.9149540094886</v>
      </c>
      <c r="D398" s="297">
        <v>3326.2444518540792</v>
      </c>
      <c r="E398" s="297">
        <v>20.364348039824971</v>
      </c>
      <c r="F398" s="297">
        <v>15.121318606330744</v>
      </c>
      <c r="G398" s="322">
        <v>-1054.3294978445906</v>
      </c>
      <c r="H398" s="322">
        <v>5.2430294334942271</v>
      </c>
      <c r="I398" s="322">
        <v>-201.09166107464148</v>
      </c>
      <c r="K398" s="223">
        <f t="shared" si="27"/>
        <v>1219588.9674354887</v>
      </c>
      <c r="L398" s="223">
        <f t="shared" si="27"/>
        <v>903952.87192799058</v>
      </c>
      <c r="M398" s="114">
        <f t="shared" si="28"/>
        <v>1</v>
      </c>
      <c r="N398" s="114">
        <f t="shared" si="29"/>
        <v>0</v>
      </c>
      <c r="Q398" s="320">
        <f t="shared" si="30"/>
        <v>38700</v>
      </c>
      <c r="R398" s="101">
        <v>1</v>
      </c>
      <c r="S398" s="101">
        <v>0</v>
      </c>
      <c r="T398" s="12"/>
      <c r="U398" s="210"/>
      <c r="V398" s="13"/>
      <c r="W398" s="13"/>
      <c r="X398" s="13"/>
      <c r="Y398" s="13"/>
      <c r="Z398" s="13"/>
      <c r="AA398" s="13"/>
      <c r="AB398" s="13"/>
      <c r="AC398" s="13"/>
      <c r="AD398" s="13"/>
      <c r="AE398" s="13"/>
    </row>
    <row r="399" spans="1:31" ht="21" x14ac:dyDescent="0.4">
      <c r="A399" s="210"/>
      <c r="B399" s="108">
        <v>389</v>
      </c>
      <c r="C399" s="297">
        <v>2034.7317890203151</v>
      </c>
      <c r="D399" s="297">
        <v>2973.8921162612614</v>
      </c>
      <c r="E399" s="297">
        <v>18.653521166189865</v>
      </c>
      <c r="F399" s="297">
        <v>13.393919290131132</v>
      </c>
      <c r="G399" s="322">
        <v>-939.16032724094634</v>
      </c>
      <c r="H399" s="322">
        <v>5.2596018760587331</v>
      </c>
      <c r="I399" s="322">
        <v>-178.56110583501109</v>
      </c>
      <c r="K399" s="223">
        <f t="shared" si="27"/>
        <v>1117176.5381823715</v>
      </c>
      <c r="L399" s="223">
        <f t="shared" si="27"/>
        <v>800661.26529160666</v>
      </c>
      <c r="M399" s="114">
        <f t="shared" si="28"/>
        <v>1</v>
      </c>
      <c r="N399" s="114">
        <f t="shared" si="29"/>
        <v>0</v>
      </c>
      <c r="Q399" s="320">
        <f t="shared" si="30"/>
        <v>38800</v>
      </c>
      <c r="R399" s="101">
        <v>1</v>
      </c>
      <c r="S399" s="101">
        <v>0</v>
      </c>
      <c r="T399" s="12"/>
      <c r="U399" s="210"/>
      <c r="V399" s="13"/>
      <c r="W399" s="13"/>
      <c r="X399" s="13"/>
      <c r="Y399" s="13"/>
      <c r="Z399" s="13"/>
      <c r="AA399" s="13"/>
      <c r="AB399" s="13"/>
      <c r="AC399" s="13"/>
      <c r="AD399" s="13"/>
      <c r="AE399" s="13"/>
    </row>
    <row r="400" spans="1:31" ht="21" x14ac:dyDescent="0.4">
      <c r="A400" s="210"/>
      <c r="B400" s="108">
        <v>390</v>
      </c>
      <c r="C400" s="297">
        <v>1847.0413090689444</v>
      </c>
      <c r="D400" s="297">
        <v>3098.7008725349842</v>
      </c>
      <c r="E400" s="297">
        <v>16.778320539271661</v>
      </c>
      <c r="F400" s="297">
        <v>12.101710466993575</v>
      </c>
      <c r="G400" s="322">
        <v>-1251.6595634660398</v>
      </c>
      <c r="H400" s="322">
        <v>4.6766100722780859</v>
      </c>
      <c r="I400" s="322">
        <v>-267.64248977814123</v>
      </c>
      <c r="K400" s="223">
        <f t="shared" si="27"/>
        <v>1004852.1910472307</v>
      </c>
      <c r="L400" s="223">
        <f t="shared" si="27"/>
        <v>723003.92714707949</v>
      </c>
      <c r="M400" s="114">
        <f t="shared" si="28"/>
        <v>1</v>
      </c>
      <c r="N400" s="114">
        <f t="shared" si="29"/>
        <v>0</v>
      </c>
      <c r="Q400" s="320">
        <f t="shared" si="30"/>
        <v>38900</v>
      </c>
      <c r="R400" s="101">
        <v>1</v>
      </c>
      <c r="S400" s="101">
        <v>0</v>
      </c>
      <c r="T400" s="12"/>
      <c r="U400" s="210"/>
      <c r="V400" s="13"/>
      <c r="W400" s="13"/>
      <c r="X400" s="13"/>
      <c r="Y400" s="13"/>
      <c r="Z400" s="13"/>
      <c r="AA400" s="13"/>
      <c r="AB400" s="13"/>
      <c r="AC400" s="13"/>
      <c r="AD400" s="13"/>
      <c r="AE400" s="13"/>
    </row>
    <row r="401" spans="1:31" ht="21" x14ac:dyDescent="0.4">
      <c r="A401" s="210"/>
      <c r="B401" s="108">
        <v>391</v>
      </c>
      <c r="C401" s="297">
        <v>2386.6391869339427</v>
      </c>
      <c r="D401" s="297">
        <v>3268.1974003941364</v>
      </c>
      <c r="E401" s="297">
        <v>19.995553910762702</v>
      </c>
      <c r="F401" s="297">
        <v>14.709841914077115</v>
      </c>
      <c r="G401" s="322">
        <v>-881.55821346019366</v>
      </c>
      <c r="H401" s="322">
        <v>5.2857119966855866</v>
      </c>
      <c r="I401" s="322">
        <v>-166.78135585385206</v>
      </c>
      <c r="K401" s="223">
        <f t="shared" si="27"/>
        <v>1197346.5954588281</v>
      </c>
      <c r="L401" s="223">
        <f t="shared" si="27"/>
        <v>879322.31744423276</v>
      </c>
      <c r="M401" s="114">
        <f t="shared" si="28"/>
        <v>1</v>
      </c>
      <c r="N401" s="114">
        <f t="shared" si="29"/>
        <v>0</v>
      </c>
      <c r="Q401" s="320">
        <f t="shared" si="30"/>
        <v>39000</v>
      </c>
      <c r="R401" s="101">
        <v>1</v>
      </c>
      <c r="S401" s="101">
        <v>0</v>
      </c>
      <c r="T401" s="12"/>
      <c r="U401" s="210"/>
      <c r="V401" s="13"/>
      <c r="W401" s="13"/>
      <c r="X401" s="13"/>
      <c r="Y401" s="13"/>
      <c r="Z401" s="13"/>
      <c r="AA401" s="13"/>
      <c r="AB401" s="13"/>
      <c r="AC401" s="13"/>
      <c r="AD401" s="13"/>
      <c r="AE401" s="13"/>
    </row>
    <row r="402" spans="1:31" ht="21" x14ac:dyDescent="0.4">
      <c r="A402" s="210"/>
      <c r="B402" s="108">
        <v>392</v>
      </c>
      <c r="C402" s="297">
        <v>2048.4317362296429</v>
      </c>
      <c r="D402" s="297">
        <v>2911.977884061816</v>
      </c>
      <c r="E402" s="297">
        <v>17.668539303173318</v>
      </c>
      <c r="F402" s="297">
        <v>11.939164896515933</v>
      </c>
      <c r="G402" s="322">
        <v>-863.54614783217312</v>
      </c>
      <c r="H402" s="322">
        <v>5.7293744066573851</v>
      </c>
      <c r="I402" s="322">
        <v>-150.72258968252359</v>
      </c>
      <c r="K402" s="223">
        <f t="shared" si="27"/>
        <v>1058063.9264541694</v>
      </c>
      <c r="L402" s="223">
        <f t="shared" si="27"/>
        <v>713437.91590689414</v>
      </c>
      <c r="M402" s="114">
        <f t="shared" si="28"/>
        <v>1</v>
      </c>
      <c r="N402" s="114">
        <f t="shared" si="29"/>
        <v>0</v>
      </c>
      <c r="Q402" s="320">
        <f t="shared" si="30"/>
        <v>39100</v>
      </c>
      <c r="R402" s="101">
        <v>1</v>
      </c>
      <c r="S402" s="101">
        <v>0</v>
      </c>
      <c r="T402" s="12"/>
      <c r="U402" s="210"/>
      <c r="V402" s="13"/>
      <c r="W402" s="13"/>
      <c r="X402" s="13"/>
      <c r="Y402" s="13"/>
      <c r="Z402" s="13"/>
      <c r="AA402" s="13"/>
      <c r="AB402" s="13"/>
      <c r="AC402" s="13"/>
      <c r="AD402" s="13"/>
      <c r="AE402" s="13"/>
    </row>
    <row r="403" spans="1:31" ht="21" x14ac:dyDescent="0.4">
      <c r="A403" s="210"/>
      <c r="B403" s="108">
        <v>393</v>
      </c>
      <c r="C403" s="297">
        <v>2047.1304924634462</v>
      </c>
      <c r="D403" s="297">
        <v>2533.2072388575593</v>
      </c>
      <c r="E403" s="297">
        <v>19.293534813942344</v>
      </c>
      <c r="F403" s="297">
        <v>13.811516801905485</v>
      </c>
      <c r="G403" s="322">
        <v>-486.07674639411312</v>
      </c>
      <c r="H403" s="322">
        <v>5.4820180120368587</v>
      </c>
      <c r="I403" s="322">
        <v>-88.66748436922957</v>
      </c>
      <c r="K403" s="223">
        <f t="shared" si="27"/>
        <v>1155564.9583440772</v>
      </c>
      <c r="L403" s="223">
        <f t="shared" si="27"/>
        <v>826157.80087547156</v>
      </c>
      <c r="M403" s="114">
        <f t="shared" si="28"/>
        <v>1</v>
      </c>
      <c r="N403" s="114">
        <f t="shared" si="29"/>
        <v>0</v>
      </c>
      <c r="Q403" s="320">
        <f t="shared" si="30"/>
        <v>39200</v>
      </c>
      <c r="R403" s="101">
        <v>1</v>
      </c>
      <c r="S403" s="101">
        <v>0</v>
      </c>
      <c r="T403" s="12"/>
      <c r="U403" s="210"/>
      <c r="V403" s="13"/>
      <c r="W403" s="13"/>
      <c r="X403" s="13"/>
      <c r="Y403" s="13"/>
      <c r="Z403" s="13"/>
      <c r="AA403" s="13"/>
      <c r="AB403" s="13"/>
      <c r="AC403" s="13"/>
      <c r="AD403" s="13"/>
      <c r="AE403" s="13"/>
    </row>
    <row r="404" spans="1:31" ht="21" x14ac:dyDescent="0.4">
      <c r="A404" s="210"/>
      <c r="B404" s="108">
        <v>394</v>
      </c>
      <c r="C404" s="297">
        <v>1843.2615406801456</v>
      </c>
      <c r="D404" s="297">
        <v>2642.4387410474101</v>
      </c>
      <c r="E404" s="297">
        <v>19.480508315842897</v>
      </c>
      <c r="F404" s="297">
        <v>14.382127998078722</v>
      </c>
      <c r="G404" s="322">
        <v>-799.1772003672645</v>
      </c>
      <c r="H404" s="322">
        <v>5.0983803177641747</v>
      </c>
      <c r="I404" s="322">
        <v>-156.75119362569106</v>
      </c>
      <c r="K404" s="223">
        <f t="shared" si="27"/>
        <v>1166987.2374098937</v>
      </c>
      <c r="L404" s="223">
        <f t="shared" si="27"/>
        <v>860285.24114367599</v>
      </c>
      <c r="M404" s="114">
        <f t="shared" si="28"/>
        <v>1</v>
      </c>
      <c r="N404" s="114">
        <f t="shared" si="29"/>
        <v>0</v>
      </c>
      <c r="Q404" s="320">
        <f t="shared" si="30"/>
        <v>39300</v>
      </c>
      <c r="R404" s="101">
        <v>1</v>
      </c>
      <c r="S404" s="101">
        <v>0</v>
      </c>
      <c r="T404" s="12"/>
      <c r="U404" s="210"/>
      <c r="V404" s="13"/>
      <c r="W404" s="13"/>
      <c r="X404" s="13"/>
      <c r="Y404" s="13"/>
      <c r="Z404" s="13"/>
      <c r="AA404" s="13"/>
      <c r="AB404" s="13"/>
      <c r="AC404" s="13"/>
      <c r="AD404" s="13"/>
      <c r="AE404" s="13"/>
    </row>
    <row r="405" spans="1:31" ht="21" x14ac:dyDescent="0.4">
      <c r="A405" s="210"/>
      <c r="B405" s="108">
        <v>395</v>
      </c>
      <c r="C405" s="297">
        <v>2305.4051195034085</v>
      </c>
      <c r="D405" s="297">
        <v>3456.9822048212391</v>
      </c>
      <c r="E405" s="297">
        <v>17.250661766367237</v>
      </c>
      <c r="F405" s="297">
        <v>12.570145669179427</v>
      </c>
      <c r="G405" s="322">
        <v>-1151.5770853178306</v>
      </c>
      <c r="H405" s="322">
        <v>4.6805160971878106</v>
      </c>
      <c r="I405" s="322">
        <v>-246.03634757494615</v>
      </c>
      <c r="K405" s="223">
        <f t="shared" si="27"/>
        <v>1032734.3008625308</v>
      </c>
      <c r="L405" s="223">
        <f t="shared" si="27"/>
        <v>750751.75794594444</v>
      </c>
      <c r="M405" s="114">
        <f t="shared" si="28"/>
        <v>1</v>
      </c>
      <c r="N405" s="114">
        <f t="shared" si="29"/>
        <v>0</v>
      </c>
      <c r="Q405" s="320">
        <f t="shared" si="30"/>
        <v>39400</v>
      </c>
      <c r="R405" s="101">
        <v>1</v>
      </c>
      <c r="S405" s="101">
        <v>0</v>
      </c>
      <c r="T405" s="12"/>
      <c r="U405" s="210"/>
      <c r="V405" s="13"/>
      <c r="W405" s="13"/>
      <c r="X405" s="13"/>
      <c r="Y405" s="13"/>
      <c r="Z405" s="13"/>
      <c r="AA405" s="13"/>
      <c r="AB405" s="13"/>
      <c r="AC405" s="13"/>
      <c r="AD405" s="13"/>
      <c r="AE405" s="13"/>
    </row>
    <row r="406" spans="1:31" ht="21" x14ac:dyDescent="0.4">
      <c r="A406" s="210"/>
      <c r="B406" s="108">
        <v>396</v>
      </c>
      <c r="C406" s="297">
        <v>2212.983845186418</v>
      </c>
      <c r="D406" s="297">
        <v>2834.0978237144727</v>
      </c>
      <c r="E406" s="297">
        <v>17.721621445464706</v>
      </c>
      <c r="F406" s="297">
        <v>13.61941657719572</v>
      </c>
      <c r="G406" s="322">
        <v>-621.11397852805476</v>
      </c>
      <c r="H406" s="322">
        <v>4.102204868268986</v>
      </c>
      <c r="I406" s="322">
        <v>-151.40979021609596</v>
      </c>
      <c r="K406" s="223">
        <f t="shared" si="27"/>
        <v>1061084.302882696</v>
      </c>
      <c r="L406" s="223">
        <f t="shared" si="27"/>
        <v>814330.89680802869</v>
      </c>
      <c r="M406" s="114">
        <f t="shared" si="28"/>
        <v>1</v>
      </c>
      <c r="N406" s="114">
        <f t="shared" si="29"/>
        <v>0</v>
      </c>
      <c r="Q406" s="320">
        <f t="shared" si="30"/>
        <v>39500</v>
      </c>
      <c r="R406" s="101">
        <v>1</v>
      </c>
      <c r="S406" s="101">
        <v>0</v>
      </c>
      <c r="T406" s="12"/>
      <c r="U406" s="210"/>
      <c r="V406" s="13"/>
      <c r="W406" s="13"/>
      <c r="X406" s="13"/>
      <c r="Y406" s="13"/>
      <c r="Z406" s="13"/>
      <c r="AA406" s="13"/>
      <c r="AB406" s="13"/>
      <c r="AC406" s="13"/>
      <c r="AD406" s="13"/>
      <c r="AE406" s="13"/>
    </row>
    <row r="407" spans="1:31" ht="21" x14ac:dyDescent="0.4">
      <c r="A407" s="210"/>
      <c r="B407" s="108">
        <v>397</v>
      </c>
      <c r="C407" s="297">
        <v>1956.3503884347012</v>
      </c>
      <c r="D407" s="297">
        <v>3025.153972275647</v>
      </c>
      <c r="E407" s="297">
        <v>20.490399626313806</v>
      </c>
      <c r="F407" s="297">
        <v>15.29134540054849</v>
      </c>
      <c r="G407" s="322">
        <v>-1068.8035838409457</v>
      </c>
      <c r="H407" s="322">
        <v>5.1990542257653161</v>
      </c>
      <c r="I407" s="322">
        <v>-205.57654093011786</v>
      </c>
      <c r="K407" s="223">
        <f t="shared" si="27"/>
        <v>1227467.6271903936</v>
      </c>
      <c r="L407" s="223">
        <f t="shared" si="27"/>
        <v>914455.5700606337</v>
      </c>
      <c r="M407" s="114">
        <f t="shared" si="28"/>
        <v>1</v>
      </c>
      <c r="N407" s="114">
        <f t="shared" si="29"/>
        <v>0</v>
      </c>
      <c r="Q407" s="320">
        <f t="shared" si="30"/>
        <v>39600</v>
      </c>
      <c r="R407" s="101">
        <v>1</v>
      </c>
      <c r="S407" s="101">
        <v>0</v>
      </c>
      <c r="T407" s="12"/>
      <c r="U407" s="210"/>
      <c r="V407" s="13"/>
      <c r="W407" s="13"/>
      <c r="X407" s="13"/>
      <c r="Y407" s="13"/>
      <c r="Z407" s="13"/>
      <c r="AA407" s="13"/>
      <c r="AB407" s="13"/>
      <c r="AC407" s="13"/>
      <c r="AD407" s="13"/>
      <c r="AE407" s="13"/>
    </row>
    <row r="408" spans="1:31" ht="21" x14ac:dyDescent="0.4">
      <c r="A408" s="210"/>
      <c r="B408" s="108">
        <v>398</v>
      </c>
      <c r="C408" s="297">
        <v>1877.0850625972114</v>
      </c>
      <c r="D408" s="297">
        <v>2736.7797813937832</v>
      </c>
      <c r="E408" s="297">
        <v>19.972906077397838</v>
      </c>
      <c r="F408" s="297">
        <v>15.07777137452824</v>
      </c>
      <c r="G408" s="322">
        <v>-859.69471879657181</v>
      </c>
      <c r="H408" s="322">
        <v>4.8951347028695977</v>
      </c>
      <c r="I408" s="322">
        <v>-175.62228028017421</v>
      </c>
      <c r="K408" s="223">
        <f t="shared" si="27"/>
        <v>1196497.279581273</v>
      </c>
      <c r="L408" s="223">
        <f t="shared" si="27"/>
        <v>901929.50269030058</v>
      </c>
      <c r="M408" s="114">
        <f t="shared" si="28"/>
        <v>1</v>
      </c>
      <c r="N408" s="114">
        <f t="shared" si="29"/>
        <v>0</v>
      </c>
      <c r="Q408" s="320">
        <f t="shared" si="30"/>
        <v>39700</v>
      </c>
      <c r="R408" s="101">
        <v>1</v>
      </c>
      <c r="S408" s="101">
        <v>0</v>
      </c>
      <c r="T408" s="12"/>
      <c r="U408" s="210"/>
      <c r="V408" s="13"/>
      <c r="W408" s="13"/>
      <c r="X408" s="13"/>
      <c r="Y408" s="13"/>
      <c r="Z408" s="13"/>
      <c r="AA408" s="13"/>
      <c r="AB408" s="13"/>
      <c r="AC408" s="13"/>
      <c r="AD408" s="13"/>
      <c r="AE408" s="13"/>
    </row>
    <row r="409" spans="1:31" ht="21" x14ac:dyDescent="0.4">
      <c r="A409" s="210"/>
      <c r="B409" s="108">
        <v>399</v>
      </c>
      <c r="C409" s="297">
        <v>2128.2471251069346</v>
      </c>
      <c r="D409" s="297">
        <v>2777.5020580592031</v>
      </c>
      <c r="E409" s="297">
        <v>21.012227371382707</v>
      </c>
      <c r="F409" s="297">
        <v>15.625248263177367</v>
      </c>
      <c r="G409" s="322">
        <v>-649.25493295226852</v>
      </c>
      <c r="H409" s="322">
        <v>5.38697910820534</v>
      </c>
      <c r="I409" s="322">
        <v>-120.52300926196952</v>
      </c>
      <c r="K409" s="223">
        <f t="shared" si="27"/>
        <v>1258605.3951578555</v>
      </c>
      <c r="L409" s="223">
        <f t="shared" si="27"/>
        <v>934737.3937325828</v>
      </c>
      <c r="M409" s="114">
        <f t="shared" si="28"/>
        <v>1</v>
      </c>
      <c r="N409" s="114">
        <f t="shared" si="29"/>
        <v>0</v>
      </c>
      <c r="Q409" s="320">
        <f t="shared" si="30"/>
        <v>39800</v>
      </c>
      <c r="R409" s="101">
        <v>1</v>
      </c>
      <c r="S409" s="101">
        <v>0</v>
      </c>
      <c r="T409" s="12"/>
      <c r="U409" s="210"/>
      <c r="V409" s="13"/>
      <c r="W409" s="13"/>
      <c r="X409" s="13"/>
      <c r="Y409" s="13"/>
      <c r="Z409" s="13"/>
      <c r="AA409" s="13"/>
      <c r="AB409" s="13"/>
      <c r="AC409" s="13"/>
      <c r="AD409" s="13"/>
      <c r="AE409" s="13"/>
    </row>
    <row r="410" spans="1:31" ht="21" x14ac:dyDescent="0.4">
      <c r="A410" s="210"/>
      <c r="B410" s="108">
        <v>400</v>
      </c>
      <c r="C410" s="297">
        <v>1951.6109312127144</v>
      </c>
      <c r="D410" s="297">
        <v>2857.3157077812939</v>
      </c>
      <c r="E410" s="297">
        <v>18.611550213566098</v>
      </c>
      <c r="F410" s="297">
        <v>13.987531658176467</v>
      </c>
      <c r="G410" s="322">
        <v>-905.70477656857952</v>
      </c>
      <c r="H410" s="322">
        <v>4.6240185553896307</v>
      </c>
      <c r="I410" s="322">
        <v>-195.86962416336209</v>
      </c>
      <c r="K410" s="223">
        <f t="shared" si="27"/>
        <v>1114741.401882753</v>
      </c>
      <c r="L410" s="223">
        <f t="shared" si="27"/>
        <v>836394.58378280676</v>
      </c>
      <c r="M410" s="114">
        <f t="shared" si="28"/>
        <v>1</v>
      </c>
      <c r="N410" s="114">
        <f t="shared" si="29"/>
        <v>0</v>
      </c>
      <c r="Q410" s="320">
        <f t="shared" si="30"/>
        <v>39900</v>
      </c>
      <c r="R410" s="101">
        <v>1</v>
      </c>
      <c r="S410" s="101">
        <v>0</v>
      </c>
      <c r="T410" s="12"/>
      <c r="U410" s="210"/>
      <c r="V410" s="13"/>
      <c r="W410" s="13"/>
      <c r="X410" s="13"/>
      <c r="Y410" s="13"/>
      <c r="Z410" s="13"/>
      <c r="AA410" s="13"/>
      <c r="AB410" s="13"/>
      <c r="AC410" s="13"/>
      <c r="AD410" s="13"/>
      <c r="AE410" s="13"/>
    </row>
    <row r="411" spans="1:31" ht="21" x14ac:dyDescent="0.4">
      <c r="A411" s="210"/>
      <c r="B411" s="108">
        <v>401</v>
      </c>
      <c r="C411" s="297">
        <v>2146.1837005424577</v>
      </c>
      <c r="D411" s="297">
        <v>3039.028412871131</v>
      </c>
      <c r="E411" s="297">
        <v>17.811441593706792</v>
      </c>
      <c r="F411" s="297">
        <v>13.085893489840716</v>
      </c>
      <c r="G411" s="322">
        <v>-892.84471232867327</v>
      </c>
      <c r="H411" s="322">
        <v>4.7255481038660765</v>
      </c>
      <c r="I411" s="322">
        <v>-188.93992669299399</v>
      </c>
      <c r="K411" s="223">
        <f t="shared" si="27"/>
        <v>1066540.3119218652</v>
      </c>
      <c r="L411" s="223">
        <f t="shared" si="27"/>
        <v>782114.58097757178</v>
      </c>
      <c r="M411" s="114">
        <f t="shared" si="28"/>
        <v>1</v>
      </c>
      <c r="N411" s="114">
        <f t="shared" si="29"/>
        <v>0</v>
      </c>
      <c r="Q411" s="320">
        <f t="shared" si="30"/>
        <v>40000</v>
      </c>
      <c r="R411" s="101">
        <v>1</v>
      </c>
      <c r="S411" s="101">
        <v>0</v>
      </c>
      <c r="T411" s="12"/>
      <c r="U411" s="210"/>
      <c r="V411" s="13"/>
      <c r="W411" s="13"/>
      <c r="X411" s="13"/>
      <c r="Y411" s="13"/>
      <c r="Z411" s="13"/>
      <c r="AA411" s="13"/>
      <c r="AB411" s="13"/>
      <c r="AC411" s="13"/>
      <c r="AD411" s="13"/>
      <c r="AE411" s="13"/>
    </row>
    <row r="412" spans="1:31" ht="21" x14ac:dyDescent="0.4">
      <c r="A412" s="210"/>
      <c r="B412" s="108">
        <v>402</v>
      </c>
      <c r="C412" s="297">
        <v>1847.5411965988294</v>
      </c>
      <c r="D412" s="297">
        <v>2536.6364419868396</v>
      </c>
      <c r="E412" s="297">
        <v>20.630222649337362</v>
      </c>
      <c r="F412" s="297">
        <v>14.483146901493903</v>
      </c>
      <c r="G412" s="322">
        <v>-689.0952453880102</v>
      </c>
      <c r="H412" s="322">
        <v>6.1470757478434592</v>
      </c>
      <c r="I412" s="322">
        <v>-112.1013102253964</v>
      </c>
      <c r="K412" s="223">
        <f t="shared" si="27"/>
        <v>1235965.8177636429</v>
      </c>
      <c r="L412" s="223">
        <f t="shared" si="27"/>
        <v>866452.17764764733</v>
      </c>
      <c r="M412" s="114">
        <f t="shared" si="28"/>
        <v>1</v>
      </c>
      <c r="N412" s="114">
        <f t="shared" si="29"/>
        <v>0</v>
      </c>
      <c r="Q412" s="320">
        <f t="shared" si="30"/>
        <v>40100</v>
      </c>
      <c r="R412" s="101">
        <v>1</v>
      </c>
      <c r="S412" s="101">
        <v>0</v>
      </c>
      <c r="T412" s="12"/>
      <c r="U412" s="210"/>
      <c r="V412" s="13"/>
      <c r="W412" s="13"/>
      <c r="X412" s="13"/>
      <c r="Y412" s="13"/>
      <c r="Z412" s="13"/>
      <c r="AA412" s="13"/>
      <c r="AB412" s="13"/>
      <c r="AC412" s="13"/>
      <c r="AD412" s="13"/>
      <c r="AE412" s="13"/>
    </row>
    <row r="413" spans="1:31" ht="21" x14ac:dyDescent="0.4">
      <c r="A413" s="210"/>
      <c r="B413" s="108">
        <v>403</v>
      </c>
      <c r="C413" s="297">
        <v>1995.9910037677207</v>
      </c>
      <c r="D413" s="297">
        <v>2961.6134792736948</v>
      </c>
      <c r="E413" s="297">
        <v>17.626988571840712</v>
      </c>
      <c r="F413" s="297">
        <v>11.952516602459536</v>
      </c>
      <c r="G413" s="322">
        <v>-965.62247550597408</v>
      </c>
      <c r="H413" s="322">
        <v>5.6744719693811767</v>
      </c>
      <c r="I413" s="322">
        <v>-170.16957361255217</v>
      </c>
      <c r="K413" s="223">
        <f t="shared" si="27"/>
        <v>1055623.3233066748</v>
      </c>
      <c r="L413" s="223">
        <f t="shared" si="27"/>
        <v>714189.38266829844</v>
      </c>
      <c r="M413" s="114">
        <f t="shared" si="28"/>
        <v>1</v>
      </c>
      <c r="N413" s="114">
        <f t="shared" si="29"/>
        <v>0</v>
      </c>
      <c r="Q413" s="320">
        <f t="shared" si="30"/>
        <v>40200</v>
      </c>
      <c r="R413" s="101">
        <v>1</v>
      </c>
      <c r="S413" s="101">
        <v>0</v>
      </c>
      <c r="T413" s="12"/>
      <c r="U413" s="210"/>
      <c r="V413" s="13"/>
      <c r="W413" s="13"/>
      <c r="X413" s="13"/>
      <c r="Y413" s="13"/>
      <c r="Z413" s="13"/>
      <c r="AA413" s="13"/>
      <c r="AB413" s="13"/>
      <c r="AC413" s="13"/>
      <c r="AD413" s="13"/>
      <c r="AE413" s="13"/>
    </row>
    <row r="414" spans="1:31" ht="21" x14ac:dyDescent="0.4">
      <c r="A414" s="210"/>
      <c r="B414" s="108">
        <v>404</v>
      </c>
      <c r="C414" s="297">
        <v>2172.5625261013347</v>
      </c>
      <c r="D414" s="297">
        <v>2692.4992099524743</v>
      </c>
      <c r="E414" s="297">
        <v>19.519309756559707</v>
      </c>
      <c r="F414" s="297">
        <v>14.22760649445242</v>
      </c>
      <c r="G414" s="322">
        <v>-519.93668385113961</v>
      </c>
      <c r="H414" s="322">
        <v>5.291703262107287</v>
      </c>
      <c r="I414" s="322">
        <v>-98.255071778928126</v>
      </c>
      <c r="K414" s="223">
        <f t="shared" si="27"/>
        <v>1168986.0228674812</v>
      </c>
      <c r="L414" s="223">
        <f t="shared" si="27"/>
        <v>850963.89045719279</v>
      </c>
      <c r="M414" s="114">
        <f t="shared" si="28"/>
        <v>1</v>
      </c>
      <c r="N414" s="114">
        <f t="shared" si="29"/>
        <v>0</v>
      </c>
      <c r="Q414" s="320">
        <f t="shared" si="30"/>
        <v>40300</v>
      </c>
      <c r="R414" s="101">
        <v>1</v>
      </c>
      <c r="S414" s="101">
        <v>0</v>
      </c>
      <c r="T414" s="12"/>
      <c r="U414" s="210"/>
      <c r="V414" s="13"/>
      <c r="W414" s="13"/>
      <c r="X414" s="13"/>
      <c r="Y414" s="13"/>
      <c r="Z414" s="13"/>
      <c r="AA414" s="13"/>
      <c r="AB414" s="13"/>
      <c r="AC414" s="13"/>
      <c r="AD414" s="13"/>
      <c r="AE414" s="13"/>
    </row>
    <row r="415" spans="1:31" ht="21" x14ac:dyDescent="0.4">
      <c r="A415" s="210"/>
      <c r="B415" s="108">
        <v>405</v>
      </c>
      <c r="C415" s="297">
        <v>2187.3048751059687</v>
      </c>
      <c r="D415" s="297">
        <v>3082.8173440256887</v>
      </c>
      <c r="E415" s="297">
        <v>20.666725625632786</v>
      </c>
      <c r="F415" s="297">
        <v>14.628027445619441</v>
      </c>
      <c r="G415" s="322">
        <v>-895.51246891972005</v>
      </c>
      <c r="H415" s="322">
        <v>6.0386981800133448</v>
      </c>
      <c r="I415" s="322">
        <v>-148.29561641011526</v>
      </c>
      <c r="K415" s="223">
        <f t="shared" si="27"/>
        <v>1237816.2326628612</v>
      </c>
      <c r="L415" s="223">
        <f t="shared" si="27"/>
        <v>874598.82939314074</v>
      </c>
      <c r="M415" s="114">
        <f t="shared" si="28"/>
        <v>1</v>
      </c>
      <c r="N415" s="114">
        <f t="shared" si="29"/>
        <v>0</v>
      </c>
      <c r="Q415" s="320">
        <f t="shared" si="30"/>
        <v>40400</v>
      </c>
      <c r="R415" s="101">
        <v>1</v>
      </c>
      <c r="S415" s="101">
        <v>0</v>
      </c>
      <c r="T415" s="12"/>
      <c r="U415" s="210"/>
      <c r="V415" s="13"/>
      <c r="W415" s="13"/>
      <c r="X415" s="13"/>
      <c r="Y415" s="13"/>
      <c r="Z415" s="13"/>
      <c r="AA415" s="13"/>
      <c r="AB415" s="13"/>
      <c r="AC415" s="13"/>
      <c r="AD415" s="13"/>
      <c r="AE415" s="13"/>
    </row>
    <row r="416" spans="1:31" ht="21" x14ac:dyDescent="0.4">
      <c r="A416" s="210"/>
      <c r="B416" s="108">
        <v>406</v>
      </c>
      <c r="C416" s="297">
        <v>2370.0866246912178</v>
      </c>
      <c r="D416" s="297">
        <v>3197.6285289686434</v>
      </c>
      <c r="E416" s="297">
        <v>19.906620413057055</v>
      </c>
      <c r="F416" s="297">
        <v>14.899328357636</v>
      </c>
      <c r="G416" s="322">
        <v>-827.5419042774256</v>
      </c>
      <c r="H416" s="322">
        <v>5.0072920554210558</v>
      </c>
      <c r="I416" s="322">
        <v>-165.26735311584272</v>
      </c>
      <c r="K416" s="223">
        <f t="shared" si="27"/>
        <v>1192027.1381587321</v>
      </c>
      <c r="L416" s="223">
        <f t="shared" si="27"/>
        <v>890762.07292919129</v>
      </c>
      <c r="M416" s="114">
        <f t="shared" si="28"/>
        <v>1</v>
      </c>
      <c r="N416" s="114">
        <f t="shared" si="29"/>
        <v>0</v>
      </c>
      <c r="Q416" s="320">
        <f t="shared" si="30"/>
        <v>40500</v>
      </c>
      <c r="R416" s="101">
        <v>1</v>
      </c>
      <c r="S416" s="101">
        <v>0</v>
      </c>
      <c r="T416" s="12"/>
      <c r="U416" s="210"/>
      <c r="V416" s="13"/>
      <c r="W416" s="13"/>
      <c r="X416" s="13"/>
      <c r="Y416" s="13"/>
      <c r="Z416" s="13"/>
      <c r="AA416" s="13"/>
      <c r="AB416" s="13"/>
      <c r="AC416" s="13"/>
      <c r="AD416" s="13"/>
      <c r="AE416" s="13"/>
    </row>
    <row r="417" spans="1:31" ht="21" x14ac:dyDescent="0.4">
      <c r="A417" s="210"/>
      <c r="B417" s="108">
        <v>407</v>
      </c>
      <c r="C417" s="297">
        <v>1838.4353651601034</v>
      </c>
      <c r="D417" s="297">
        <v>2720.1919756911693</v>
      </c>
      <c r="E417" s="297">
        <v>19.691636479700101</v>
      </c>
      <c r="F417" s="297">
        <v>14.686827305933365</v>
      </c>
      <c r="G417" s="322">
        <v>-881.75661053106592</v>
      </c>
      <c r="H417" s="322">
        <v>5.004809173766736</v>
      </c>
      <c r="I417" s="322">
        <v>-176.1818642662524</v>
      </c>
      <c r="K417" s="223">
        <f t="shared" si="27"/>
        <v>1179659.753416846</v>
      </c>
      <c r="L417" s="223">
        <f t="shared" si="27"/>
        <v>878489.44638031081</v>
      </c>
      <c r="M417" s="114">
        <f t="shared" si="28"/>
        <v>1</v>
      </c>
      <c r="N417" s="114">
        <f t="shared" si="29"/>
        <v>0</v>
      </c>
      <c r="Q417" s="320">
        <f t="shared" si="30"/>
        <v>40600</v>
      </c>
      <c r="R417" s="101">
        <v>1</v>
      </c>
      <c r="S417" s="101">
        <v>0</v>
      </c>
      <c r="T417" s="12"/>
      <c r="U417" s="210"/>
      <c r="V417" s="13"/>
      <c r="W417" s="13"/>
      <c r="X417" s="13"/>
      <c r="Y417" s="13"/>
      <c r="Z417" s="13"/>
      <c r="AA417" s="13"/>
      <c r="AB417" s="13"/>
      <c r="AC417" s="13"/>
      <c r="AD417" s="13"/>
      <c r="AE417" s="13"/>
    </row>
    <row r="418" spans="1:31" ht="21" x14ac:dyDescent="0.4">
      <c r="A418" s="210"/>
      <c r="B418" s="108">
        <v>408</v>
      </c>
      <c r="C418" s="297">
        <v>2261.8872118172549</v>
      </c>
      <c r="D418" s="297">
        <v>3620.0482662901545</v>
      </c>
      <c r="E418" s="297">
        <v>20.142781258645261</v>
      </c>
      <c r="F418" s="297">
        <v>14.393049936556654</v>
      </c>
      <c r="G418" s="322">
        <v>-1358.1610544728997</v>
      </c>
      <c r="H418" s="322">
        <v>5.749731322088607</v>
      </c>
      <c r="I418" s="322">
        <v>-236.21295994393415</v>
      </c>
      <c r="K418" s="223">
        <f t="shared" si="27"/>
        <v>1206304.9883068984</v>
      </c>
      <c r="L418" s="223">
        <f t="shared" si="27"/>
        <v>859962.94792710908</v>
      </c>
      <c r="M418" s="114">
        <f t="shared" si="28"/>
        <v>1</v>
      </c>
      <c r="N418" s="114">
        <f t="shared" si="29"/>
        <v>0</v>
      </c>
      <c r="Q418" s="320">
        <f t="shared" si="30"/>
        <v>40700</v>
      </c>
      <c r="R418" s="101">
        <v>1</v>
      </c>
      <c r="S418" s="101">
        <v>0</v>
      </c>
      <c r="T418" s="12"/>
      <c r="U418" s="210"/>
      <c r="V418" s="13"/>
      <c r="W418" s="13"/>
      <c r="X418" s="13"/>
      <c r="Y418" s="13"/>
      <c r="Z418" s="13"/>
      <c r="AA418" s="13"/>
      <c r="AB418" s="13"/>
      <c r="AC418" s="13"/>
      <c r="AD418" s="13"/>
      <c r="AE418" s="13"/>
    </row>
    <row r="419" spans="1:31" ht="21" x14ac:dyDescent="0.4">
      <c r="A419" s="210"/>
      <c r="B419" s="108">
        <v>409</v>
      </c>
      <c r="C419" s="297">
        <v>2362.586709345012</v>
      </c>
      <c r="D419" s="297">
        <v>3615.4269598373467</v>
      </c>
      <c r="E419" s="297">
        <v>19.424461579695095</v>
      </c>
      <c r="F419" s="297">
        <v>14.143125459729211</v>
      </c>
      <c r="G419" s="322">
        <v>-1252.8402504923347</v>
      </c>
      <c r="H419" s="322">
        <v>5.2813361199658839</v>
      </c>
      <c r="I419" s="322">
        <v>-237.22032115244878</v>
      </c>
      <c r="K419" s="223">
        <f t="shared" si="27"/>
        <v>1163105.1080723607</v>
      </c>
      <c r="L419" s="223">
        <f t="shared" si="27"/>
        <v>844972.10062391532</v>
      </c>
      <c r="M419" s="114">
        <f t="shared" si="28"/>
        <v>1</v>
      </c>
      <c r="N419" s="114">
        <f t="shared" si="29"/>
        <v>0</v>
      </c>
      <c r="Q419" s="320">
        <f t="shared" si="30"/>
        <v>40800</v>
      </c>
      <c r="R419" s="101">
        <v>1</v>
      </c>
      <c r="S419" s="101">
        <v>0</v>
      </c>
      <c r="T419" s="12"/>
      <c r="U419" s="210"/>
      <c r="V419" s="13"/>
      <c r="W419" s="13"/>
      <c r="X419" s="13"/>
      <c r="Y419" s="13"/>
      <c r="Z419" s="13"/>
      <c r="AA419" s="13"/>
      <c r="AB419" s="13"/>
      <c r="AC419" s="13"/>
      <c r="AD419" s="13"/>
      <c r="AE419" s="13"/>
    </row>
    <row r="420" spans="1:31" ht="21" x14ac:dyDescent="0.4">
      <c r="A420" s="210"/>
      <c r="B420" s="108">
        <v>410</v>
      </c>
      <c r="C420" s="297">
        <v>2161.197988336653</v>
      </c>
      <c r="D420" s="297">
        <v>3140.210102587419</v>
      </c>
      <c r="E420" s="297">
        <v>18.812919289293642</v>
      </c>
      <c r="F420" s="297">
        <v>12.903418745417451</v>
      </c>
      <c r="G420" s="322">
        <v>-979.01211425076599</v>
      </c>
      <c r="H420" s="322">
        <v>5.9095005438761916</v>
      </c>
      <c r="I420" s="322">
        <v>-165.66748864509066</v>
      </c>
      <c r="K420" s="223">
        <f t="shared" si="27"/>
        <v>1126613.9593692818</v>
      </c>
      <c r="L420" s="223">
        <f t="shared" si="27"/>
        <v>771064.91462245956</v>
      </c>
      <c r="M420" s="114">
        <f t="shared" si="28"/>
        <v>1</v>
      </c>
      <c r="N420" s="114">
        <f t="shared" si="29"/>
        <v>0</v>
      </c>
      <c r="Q420" s="320">
        <f t="shared" si="30"/>
        <v>40900</v>
      </c>
      <c r="R420" s="101">
        <v>1</v>
      </c>
      <c r="S420" s="101">
        <v>0</v>
      </c>
      <c r="T420" s="12"/>
      <c r="U420" s="210"/>
      <c r="V420" s="13"/>
      <c r="W420" s="13"/>
      <c r="X420" s="13"/>
      <c r="Y420" s="13"/>
      <c r="Z420" s="13"/>
      <c r="AA420" s="13"/>
      <c r="AB420" s="13"/>
      <c r="AC420" s="13"/>
      <c r="AD420" s="13"/>
      <c r="AE420" s="13"/>
    </row>
    <row r="421" spans="1:31" ht="21" x14ac:dyDescent="0.4">
      <c r="A421" s="210"/>
      <c r="B421" s="108">
        <v>411</v>
      </c>
      <c r="C421" s="297">
        <v>2281.8319560239852</v>
      </c>
      <c r="D421" s="297">
        <v>3722.9799612458419</v>
      </c>
      <c r="E421" s="297">
        <v>17.292842311716903</v>
      </c>
      <c r="F421" s="297">
        <v>11.509636547580124</v>
      </c>
      <c r="G421" s="322">
        <v>-1441.1480052218567</v>
      </c>
      <c r="H421" s="322">
        <v>5.7832057641367793</v>
      </c>
      <c r="I421" s="322">
        <v>-249.19535358032817</v>
      </c>
      <c r="K421" s="223">
        <f t="shared" si="27"/>
        <v>1035288.7067469902</v>
      </c>
      <c r="L421" s="223">
        <f t="shared" si="27"/>
        <v>686855.21289356169</v>
      </c>
      <c r="M421" s="114">
        <f t="shared" si="28"/>
        <v>1</v>
      </c>
      <c r="N421" s="114">
        <f t="shared" si="29"/>
        <v>0</v>
      </c>
      <c r="Q421" s="320">
        <f t="shared" si="30"/>
        <v>41000</v>
      </c>
      <c r="R421" s="101">
        <v>1</v>
      </c>
      <c r="S421" s="101">
        <v>0</v>
      </c>
      <c r="T421" s="12"/>
      <c r="U421" s="210"/>
      <c r="V421" s="13"/>
      <c r="W421" s="13"/>
      <c r="X421" s="13"/>
      <c r="Y421" s="13"/>
      <c r="Z421" s="13"/>
      <c r="AA421" s="13"/>
      <c r="AB421" s="13"/>
      <c r="AC421" s="13"/>
      <c r="AD421" s="13"/>
      <c r="AE421" s="13"/>
    </row>
    <row r="422" spans="1:31" ht="21" x14ac:dyDescent="0.4">
      <c r="A422" s="210"/>
      <c r="B422" s="108">
        <v>412</v>
      </c>
      <c r="C422" s="297">
        <v>1932.3983085122259</v>
      </c>
      <c r="D422" s="297">
        <v>2719.0463876598219</v>
      </c>
      <c r="E422" s="297">
        <v>17.954869047235334</v>
      </c>
      <c r="F422" s="297">
        <v>12.555040793505311</v>
      </c>
      <c r="G422" s="322">
        <v>-786.64807914759604</v>
      </c>
      <c r="H422" s="322">
        <v>5.3998282537300231</v>
      </c>
      <c r="I422" s="322">
        <v>-145.68020355169733</v>
      </c>
      <c r="K422" s="223">
        <f t="shared" si="27"/>
        <v>1075359.7445256077</v>
      </c>
      <c r="L422" s="223">
        <f t="shared" si="27"/>
        <v>750583.40122265881</v>
      </c>
      <c r="M422" s="114">
        <f t="shared" si="28"/>
        <v>1</v>
      </c>
      <c r="N422" s="114">
        <f t="shared" si="29"/>
        <v>0</v>
      </c>
      <c r="Q422" s="320">
        <f t="shared" si="30"/>
        <v>41100</v>
      </c>
      <c r="R422" s="101">
        <v>1</v>
      </c>
      <c r="S422" s="101">
        <v>0</v>
      </c>
      <c r="T422" s="12"/>
      <c r="U422" s="210"/>
      <c r="V422" s="13"/>
      <c r="W422" s="13"/>
      <c r="X422" s="13"/>
      <c r="Y422" s="13"/>
      <c r="Z422" s="13"/>
      <c r="AA422" s="13"/>
      <c r="AB422" s="13"/>
      <c r="AC422" s="13"/>
      <c r="AD422" s="13"/>
      <c r="AE422" s="13"/>
    </row>
    <row r="423" spans="1:31" ht="21" x14ac:dyDescent="0.4">
      <c r="A423" s="210"/>
      <c r="B423" s="108">
        <v>413</v>
      </c>
      <c r="C423" s="297">
        <v>2011.828513341695</v>
      </c>
      <c r="D423" s="297">
        <v>2937.2143475343205</v>
      </c>
      <c r="E423" s="297">
        <v>19.915417776979194</v>
      </c>
      <c r="F423" s="297">
        <v>13.916445706841689</v>
      </c>
      <c r="G423" s="322">
        <v>-925.38583419262545</v>
      </c>
      <c r="H423" s="322">
        <v>5.9989720701375049</v>
      </c>
      <c r="I423" s="322">
        <v>-154.25739999676549</v>
      </c>
      <c r="K423" s="223">
        <f t="shared" si="27"/>
        <v>1192913.2381054098</v>
      </c>
      <c r="L423" s="223">
        <f t="shared" si="27"/>
        <v>832049.528062967</v>
      </c>
      <c r="M423" s="114">
        <f t="shared" si="28"/>
        <v>1</v>
      </c>
      <c r="N423" s="114">
        <f t="shared" si="29"/>
        <v>0</v>
      </c>
      <c r="Q423" s="320">
        <f t="shared" si="30"/>
        <v>41200</v>
      </c>
      <c r="R423" s="101">
        <v>1</v>
      </c>
      <c r="S423" s="101">
        <v>0</v>
      </c>
      <c r="T423" s="12"/>
      <c r="U423" s="210"/>
      <c r="V423" s="13"/>
      <c r="W423" s="13"/>
      <c r="X423" s="13"/>
      <c r="Y423" s="13"/>
      <c r="Z423" s="13"/>
      <c r="AA423" s="13"/>
      <c r="AB423" s="13"/>
      <c r="AC423" s="13"/>
      <c r="AD423" s="13"/>
      <c r="AE423" s="13"/>
    </row>
    <row r="424" spans="1:31" ht="21" x14ac:dyDescent="0.4">
      <c r="A424" s="210"/>
      <c r="B424" s="108">
        <v>414</v>
      </c>
      <c r="C424" s="297">
        <v>1750.6235944107509</v>
      </c>
      <c r="D424" s="297">
        <v>2891.164870778427</v>
      </c>
      <c r="E424" s="297">
        <v>19.980383005807667</v>
      </c>
      <c r="F424" s="297">
        <v>14.762295282281448</v>
      </c>
      <c r="G424" s="322">
        <v>-1140.5412763676761</v>
      </c>
      <c r="H424" s="322">
        <v>5.2180877235262191</v>
      </c>
      <c r="I424" s="322">
        <v>-218.57456922876995</v>
      </c>
      <c r="K424" s="223">
        <f t="shared" si="27"/>
        <v>1197072.3567540492</v>
      </c>
      <c r="L424" s="223">
        <f t="shared" si="27"/>
        <v>882846.55206610844</v>
      </c>
      <c r="M424" s="114">
        <f t="shared" si="28"/>
        <v>1</v>
      </c>
      <c r="N424" s="114">
        <f t="shared" si="29"/>
        <v>0</v>
      </c>
      <c r="Q424" s="320">
        <f t="shared" si="30"/>
        <v>41300</v>
      </c>
      <c r="R424" s="101">
        <v>1</v>
      </c>
      <c r="S424" s="101">
        <v>0</v>
      </c>
      <c r="T424" s="12"/>
      <c r="U424" s="210"/>
      <c r="V424" s="13"/>
      <c r="W424" s="13"/>
      <c r="X424" s="13"/>
      <c r="Y424" s="13"/>
      <c r="Z424" s="13"/>
      <c r="AA424" s="13"/>
      <c r="AB424" s="13"/>
      <c r="AC424" s="13"/>
      <c r="AD424" s="13"/>
      <c r="AE424" s="13"/>
    </row>
    <row r="425" spans="1:31" ht="21" x14ac:dyDescent="0.4">
      <c r="A425" s="210"/>
      <c r="B425" s="108">
        <v>415</v>
      </c>
      <c r="C425" s="297">
        <v>2296.7139537031371</v>
      </c>
      <c r="D425" s="297">
        <v>3321.7163986429136</v>
      </c>
      <c r="E425" s="297">
        <v>17.283602530930157</v>
      </c>
      <c r="F425" s="297">
        <v>12.819503576404328</v>
      </c>
      <c r="G425" s="322">
        <v>-1025.0024449397765</v>
      </c>
      <c r="H425" s="322">
        <v>4.4640989545258289</v>
      </c>
      <c r="I425" s="322">
        <v>-229.61015322041646</v>
      </c>
      <c r="K425" s="223">
        <f t="shared" si="27"/>
        <v>1034719.4379021062</v>
      </c>
      <c r="L425" s="223">
        <f t="shared" si="27"/>
        <v>765848.4981856168</v>
      </c>
      <c r="M425" s="114">
        <f t="shared" si="28"/>
        <v>1</v>
      </c>
      <c r="N425" s="114">
        <f t="shared" si="29"/>
        <v>0</v>
      </c>
      <c r="Q425" s="320">
        <f t="shared" si="30"/>
        <v>41400</v>
      </c>
      <c r="R425" s="101">
        <v>1</v>
      </c>
      <c r="S425" s="101">
        <v>0</v>
      </c>
      <c r="T425" s="12"/>
      <c r="U425" s="210"/>
      <c r="V425" s="13"/>
      <c r="W425" s="13"/>
      <c r="X425" s="13"/>
      <c r="Y425" s="13"/>
      <c r="Z425" s="13"/>
      <c r="AA425" s="13"/>
      <c r="AB425" s="13"/>
      <c r="AC425" s="13"/>
      <c r="AD425" s="13"/>
      <c r="AE425" s="13"/>
    </row>
    <row r="426" spans="1:31" ht="21" x14ac:dyDescent="0.4">
      <c r="A426" s="210"/>
      <c r="B426" s="108">
        <v>416</v>
      </c>
      <c r="C426" s="297">
        <v>2078.6989969208103</v>
      </c>
      <c r="D426" s="297">
        <v>3223.0858758239965</v>
      </c>
      <c r="E426" s="297">
        <v>17.368774668159382</v>
      </c>
      <c r="F426" s="297">
        <v>11.229425596579256</v>
      </c>
      <c r="G426" s="322">
        <v>-1144.3868789031862</v>
      </c>
      <c r="H426" s="322">
        <v>6.139349071580126</v>
      </c>
      <c r="I426" s="322">
        <v>-186.40198912954915</v>
      </c>
      <c r="K426" s="223">
        <f t="shared" si="27"/>
        <v>1040047.7810926421</v>
      </c>
      <c r="L426" s="223">
        <f t="shared" si="27"/>
        <v>670542.44991893135</v>
      </c>
      <c r="M426" s="114">
        <f t="shared" si="28"/>
        <v>1</v>
      </c>
      <c r="N426" s="114">
        <f t="shared" si="29"/>
        <v>0</v>
      </c>
      <c r="Q426" s="320">
        <f t="shared" si="30"/>
        <v>41500</v>
      </c>
      <c r="R426" s="101">
        <v>1</v>
      </c>
      <c r="S426" s="101">
        <v>0</v>
      </c>
      <c r="T426" s="12"/>
      <c r="U426" s="210"/>
      <c r="V426" s="13"/>
      <c r="W426" s="13"/>
      <c r="X426" s="13"/>
      <c r="Y426" s="13"/>
      <c r="Z426" s="13"/>
      <c r="AA426" s="13"/>
      <c r="AB426" s="13"/>
      <c r="AC426" s="13"/>
      <c r="AD426" s="13"/>
      <c r="AE426" s="13"/>
    </row>
    <row r="427" spans="1:31" ht="21" x14ac:dyDescent="0.4">
      <c r="A427" s="210"/>
      <c r="B427" s="108">
        <v>417</v>
      </c>
      <c r="C427" s="297">
        <v>1868.5011696671461</v>
      </c>
      <c r="D427" s="297">
        <v>3229.7812263222568</v>
      </c>
      <c r="E427" s="297">
        <v>18.967063981527254</v>
      </c>
      <c r="F427" s="297">
        <v>13.36970502947049</v>
      </c>
      <c r="G427" s="322">
        <v>-1361.2800566551107</v>
      </c>
      <c r="H427" s="322">
        <v>5.5973589520567639</v>
      </c>
      <c r="I427" s="322">
        <v>-243.20042154075267</v>
      </c>
      <c r="K427" s="223">
        <f t="shared" si="27"/>
        <v>1136155.3377219681</v>
      </c>
      <c r="L427" s="223">
        <f t="shared" si="27"/>
        <v>798952.52054190706</v>
      </c>
      <c r="M427" s="114">
        <f t="shared" si="28"/>
        <v>1</v>
      </c>
      <c r="N427" s="114">
        <f t="shared" si="29"/>
        <v>0</v>
      </c>
      <c r="Q427" s="320">
        <f t="shared" si="30"/>
        <v>41600</v>
      </c>
      <c r="R427" s="101">
        <v>1</v>
      </c>
      <c r="S427" s="101">
        <v>0</v>
      </c>
      <c r="T427" s="12"/>
      <c r="U427" s="210"/>
      <c r="V427" s="13"/>
      <c r="W427" s="13"/>
      <c r="X427" s="13"/>
      <c r="Y427" s="13"/>
      <c r="Z427" s="13"/>
      <c r="AA427" s="13"/>
      <c r="AB427" s="13"/>
      <c r="AC427" s="13"/>
      <c r="AD427" s="13"/>
      <c r="AE427" s="13"/>
    </row>
    <row r="428" spans="1:31" ht="21" x14ac:dyDescent="0.4">
      <c r="A428" s="210"/>
      <c r="B428" s="108">
        <v>418</v>
      </c>
      <c r="C428" s="297">
        <v>1945.7038192115183</v>
      </c>
      <c r="D428" s="297">
        <v>3370.8222168665397</v>
      </c>
      <c r="E428" s="297">
        <v>19.569780077393403</v>
      </c>
      <c r="F428" s="297">
        <v>14.065418807313337</v>
      </c>
      <c r="G428" s="322">
        <v>-1425.1183976550215</v>
      </c>
      <c r="H428" s="322">
        <v>5.5043612700800661</v>
      </c>
      <c r="I428" s="322">
        <v>-258.90713340374401</v>
      </c>
      <c r="K428" s="223">
        <f t="shared" si="27"/>
        <v>1172241.1008243926</v>
      </c>
      <c r="L428" s="223">
        <f t="shared" si="27"/>
        <v>840554.30622193369</v>
      </c>
      <c r="M428" s="114">
        <f t="shared" si="28"/>
        <v>1</v>
      </c>
      <c r="N428" s="114">
        <f t="shared" si="29"/>
        <v>0</v>
      </c>
      <c r="Q428" s="320">
        <f t="shared" si="30"/>
        <v>41700</v>
      </c>
      <c r="R428" s="101">
        <v>1</v>
      </c>
      <c r="S428" s="101">
        <v>0</v>
      </c>
      <c r="T428" s="12"/>
      <c r="U428" s="210"/>
      <c r="V428" s="13"/>
      <c r="W428" s="13"/>
      <c r="X428" s="13"/>
      <c r="Y428" s="13"/>
      <c r="Z428" s="13"/>
      <c r="AA428" s="13"/>
      <c r="AB428" s="13"/>
      <c r="AC428" s="13"/>
      <c r="AD428" s="13"/>
      <c r="AE428" s="13"/>
    </row>
    <row r="429" spans="1:31" ht="21" x14ac:dyDescent="0.4">
      <c r="A429" s="210"/>
      <c r="B429" s="108">
        <v>419</v>
      </c>
      <c r="C429" s="297">
        <v>1828.1489650329388</v>
      </c>
      <c r="D429" s="297">
        <v>3460.8840039656243</v>
      </c>
      <c r="E429" s="297">
        <v>20.179317993452859</v>
      </c>
      <c r="F429" s="297">
        <v>14.680368619150967</v>
      </c>
      <c r="G429" s="322">
        <v>-1632.7350389326855</v>
      </c>
      <c r="H429" s="322">
        <v>5.4989493743018922</v>
      </c>
      <c r="I429" s="322">
        <v>-296.91763422353131</v>
      </c>
      <c r="K429" s="223">
        <f t="shared" si="27"/>
        <v>1208930.9306421385</v>
      </c>
      <c r="L429" s="223">
        <f t="shared" si="27"/>
        <v>877361.23314509238</v>
      </c>
      <c r="M429" s="114">
        <f t="shared" si="28"/>
        <v>1</v>
      </c>
      <c r="N429" s="114">
        <f t="shared" si="29"/>
        <v>0</v>
      </c>
      <c r="Q429" s="320">
        <f t="shared" si="30"/>
        <v>41800</v>
      </c>
      <c r="R429" s="101">
        <v>1</v>
      </c>
      <c r="S429" s="101">
        <v>0</v>
      </c>
      <c r="T429" s="12"/>
      <c r="U429" s="210"/>
      <c r="V429" s="13"/>
      <c r="W429" s="13"/>
      <c r="X429" s="13"/>
      <c r="Y429" s="13"/>
      <c r="Z429" s="13"/>
      <c r="AA429" s="13"/>
      <c r="AB429" s="13"/>
      <c r="AC429" s="13"/>
      <c r="AD429" s="13"/>
      <c r="AE429" s="13"/>
    </row>
    <row r="430" spans="1:31" ht="21" x14ac:dyDescent="0.4">
      <c r="A430" s="210"/>
      <c r="B430" s="108">
        <v>420</v>
      </c>
      <c r="C430" s="297">
        <v>2117.0214991263424</v>
      </c>
      <c r="D430" s="297">
        <v>3133.6628651514679</v>
      </c>
      <c r="E430" s="297">
        <v>18.510041041555869</v>
      </c>
      <c r="F430" s="297">
        <v>12.94070358632074</v>
      </c>
      <c r="G430" s="322">
        <v>-1016.6413660251255</v>
      </c>
      <c r="H430" s="322">
        <v>5.5693374552351287</v>
      </c>
      <c r="I430" s="322">
        <v>-182.5426047885627</v>
      </c>
      <c r="K430" s="223">
        <f t="shared" si="27"/>
        <v>1108485.4409942257</v>
      </c>
      <c r="L430" s="223">
        <f t="shared" si="27"/>
        <v>773308.55231409299</v>
      </c>
      <c r="M430" s="114">
        <f t="shared" si="28"/>
        <v>1</v>
      </c>
      <c r="N430" s="114">
        <f t="shared" si="29"/>
        <v>0</v>
      </c>
      <c r="Q430" s="320">
        <f t="shared" si="30"/>
        <v>41900</v>
      </c>
      <c r="R430" s="101">
        <v>1</v>
      </c>
      <c r="S430" s="101">
        <v>0</v>
      </c>
      <c r="T430" s="12"/>
      <c r="U430" s="210"/>
      <c r="V430" s="13"/>
      <c r="W430" s="13"/>
      <c r="X430" s="13"/>
      <c r="Y430" s="13"/>
      <c r="Z430" s="13"/>
      <c r="AA430" s="13"/>
      <c r="AB430" s="13"/>
      <c r="AC430" s="13"/>
      <c r="AD430" s="13"/>
      <c r="AE430" s="13"/>
    </row>
    <row r="431" spans="1:31" ht="21" x14ac:dyDescent="0.4">
      <c r="A431" s="210"/>
      <c r="B431" s="108">
        <v>421</v>
      </c>
      <c r="C431" s="297">
        <v>2119.631022717409</v>
      </c>
      <c r="D431" s="297">
        <v>2944.7952424148143</v>
      </c>
      <c r="E431" s="297">
        <v>17.899649686647464</v>
      </c>
      <c r="F431" s="297">
        <v>14.166808885025654</v>
      </c>
      <c r="G431" s="322">
        <v>-825.16421969740531</v>
      </c>
      <c r="H431" s="322">
        <v>3.7328408016218102</v>
      </c>
      <c r="I431" s="322">
        <v>-221.05529368916444</v>
      </c>
      <c r="K431" s="223">
        <f t="shared" si="27"/>
        <v>1071859.3501761304</v>
      </c>
      <c r="L431" s="223">
        <f t="shared" si="27"/>
        <v>847063.73785912443</v>
      </c>
      <c r="M431" s="114">
        <f t="shared" si="28"/>
        <v>1</v>
      </c>
      <c r="N431" s="114">
        <f t="shared" si="29"/>
        <v>0</v>
      </c>
      <c r="Q431" s="320">
        <f t="shared" si="30"/>
        <v>42000</v>
      </c>
      <c r="R431" s="101">
        <v>1</v>
      </c>
      <c r="S431" s="101">
        <v>0</v>
      </c>
      <c r="T431" s="12"/>
      <c r="U431" s="210"/>
      <c r="V431" s="13"/>
      <c r="W431" s="13"/>
      <c r="X431" s="13"/>
      <c r="Y431" s="13"/>
      <c r="Z431" s="13"/>
      <c r="AA431" s="13"/>
      <c r="AB431" s="13"/>
      <c r="AC431" s="13"/>
      <c r="AD431" s="13"/>
      <c r="AE431" s="13"/>
    </row>
    <row r="432" spans="1:31" ht="21" x14ac:dyDescent="0.4">
      <c r="A432" s="210"/>
      <c r="B432" s="108">
        <v>422</v>
      </c>
      <c r="C432" s="297">
        <v>2199.4102597477304</v>
      </c>
      <c r="D432" s="297">
        <v>3202.6762363444541</v>
      </c>
      <c r="E432" s="297">
        <v>18.870172823918431</v>
      </c>
      <c r="F432" s="297">
        <v>13.971931191797369</v>
      </c>
      <c r="G432" s="322">
        <v>-1003.2659765967237</v>
      </c>
      <c r="H432" s="322">
        <v>4.8982416321210618</v>
      </c>
      <c r="I432" s="322">
        <v>-204.82165886175042</v>
      </c>
      <c r="K432" s="223">
        <f t="shared" si="27"/>
        <v>1130010.9591753583</v>
      </c>
      <c r="L432" s="223">
        <f t="shared" si="27"/>
        <v>835113.19527149759</v>
      </c>
      <c r="M432" s="114">
        <f t="shared" si="28"/>
        <v>1</v>
      </c>
      <c r="N432" s="114">
        <f t="shared" si="29"/>
        <v>0</v>
      </c>
      <c r="Q432" s="320">
        <f t="shared" si="30"/>
        <v>42100</v>
      </c>
      <c r="R432" s="101">
        <v>1</v>
      </c>
      <c r="S432" s="101">
        <v>0</v>
      </c>
      <c r="T432" s="12"/>
      <c r="U432" s="210"/>
      <c r="V432" s="13"/>
      <c r="W432" s="13"/>
      <c r="X432" s="13"/>
      <c r="Y432" s="13"/>
      <c r="Z432" s="13"/>
      <c r="AA432" s="13"/>
      <c r="AB432" s="13"/>
      <c r="AC432" s="13"/>
      <c r="AD432" s="13"/>
      <c r="AE432" s="13"/>
    </row>
    <row r="433" spans="1:31" ht="21" x14ac:dyDescent="0.4">
      <c r="A433" s="210"/>
      <c r="B433" s="108">
        <v>423</v>
      </c>
      <c r="C433" s="297">
        <v>1831.1076993988704</v>
      </c>
      <c r="D433" s="297">
        <v>2699.1560982504107</v>
      </c>
      <c r="E433" s="297">
        <v>17.190912005969601</v>
      </c>
      <c r="F433" s="297">
        <v>12.783182065631385</v>
      </c>
      <c r="G433" s="322">
        <v>-868.04839885154024</v>
      </c>
      <c r="H433" s="322">
        <v>4.407729940338216</v>
      </c>
      <c r="I433" s="322">
        <v>-196.93774586946057</v>
      </c>
      <c r="K433" s="223">
        <f t="shared" si="27"/>
        <v>1029623.6126587772</v>
      </c>
      <c r="L433" s="223">
        <f t="shared" si="27"/>
        <v>764291.7678396327</v>
      </c>
      <c r="M433" s="114">
        <f t="shared" si="28"/>
        <v>1</v>
      </c>
      <c r="N433" s="114">
        <f t="shared" si="29"/>
        <v>0</v>
      </c>
      <c r="Q433" s="320">
        <f t="shared" si="30"/>
        <v>42200</v>
      </c>
      <c r="R433" s="101">
        <v>1</v>
      </c>
      <c r="S433" s="101">
        <v>0</v>
      </c>
      <c r="T433" s="12"/>
      <c r="U433" s="210"/>
      <c r="V433" s="13"/>
      <c r="W433" s="13"/>
      <c r="X433" s="13"/>
      <c r="Y433" s="13"/>
      <c r="Z433" s="13"/>
      <c r="AA433" s="13"/>
      <c r="AB433" s="13"/>
      <c r="AC433" s="13"/>
      <c r="AD433" s="13"/>
      <c r="AE433" s="13"/>
    </row>
    <row r="434" spans="1:31" ht="21" x14ac:dyDescent="0.4">
      <c r="A434" s="210"/>
      <c r="B434" s="108">
        <v>424</v>
      </c>
      <c r="C434" s="297">
        <v>1872.5050535692462</v>
      </c>
      <c r="D434" s="297">
        <v>2742.6989374813174</v>
      </c>
      <c r="E434" s="297">
        <v>19.405367604023819</v>
      </c>
      <c r="F434" s="297">
        <v>14.596143461774551</v>
      </c>
      <c r="G434" s="322">
        <v>-870.19388391207121</v>
      </c>
      <c r="H434" s="322">
        <v>4.8092241422492688</v>
      </c>
      <c r="I434" s="322">
        <v>-180.94267561109817</v>
      </c>
      <c r="K434" s="223">
        <f t="shared" si="27"/>
        <v>1162449.5511878598</v>
      </c>
      <c r="L434" s="223">
        <f t="shared" si="27"/>
        <v>873025.90876899182</v>
      </c>
      <c r="M434" s="114">
        <f t="shared" si="28"/>
        <v>1</v>
      </c>
      <c r="N434" s="114">
        <f t="shared" si="29"/>
        <v>0</v>
      </c>
      <c r="Q434" s="320">
        <f t="shared" si="30"/>
        <v>42300</v>
      </c>
      <c r="R434" s="101">
        <v>1</v>
      </c>
      <c r="S434" s="101">
        <v>0</v>
      </c>
      <c r="T434" s="12"/>
      <c r="U434" s="210"/>
      <c r="V434" s="13"/>
      <c r="W434" s="13"/>
      <c r="X434" s="13"/>
      <c r="Y434" s="13"/>
      <c r="Z434" s="13"/>
      <c r="AA434" s="13"/>
      <c r="AB434" s="13"/>
      <c r="AC434" s="13"/>
      <c r="AD434" s="13"/>
      <c r="AE434" s="13"/>
    </row>
    <row r="435" spans="1:31" ht="21" x14ac:dyDescent="0.4">
      <c r="A435" s="210"/>
      <c r="B435" s="108">
        <v>425</v>
      </c>
      <c r="C435" s="297">
        <v>2271.9914407535907</v>
      </c>
      <c r="D435" s="297">
        <v>3021.0941500491299</v>
      </c>
      <c r="E435" s="297">
        <v>18.536091711690883</v>
      </c>
      <c r="F435" s="297">
        <v>13.03757046662899</v>
      </c>
      <c r="G435" s="322">
        <v>-749.10270929553917</v>
      </c>
      <c r="H435" s="322">
        <v>5.4985212450618928</v>
      </c>
      <c r="I435" s="322">
        <v>-136.23712192951746</v>
      </c>
      <c r="K435" s="223">
        <f t="shared" si="27"/>
        <v>1109893.5112606992</v>
      </c>
      <c r="L435" s="223">
        <f t="shared" si="27"/>
        <v>779233.1338476903</v>
      </c>
      <c r="M435" s="114">
        <f t="shared" si="28"/>
        <v>1</v>
      </c>
      <c r="N435" s="114">
        <f t="shared" si="29"/>
        <v>0</v>
      </c>
      <c r="Q435" s="320">
        <f t="shared" si="30"/>
        <v>42400</v>
      </c>
      <c r="R435" s="101">
        <v>1</v>
      </c>
      <c r="S435" s="101">
        <v>0</v>
      </c>
      <c r="T435" s="12"/>
      <c r="U435" s="210"/>
      <c r="V435" s="13"/>
      <c r="W435" s="13"/>
      <c r="X435" s="13"/>
      <c r="Y435" s="13"/>
      <c r="Z435" s="13"/>
      <c r="AA435" s="13"/>
      <c r="AB435" s="13"/>
      <c r="AC435" s="13"/>
      <c r="AD435" s="13"/>
      <c r="AE435" s="13"/>
    </row>
    <row r="436" spans="1:31" ht="21" x14ac:dyDescent="0.4">
      <c r="A436" s="210"/>
      <c r="B436" s="108">
        <v>426</v>
      </c>
      <c r="C436" s="297">
        <v>2165.1747189222233</v>
      </c>
      <c r="D436" s="297">
        <v>3339.8133311019064</v>
      </c>
      <c r="E436" s="297">
        <v>17.055476387709199</v>
      </c>
      <c r="F436" s="297">
        <v>13.341511774182955</v>
      </c>
      <c r="G436" s="322">
        <v>-1174.6386121796832</v>
      </c>
      <c r="H436" s="322">
        <v>3.7139646135262439</v>
      </c>
      <c r="I436" s="322">
        <v>-316.27619926739584</v>
      </c>
      <c r="K436" s="223">
        <f t="shared" si="27"/>
        <v>1021163.4085436297</v>
      </c>
      <c r="L436" s="223">
        <f t="shared" si="27"/>
        <v>797150.89311987534</v>
      </c>
      <c r="M436" s="114">
        <f t="shared" si="28"/>
        <v>1</v>
      </c>
      <c r="N436" s="114">
        <f t="shared" si="29"/>
        <v>0</v>
      </c>
      <c r="Q436" s="320">
        <f t="shared" si="30"/>
        <v>42500</v>
      </c>
      <c r="R436" s="101">
        <v>1</v>
      </c>
      <c r="S436" s="101">
        <v>0</v>
      </c>
      <c r="T436" s="12"/>
      <c r="U436" s="210"/>
      <c r="V436" s="13"/>
      <c r="W436" s="13"/>
      <c r="X436" s="13"/>
      <c r="Y436" s="13"/>
      <c r="Z436" s="13"/>
      <c r="AA436" s="13"/>
      <c r="AB436" s="13"/>
      <c r="AC436" s="13"/>
      <c r="AD436" s="13"/>
      <c r="AE436" s="13"/>
    </row>
    <row r="437" spans="1:31" ht="21" x14ac:dyDescent="0.4">
      <c r="A437" s="210"/>
      <c r="B437" s="108">
        <v>427</v>
      </c>
      <c r="C437" s="297">
        <v>2002.8950424113962</v>
      </c>
      <c r="D437" s="297">
        <v>2845.2324077833182</v>
      </c>
      <c r="E437" s="297">
        <v>18.810718402424566</v>
      </c>
      <c r="F437" s="297">
        <v>14.362022013975755</v>
      </c>
      <c r="G437" s="322">
        <v>-842.33736537192203</v>
      </c>
      <c r="H437" s="322">
        <v>4.4486963884488109</v>
      </c>
      <c r="I437" s="322">
        <v>-189.3447634590392</v>
      </c>
      <c r="K437" s="223">
        <f t="shared" si="27"/>
        <v>1126640.2091030627</v>
      </c>
      <c r="L437" s="223">
        <f t="shared" si="27"/>
        <v>858876.08843076206</v>
      </c>
      <c r="M437" s="114">
        <f t="shared" si="28"/>
        <v>1</v>
      </c>
      <c r="N437" s="114">
        <f t="shared" si="29"/>
        <v>0</v>
      </c>
      <c r="Q437" s="320">
        <f t="shared" si="30"/>
        <v>42600</v>
      </c>
      <c r="R437" s="101">
        <v>1</v>
      </c>
      <c r="S437" s="101">
        <v>0</v>
      </c>
      <c r="T437" s="12"/>
      <c r="U437" s="210"/>
      <c r="V437" s="13"/>
      <c r="W437" s="13"/>
      <c r="X437" s="13"/>
      <c r="Y437" s="13"/>
      <c r="Z437" s="13"/>
      <c r="AA437" s="13"/>
      <c r="AB437" s="13"/>
      <c r="AC437" s="13"/>
      <c r="AD437" s="13"/>
      <c r="AE437" s="13"/>
    </row>
    <row r="438" spans="1:31" ht="21" x14ac:dyDescent="0.4">
      <c r="A438" s="210"/>
      <c r="B438" s="108">
        <v>428</v>
      </c>
      <c r="C438" s="297">
        <v>2258.2091815269487</v>
      </c>
      <c r="D438" s="297">
        <v>3140.0165759934143</v>
      </c>
      <c r="E438" s="297">
        <v>20.748479069225098</v>
      </c>
      <c r="F438" s="297">
        <v>15.403193960314534</v>
      </c>
      <c r="G438" s="322">
        <v>-881.80739446646567</v>
      </c>
      <c r="H438" s="322">
        <v>5.3452851089105646</v>
      </c>
      <c r="I438" s="322">
        <v>-164.96919743279867</v>
      </c>
      <c r="K438" s="223">
        <f t="shared" si="27"/>
        <v>1242650.534971979</v>
      </c>
      <c r="L438" s="223">
        <f t="shared" si="27"/>
        <v>921051.6210428786</v>
      </c>
      <c r="M438" s="114">
        <f t="shared" si="28"/>
        <v>1</v>
      </c>
      <c r="N438" s="114">
        <f t="shared" si="29"/>
        <v>0</v>
      </c>
      <c r="Q438" s="320">
        <f t="shared" si="30"/>
        <v>42700</v>
      </c>
      <c r="R438" s="101">
        <v>1</v>
      </c>
      <c r="S438" s="101">
        <v>0</v>
      </c>
      <c r="T438" s="12"/>
      <c r="U438" s="210"/>
      <c r="V438" s="13"/>
      <c r="W438" s="13"/>
      <c r="X438" s="13"/>
      <c r="Y438" s="13"/>
      <c r="Z438" s="13"/>
      <c r="AA438" s="13"/>
      <c r="AB438" s="13"/>
      <c r="AC438" s="13"/>
      <c r="AD438" s="13"/>
      <c r="AE438" s="13"/>
    </row>
    <row r="439" spans="1:31" ht="21" x14ac:dyDescent="0.4">
      <c r="A439" s="210"/>
      <c r="B439" s="108">
        <v>429</v>
      </c>
      <c r="C439" s="297">
        <v>1919.6774019337495</v>
      </c>
      <c r="D439" s="297">
        <v>2696.5311145158316</v>
      </c>
      <c r="E439" s="297">
        <v>17.969431097094052</v>
      </c>
      <c r="F439" s="297">
        <v>12.93605628587626</v>
      </c>
      <c r="G439" s="322">
        <v>-776.85371258208215</v>
      </c>
      <c r="H439" s="322">
        <v>5.0333748112177918</v>
      </c>
      <c r="I439" s="322">
        <v>-154.34052533714006</v>
      </c>
      <c r="K439" s="223">
        <f t="shared" si="27"/>
        <v>1076246.1884237092</v>
      </c>
      <c r="L439" s="223">
        <f t="shared" si="27"/>
        <v>773466.8460380598</v>
      </c>
      <c r="M439" s="114">
        <f t="shared" si="28"/>
        <v>1</v>
      </c>
      <c r="N439" s="114">
        <f t="shared" si="29"/>
        <v>0</v>
      </c>
      <c r="Q439" s="320">
        <f t="shared" si="30"/>
        <v>42800</v>
      </c>
      <c r="R439" s="101">
        <v>1</v>
      </c>
      <c r="S439" s="101">
        <v>0</v>
      </c>
      <c r="T439" s="12"/>
      <c r="U439" s="210"/>
      <c r="V439" s="13"/>
      <c r="W439" s="13"/>
      <c r="X439" s="13"/>
      <c r="Y439" s="13"/>
      <c r="Z439" s="13"/>
      <c r="AA439" s="13"/>
      <c r="AB439" s="13"/>
      <c r="AC439" s="13"/>
      <c r="AD439" s="13"/>
      <c r="AE439" s="13"/>
    </row>
    <row r="440" spans="1:31" ht="21" x14ac:dyDescent="0.4">
      <c r="A440" s="210"/>
      <c r="B440" s="108">
        <v>430</v>
      </c>
      <c r="C440" s="297">
        <v>2131.3500990084135</v>
      </c>
      <c r="D440" s="297">
        <v>3029.789033612818</v>
      </c>
      <c r="E440" s="297">
        <v>19.917130119429618</v>
      </c>
      <c r="F440" s="297">
        <v>14.228766373627904</v>
      </c>
      <c r="G440" s="322">
        <v>-898.43893460440449</v>
      </c>
      <c r="H440" s="322">
        <v>5.6883637458017144</v>
      </c>
      <c r="I440" s="322">
        <v>-157.94329876803246</v>
      </c>
      <c r="K440" s="223">
        <f t="shared" si="27"/>
        <v>1192896.4570667688</v>
      </c>
      <c r="L440" s="223">
        <f t="shared" si="27"/>
        <v>850696.19338406145</v>
      </c>
      <c r="M440" s="114">
        <f t="shared" si="28"/>
        <v>1</v>
      </c>
      <c r="N440" s="114">
        <f t="shared" si="29"/>
        <v>0</v>
      </c>
      <c r="Q440" s="320">
        <f t="shared" si="30"/>
        <v>42900</v>
      </c>
      <c r="R440" s="101">
        <v>1</v>
      </c>
      <c r="S440" s="101">
        <v>0</v>
      </c>
      <c r="T440" s="12"/>
      <c r="U440" s="210"/>
      <c r="V440" s="13"/>
      <c r="W440" s="13"/>
      <c r="X440" s="13"/>
      <c r="Y440" s="13"/>
      <c r="Z440" s="13"/>
      <c r="AA440" s="13"/>
      <c r="AB440" s="13"/>
      <c r="AC440" s="13"/>
      <c r="AD440" s="13"/>
      <c r="AE440" s="13"/>
    </row>
    <row r="441" spans="1:31" ht="21" x14ac:dyDescent="0.4">
      <c r="A441" s="210"/>
      <c r="B441" s="108">
        <v>431</v>
      </c>
      <c r="C441" s="297">
        <v>2296.9693573134568</v>
      </c>
      <c r="D441" s="297">
        <v>3072.8517465027239</v>
      </c>
      <c r="E441" s="297">
        <v>20.721843872219534</v>
      </c>
      <c r="F441" s="297">
        <v>15.527765471778123</v>
      </c>
      <c r="G441" s="322">
        <v>-775.88238918926709</v>
      </c>
      <c r="H441" s="322">
        <v>5.1940784004414109</v>
      </c>
      <c r="I441" s="322">
        <v>-149.37825911971794</v>
      </c>
      <c r="K441" s="223">
        <f t="shared" si="27"/>
        <v>1241013.6629758587</v>
      </c>
      <c r="L441" s="223">
        <f t="shared" si="27"/>
        <v>928593.07656018471</v>
      </c>
      <c r="M441" s="114">
        <f t="shared" si="28"/>
        <v>1</v>
      </c>
      <c r="N441" s="114">
        <f t="shared" si="29"/>
        <v>0</v>
      </c>
      <c r="Q441" s="320">
        <f t="shared" si="30"/>
        <v>43000</v>
      </c>
      <c r="R441" s="101">
        <v>1</v>
      </c>
      <c r="S441" s="101">
        <v>0</v>
      </c>
      <c r="T441" s="12"/>
      <c r="U441" s="210"/>
      <c r="V441" s="13"/>
      <c r="W441" s="13"/>
      <c r="X441" s="13"/>
      <c r="Y441" s="13"/>
      <c r="Z441" s="13"/>
      <c r="AA441" s="13"/>
      <c r="AB441" s="13"/>
      <c r="AC441" s="13"/>
      <c r="AD441" s="13"/>
      <c r="AE441" s="13"/>
    </row>
    <row r="442" spans="1:31" ht="21" x14ac:dyDescent="0.4">
      <c r="A442" s="210"/>
      <c r="B442" s="108">
        <v>432</v>
      </c>
      <c r="C442" s="297">
        <v>1960.6631052657006</v>
      </c>
      <c r="D442" s="297">
        <v>2248.583787720243</v>
      </c>
      <c r="E442" s="297">
        <v>17.611894260896616</v>
      </c>
      <c r="F442" s="297">
        <v>11.956155683172172</v>
      </c>
      <c r="G442" s="322">
        <v>-287.92068245454243</v>
      </c>
      <c r="H442" s="322">
        <v>5.6557385777244438</v>
      </c>
      <c r="I442" s="322">
        <v>-50.90770701258009</v>
      </c>
      <c r="K442" s="223">
        <f t="shared" si="27"/>
        <v>1054752.9925485312</v>
      </c>
      <c r="L442" s="223">
        <f t="shared" si="27"/>
        <v>715120.75720261014</v>
      </c>
      <c r="M442" s="114">
        <f t="shared" si="28"/>
        <v>1</v>
      </c>
      <c r="N442" s="114">
        <f t="shared" si="29"/>
        <v>0</v>
      </c>
      <c r="Q442" s="320">
        <f t="shared" si="30"/>
        <v>43100</v>
      </c>
      <c r="R442" s="101">
        <v>1</v>
      </c>
      <c r="S442" s="101">
        <v>0</v>
      </c>
      <c r="T442" s="12"/>
      <c r="U442" s="210"/>
      <c r="V442" s="13"/>
      <c r="W442" s="13"/>
      <c r="X442" s="13"/>
      <c r="Y442" s="13"/>
      <c r="Z442" s="13"/>
      <c r="AA442" s="13"/>
      <c r="AB442" s="13"/>
      <c r="AC442" s="13"/>
      <c r="AD442" s="13"/>
      <c r="AE442" s="13"/>
    </row>
    <row r="443" spans="1:31" ht="21" x14ac:dyDescent="0.4">
      <c r="A443" s="210"/>
      <c r="B443" s="108">
        <v>433</v>
      </c>
      <c r="C443" s="297">
        <v>2215.1173430109002</v>
      </c>
      <c r="D443" s="297">
        <v>2545.2798629753815</v>
      </c>
      <c r="E443" s="297">
        <v>20.067273274342522</v>
      </c>
      <c r="F443" s="297">
        <v>14.317089284256758</v>
      </c>
      <c r="G443" s="322">
        <v>-330.16251996448136</v>
      </c>
      <c r="H443" s="322">
        <v>5.7501839900857643</v>
      </c>
      <c r="I443" s="322">
        <v>-57.417731421070052</v>
      </c>
      <c r="K443" s="223">
        <f t="shared" si="27"/>
        <v>1201821.2791175405</v>
      </c>
      <c r="L443" s="223">
        <f t="shared" si="27"/>
        <v>856480.07719243015</v>
      </c>
      <c r="M443" s="114">
        <f t="shared" si="28"/>
        <v>1</v>
      </c>
      <c r="N443" s="114">
        <f t="shared" si="29"/>
        <v>0</v>
      </c>
      <c r="Q443" s="320">
        <f t="shared" si="30"/>
        <v>43200</v>
      </c>
      <c r="R443" s="101">
        <v>1</v>
      </c>
      <c r="S443" s="101">
        <v>0</v>
      </c>
      <c r="T443" s="12"/>
      <c r="U443" s="210"/>
      <c r="V443" s="13"/>
      <c r="W443" s="13"/>
      <c r="X443" s="13"/>
      <c r="Y443" s="13"/>
      <c r="Z443" s="13"/>
      <c r="AA443" s="13"/>
      <c r="AB443" s="13"/>
      <c r="AC443" s="13"/>
      <c r="AD443" s="13"/>
      <c r="AE443" s="13"/>
    </row>
    <row r="444" spans="1:31" ht="21" x14ac:dyDescent="0.4">
      <c r="A444" s="210"/>
      <c r="B444" s="108">
        <v>434</v>
      </c>
      <c r="C444" s="297">
        <v>2153.6577014996142</v>
      </c>
      <c r="D444" s="297">
        <v>3825.6840820940079</v>
      </c>
      <c r="E444" s="297">
        <v>19.741079802252393</v>
      </c>
      <c r="F444" s="297">
        <v>14.481432023148502</v>
      </c>
      <c r="G444" s="322">
        <v>-1672.0263805943937</v>
      </c>
      <c r="H444" s="322">
        <v>5.2596477791038918</v>
      </c>
      <c r="I444" s="322">
        <v>-317.89702482306978</v>
      </c>
      <c r="K444" s="223">
        <f t="shared" si="27"/>
        <v>1182311.1304336442</v>
      </c>
      <c r="L444" s="223">
        <f t="shared" si="27"/>
        <v>865060.23730681615</v>
      </c>
      <c r="M444" s="114">
        <f t="shared" si="28"/>
        <v>1</v>
      </c>
      <c r="N444" s="114">
        <f t="shared" si="29"/>
        <v>0</v>
      </c>
      <c r="Q444" s="320">
        <f t="shared" si="30"/>
        <v>43300</v>
      </c>
      <c r="R444" s="101">
        <v>1</v>
      </c>
      <c r="S444" s="101">
        <v>0</v>
      </c>
      <c r="T444" s="12"/>
      <c r="U444" s="210"/>
      <c r="V444" s="13"/>
      <c r="W444" s="13"/>
      <c r="X444" s="13"/>
      <c r="Y444" s="13"/>
      <c r="Z444" s="13"/>
      <c r="AA444" s="13"/>
      <c r="AB444" s="13"/>
      <c r="AC444" s="13"/>
      <c r="AD444" s="13"/>
      <c r="AE444" s="13"/>
    </row>
    <row r="445" spans="1:31" ht="21" x14ac:dyDescent="0.4">
      <c r="A445" s="210"/>
      <c r="B445" s="108">
        <v>435</v>
      </c>
      <c r="C445" s="297">
        <v>1958.6745018778124</v>
      </c>
      <c r="D445" s="297">
        <v>2933.0982530537567</v>
      </c>
      <c r="E445" s="297">
        <v>18.143752347664662</v>
      </c>
      <c r="F445" s="297">
        <v>13.486308891528919</v>
      </c>
      <c r="G445" s="322">
        <v>-974.42375117594429</v>
      </c>
      <c r="H445" s="322">
        <v>4.6574434561357432</v>
      </c>
      <c r="I445" s="322">
        <v>-209.21858963037602</v>
      </c>
      <c r="K445" s="223">
        <f t="shared" si="27"/>
        <v>1086666.466358002</v>
      </c>
      <c r="L445" s="223">
        <f t="shared" si="27"/>
        <v>806245.43523868138</v>
      </c>
      <c r="M445" s="114">
        <f t="shared" si="28"/>
        <v>1</v>
      </c>
      <c r="N445" s="114">
        <f t="shared" si="29"/>
        <v>0</v>
      </c>
      <c r="Q445" s="320">
        <f t="shared" si="30"/>
        <v>43400</v>
      </c>
      <c r="R445" s="101">
        <v>1</v>
      </c>
      <c r="S445" s="101">
        <v>0</v>
      </c>
      <c r="T445" s="12"/>
      <c r="U445" s="210"/>
      <c r="V445" s="13"/>
      <c r="W445" s="13"/>
      <c r="X445" s="13"/>
      <c r="Y445" s="13"/>
      <c r="Z445" s="13"/>
      <c r="AA445" s="13"/>
      <c r="AB445" s="13"/>
      <c r="AC445" s="13"/>
      <c r="AD445" s="13"/>
      <c r="AE445" s="13"/>
    </row>
    <row r="446" spans="1:31" ht="21" x14ac:dyDescent="0.4">
      <c r="A446" s="210"/>
      <c r="B446" s="108">
        <v>436</v>
      </c>
      <c r="C446" s="297">
        <v>2093.4556908321524</v>
      </c>
      <c r="D446" s="297">
        <v>3303.3357364608478</v>
      </c>
      <c r="E446" s="297">
        <v>19.36037285606767</v>
      </c>
      <c r="F446" s="297">
        <v>14.800127548750735</v>
      </c>
      <c r="G446" s="322">
        <v>-1209.8800456286954</v>
      </c>
      <c r="H446" s="322">
        <v>4.5602453073169347</v>
      </c>
      <c r="I446" s="322">
        <v>-265.31029891910362</v>
      </c>
      <c r="K446" s="223">
        <f t="shared" si="27"/>
        <v>1159528.915673228</v>
      </c>
      <c r="L446" s="223">
        <f t="shared" si="27"/>
        <v>884704.3171885832</v>
      </c>
      <c r="M446" s="114">
        <f t="shared" si="28"/>
        <v>1</v>
      </c>
      <c r="N446" s="114">
        <f t="shared" si="29"/>
        <v>0</v>
      </c>
      <c r="Q446" s="320">
        <f t="shared" si="30"/>
        <v>43500</v>
      </c>
      <c r="R446" s="101">
        <v>1</v>
      </c>
      <c r="S446" s="101">
        <v>0</v>
      </c>
      <c r="T446" s="12"/>
      <c r="U446" s="210"/>
      <c r="V446" s="13"/>
      <c r="W446" s="13"/>
      <c r="X446" s="13"/>
      <c r="Y446" s="13"/>
      <c r="Z446" s="13"/>
      <c r="AA446" s="13"/>
      <c r="AB446" s="13"/>
      <c r="AC446" s="13"/>
      <c r="AD446" s="13"/>
      <c r="AE446" s="13"/>
    </row>
    <row r="447" spans="1:31" ht="21" x14ac:dyDescent="0.4">
      <c r="A447" s="210"/>
      <c r="B447" s="108">
        <v>437</v>
      </c>
      <c r="C447" s="297">
        <v>2013.8692130500526</v>
      </c>
      <c r="D447" s="297">
        <v>2900.6821818497515</v>
      </c>
      <c r="E447" s="297">
        <v>16.983965883500016</v>
      </c>
      <c r="F447" s="297">
        <v>12.843513787102236</v>
      </c>
      <c r="G447" s="322">
        <v>-886.81296879969887</v>
      </c>
      <c r="H447" s="322">
        <v>4.1404520963977802</v>
      </c>
      <c r="I447" s="322">
        <v>-214.18264193208074</v>
      </c>
      <c r="K447" s="223">
        <f t="shared" si="27"/>
        <v>1017024.083796951</v>
      </c>
      <c r="L447" s="223">
        <f t="shared" si="27"/>
        <v>767710.14504428441</v>
      </c>
      <c r="M447" s="114">
        <f t="shared" si="28"/>
        <v>1</v>
      </c>
      <c r="N447" s="114">
        <f t="shared" si="29"/>
        <v>0</v>
      </c>
      <c r="Q447" s="320">
        <f t="shared" si="30"/>
        <v>43600</v>
      </c>
      <c r="R447" s="101">
        <v>1</v>
      </c>
      <c r="S447" s="101">
        <v>0</v>
      </c>
      <c r="T447" s="12"/>
      <c r="U447" s="210"/>
      <c r="V447" s="13"/>
      <c r="W447" s="13"/>
      <c r="X447" s="13"/>
      <c r="Y447" s="13"/>
      <c r="Z447" s="13"/>
      <c r="AA447" s="13"/>
      <c r="AB447" s="13"/>
      <c r="AC447" s="13"/>
      <c r="AD447" s="13"/>
      <c r="AE447" s="13"/>
    </row>
    <row r="448" spans="1:31" ht="21" x14ac:dyDescent="0.4">
      <c r="A448" s="210"/>
      <c r="B448" s="108">
        <v>438</v>
      </c>
      <c r="C448" s="297">
        <v>1996.4043580459088</v>
      </c>
      <c r="D448" s="297">
        <v>2923.1882389879429</v>
      </c>
      <c r="E448" s="297">
        <v>18.625728536872291</v>
      </c>
      <c r="F448" s="297">
        <v>13.18075021672848</v>
      </c>
      <c r="G448" s="322">
        <v>-926.7838809420341</v>
      </c>
      <c r="H448" s="322">
        <v>5.4449783201438109</v>
      </c>
      <c r="I448" s="322">
        <v>-170.20892030246986</v>
      </c>
      <c r="K448" s="223">
        <f t="shared" si="27"/>
        <v>1115547.3078542915</v>
      </c>
      <c r="L448" s="223">
        <f t="shared" si="27"/>
        <v>787921.82476472086</v>
      </c>
      <c r="M448" s="114">
        <f t="shared" si="28"/>
        <v>1</v>
      </c>
      <c r="N448" s="114">
        <f t="shared" si="29"/>
        <v>0</v>
      </c>
      <c r="Q448" s="320">
        <f t="shared" si="30"/>
        <v>43700</v>
      </c>
      <c r="R448" s="101">
        <v>1</v>
      </c>
      <c r="S448" s="101">
        <v>0</v>
      </c>
      <c r="T448" s="12"/>
      <c r="U448" s="210"/>
      <c r="V448" s="13"/>
      <c r="W448" s="13"/>
      <c r="X448" s="13"/>
      <c r="Y448" s="13"/>
      <c r="Z448" s="13"/>
      <c r="AA448" s="13"/>
      <c r="AB448" s="13"/>
      <c r="AC448" s="13"/>
      <c r="AD448" s="13"/>
      <c r="AE448" s="13"/>
    </row>
    <row r="449" spans="1:31" ht="21" x14ac:dyDescent="0.4">
      <c r="A449" s="210"/>
      <c r="B449" s="108">
        <v>439</v>
      </c>
      <c r="C449" s="297">
        <v>2094.7575044880891</v>
      </c>
      <c r="D449" s="297">
        <v>2956.2247660980192</v>
      </c>
      <c r="E449" s="297">
        <v>17.720823744559237</v>
      </c>
      <c r="F449" s="297">
        <v>12.755124016719419</v>
      </c>
      <c r="G449" s="322">
        <v>-861.46726160993012</v>
      </c>
      <c r="H449" s="322">
        <v>4.9656997278398176</v>
      </c>
      <c r="I449" s="322">
        <v>-173.48355897964984</v>
      </c>
      <c r="K449" s="223">
        <f t="shared" si="27"/>
        <v>1061154.6671690661</v>
      </c>
      <c r="L449" s="223">
        <f t="shared" si="27"/>
        <v>762351.21623706713</v>
      </c>
      <c r="M449" s="114">
        <f t="shared" si="28"/>
        <v>1</v>
      </c>
      <c r="N449" s="114">
        <f t="shared" si="29"/>
        <v>0</v>
      </c>
      <c r="Q449" s="320">
        <f t="shared" si="30"/>
        <v>43800</v>
      </c>
      <c r="R449" s="101">
        <v>1</v>
      </c>
      <c r="S449" s="101">
        <v>0</v>
      </c>
      <c r="T449" s="12"/>
      <c r="U449" s="210"/>
      <c r="V449" s="13"/>
      <c r="W449" s="13"/>
      <c r="X449" s="13"/>
      <c r="Y449" s="13"/>
      <c r="Z449" s="13"/>
      <c r="AA449" s="13"/>
      <c r="AB449" s="13"/>
      <c r="AC449" s="13"/>
      <c r="AD449" s="13"/>
      <c r="AE449" s="13"/>
    </row>
    <row r="450" spans="1:31" ht="21" x14ac:dyDescent="0.4">
      <c r="A450" s="210"/>
      <c r="B450" s="108">
        <v>440</v>
      </c>
      <c r="C450" s="297">
        <v>1819.2440272189797</v>
      </c>
      <c r="D450" s="297">
        <v>3027.7714959683144</v>
      </c>
      <c r="E450" s="297">
        <v>17.358997104862055</v>
      </c>
      <c r="F450" s="297">
        <v>12.54845276274963</v>
      </c>
      <c r="G450" s="322">
        <v>-1208.5274687493347</v>
      </c>
      <c r="H450" s="322">
        <v>4.8105443421124257</v>
      </c>
      <c r="I450" s="322">
        <v>-251.22468120076434</v>
      </c>
      <c r="K450" s="223">
        <f t="shared" si="27"/>
        <v>1039720.5822645043</v>
      </c>
      <c r="L450" s="223">
        <f t="shared" si="27"/>
        <v>749879.39426900947</v>
      </c>
      <c r="M450" s="114">
        <f t="shared" si="28"/>
        <v>1</v>
      </c>
      <c r="N450" s="114">
        <f t="shared" si="29"/>
        <v>0</v>
      </c>
      <c r="Q450" s="320">
        <f t="shared" si="30"/>
        <v>43900</v>
      </c>
      <c r="R450" s="101">
        <v>1</v>
      </c>
      <c r="S450" s="101">
        <v>0</v>
      </c>
      <c r="T450" s="12"/>
      <c r="U450" s="210"/>
      <c r="V450" s="13"/>
      <c r="W450" s="13"/>
      <c r="X450" s="13"/>
      <c r="Y450" s="13"/>
      <c r="Z450" s="13"/>
      <c r="AA450" s="13"/>
      <c r="AB450" s="13"/>
      <c r="AC450" s="13"/>
      <c r="AD450" s="13"/>
      <c r="AE450" s="13"/>
    </row>
    <row r="451" spans="1:31" ht="21" x14ac:dyDescent="0.4">
      <c r="A451" s="210"/>
      <c r="B451" s="108">
        <v>441</v>
      </c>
      <c r="C451" s="297">
        <v>2073.615618736023</v>
      </c>
      <c r="D451" s="297">
        <v>2887.5259845337732</v>
      </c>
      <c r="E451" s="297">
        <v>20.553738161591937</v>
      </c>
      <c r="F451" s="297">
        <v>14.789175876319213</v>
      </c>
      <c r="G451" s="322">
        <v>-813.91036579775027</v>
      </c>
      <c r="H451" s="322">
        <v>5.7645622852727243</v>
      </c>
      <c r="I451" s="322">
        <v>-141.19204989373165</v>
      </c>
      <c r="K451" s="223">
        <f t="shared" si="27"/>
        <v>1231150.6740767802</v>
      </c>
      <c r="L451" s="223">
        <f t="shared" si="27"/>
        <v>884463.02659461892</v>
      </c>
      <c r="M451" s="114">
        <f t="shared" si="28"/>
        <v>1</v>
      </c>
      <c r="N451" s="114">
        <f t="shared" si="29"/>
        <v>0</v>
      </c>
      <c r="Q451" s="320">
        <f t="shared" si="30"/>
        <v>44000</v>
      </c>
      <c r="R451" s="101">
        <v>1</v>
      </c>
      <c r="S451" s="101">
        <v>0</v>
      </c>
      <c r="T451" s="12"/>
      <c r="U451" s="210"/>
      <c r="V451" s="13"/>
      <c r="W451" s="13"/>
      <c r="X451" s="13"/>
      <c r="Y451" s="13"/>
      <c r="Z451" s="13"/>
      <c r="AA451" s="13"/>
      <c r="AB451" s="13"/>
      <c r="AC451" s="13"/>
      <c r="AD451" s="13"/>
      <c r="AE451" s="13"/>
    </row>
    <row r="452" spans="1:31" ht="21" x14ac:dyDescent="0.4">
      <c r="A452" s="210"/>
      <c r="B452" s="108">
        <v>442</v>
      </c>
      <c r="C452" s="297">
        <v>2110.6079882157719</v>
      </c>
      <c r="D452" s="297">
        <v>3042.267460624299</v>
      </c>
      <c r="E452" s="297">
        <v>19.012200264881539</v>
      </c>
      <c r="F452" s="297">
        <v>14.189846218471365</v>
      </c>
      <c r="G452" s="322">
        <v>-931.65947240852711</v>
      </c>
      <c r="H452" s="322">
        <v>4.8223540464101742</v>
      </c>
      <c r="I452" s="322">
        <v>-193.19599171737858</v>
      </c>
      <c r="K452" s="223">
        <f t="shared" si="27"/>
        <v>1138621.4079046766</v>
      </c>
      <c r="L452" s="223">
        <f t="shared" si="27"/>
        <v>848348.50564765756</v>
      </c>
      <c r="M452" s="114">
        <f t="shared" si="28"/>
        <v>1</v>
      </c>
      <c r="N452" s="114">
        <f t="shared" si="29"/>
        <v>0</v>
      </c>
      <c r="Q452" s="320">
        <f t="shared" si="30"/>
        <v>44100</v>
      </c>
      <c r="R452" s="101">
        <v>1</v>
      </c>
      <c r="S452" s="101">
        <v>0</v>
      </c>
      <c r="T452" s="12"/>
      <c r="U452" s="210"/>
      <c r="V452" s="13"/>
      <c r="W452" s="13"/>
      <c r="X452" s="13"/>
      <c r="Y452" s="13"/>
      <c r="Z452" s="13"/>
      <c r="AA452" s="13"/>
      <c r="AB452" s="13"/>
      <c r="AC452" s="13"/>
      <c r="AD452" s="13"/>
      <c r="AE452" s="13"/>
    </row>
    <row r="453" spans="1:31" ht="21" x14ac:dyDescent="0.4">
      <c r="A453" s="210"/>
      <c r="B453" s="108">
        <v>443</v>
      </c>
      <c r="C453" s="297">
        <v>2104.4722273031748</v>
      </c>
      <c r="D453" s="297">
        <v>3421.4329454077415</v>
      </c>
      <c r="E453" s="297">
        <v>20.013186107346115</v>
      </c>
      <c r="F453" s="297">
        <v>14.769518820305365</v>
      </c>
      <c r="G453" s="322">
        <v>-1316.9607181045667</v>
      </c>
      <c r="H453" s="322">
        <v>5.2436672870407506</v>
      </c>
      <c r="I453" s="322">
        <v>-251.15260866365722</v>
      </c>
      <c r="K453" s="223">
        <f t="shared" si="27"/>
        <v>1198686.6942134639</v>
      </c>
      <c r="L453" s="223">
        <f t="shared" si="27"/>
        <v>882749.69627291418</v>
      </c>
      <c r="M453" s="114">
        <f t="shared" si="28"/>
        <v>1</v>
      </c>
      <c r="N453" s="114">
        <f t="shared" si="29"/>
        <v>0</v>
      </c>
      <c r="Q453" s="320">
        <f t="shared" si="30"/>
        <v>44200</v>
      </c>
      <c r="R453" s="101">
        <v>1</v>
      </c>
      <c r="S453" s="101">
        <v>0</v>
      </c>
      <c r="T453" s="12"/>
      <c r="U453" s="210"/>
      <c r="V453" s="13"/>
      <c r="W453" s="13"/>
      <c r="X453" s="13"/>
      <c r="Y453" s="13"/>
      <c r="Z453" s="13"/>
      <c r="AA453" s="13"/>
      <c r="AB453" s="13"/>
      <c r="AC453" s="13"/>
      <c r="AD453" s="13"/>
      <c r="AE453" s="13"/>
    </row>
    <row r="454" spans="1:31" ht="21" x14ac:dyDescent="0.4">
      <c r="A454" s="210"/>
      <c r="B454" s="108">
        <v>444</v>
      </c>
      <c r="C454" s="297">
        <v>2190.2488642464423</v>
      </c>
      <c r="D454" s="297">
        <v>3120.7792704076769</v>
      </c>
      <c r="E454" s="297">
        <v>16.796406235190069</v>
      </c>
      <c r="F454" s="297">
        <v>11.445993235003582</v>
      </c>
      <c r="G454" s="322">
        <v>-930.53040616123462</v>
      </c>
      <c r="H454" s="322">
        <v>5.3504130001864869</v>
      </c>
      <c r="I454" s="322">
        <v>-173.91749125325489</v>
      </c>
      <c r="K454" s="223">
        <f t="shared" si="27"/>
        <v>1005594.1252471578</v>
      </c>
      <c r="L454" s="223">
        <f t="shared" si="27"/>
        <v>683638.81482980726</v>
      </c>
      <c r="M454" s="114">
        <f t="shared" si="28"/>
        <v>1</v>
      </c>
      <c r="N454" s="114">
        <f t="shared" si="29"/>
        <v>0</v>
      </c>
      <c r="Q454" s="320">
        <f t="shared" si="30"/>
        <v>44300</v>
      </c>
      <c r="R454" s="101">
        <v>1</v>
      </c>
      <c r="S454" s="101">
        <v>0</v>
      </c>
      <c r="T454" s="12"/>
      <c r="U454" s="210"/>
      <c r="V454" s="13"/>
      <c r="W454" s="13"/>
      <c r="X454" s="13"/>
      <c r="Y454" s="13"/>
      <c r="Z454" s="13"/>
      <c r="AA454" s="13"/>
      <c r="AB454" s="13"/>
      <c r="AC454" s="13"/>
      <c r="AD454" s="13"/>
      <c r="AE454" s="13"/>
    </row>
    <row r="455" spans="1:31" ht="21" x14ac:dyDescent="0.4">
      <c r="A455" s="210"/>
      <c r="B455" s="108">
        <v>445</v>
      </c>
      <c r="C455" s="297">
        <v>2262.2393605364623</v>
      </c>
      <c r="D455" s="297">
        <v>3368.5462016582123</v>
      </c>
      <c r="E455" s="297">
        <v>18.157411461195544</v>
      </c>
      <c r="F455" s="297">
        <v>13.868104445026745</v>
      </c>
      <c r="G455" s="322">
        <v>-1106.30684112175</v>
      </c>
      <c r="H455" s="322">
        <v>4.2893070161687987</v>
      </c>
      <c r="I455" s="322">
        <v>-257.92204590425922</v>
      </c>
      <c r="K455" s="223">
        <f t="shared" si="27"/>
        <v>1087182.4483111962</v>
      </c>
      <c r="L455" s="223">
        <f t="shared" si="27"/>
        <v>828717.7204999465</v>
      </c>
      <c r="M455" s="114">
        <f t="shared" si="28"/>
        <v>1</v>
      </c>
      <c r="N455" s="114">
        <f t="shared" si="29"/>
        <v>0</v>
      </c>
      <c r="Q455" s="320">
        <f t="shared" si="30"/>
        <v>44400</v>
      </c>
      <c r="R455" s="101">
        <v>1</v>
      </c>
      <c r="S455" s="101">
        <v>0</v>
      </c>
      <c r="T455" s="12"/>
      <c r="U455" s="210"/>
      <c r="V455" s="13"/>
      <c r="W455" s="13"/>
      <c r="X455" s="13"/>
      <c r="Y455" s="13"/>
      <c r="Z455" s="13"/>
      <c r="AA455" s="13"/>
      <c r="AB455" s="13"/>
      <c r="AC455" s="13"/>
      <c r="AD455" s="13"/>
      <c r="AE455" s="13"/>
    </row>
    <row r="456" spans="1:31" ht="21" x14ac:dyDescent="0.4">
      <c r="A456" s="210"/>
      <c r="B456" s="108">
        <v>446</v>
      </c>
      <c r="C456" s="297">
        <v>1975.982667707854</v>
      </c>
      <c r="D456" s="297">
        <v>2834.4538521624754</v>
      </c>
      <c r="E456" s="297">
        <v>20.435250536909361</v>
      </c>
      <c r="F456" s="297">
        <v>14.617024558304351</v>
      </c>
      <c r="G456" s="322">
        <v>-858.47118445462138</v>
      </c>
      <c r="H456" s="322">
        <v>5.8182259786050103</v>
      </c>
      <c r="I456" s="322">
        <v>-147.54861492341865</v>
      </c>
      <c r="K456" s="223">
        <f t="shared" si="27"/>
        <v>1224139.0495468539</v>
      </c>
      <c r="L456" s="223">
        <f t="shared" si="27"/>
        <v>874187.0196460986</v>
      </c>
      <c r="M456" s="114">
        <f t="shared" si="28"/>
        <v>1</v>
      </c>
      <c r="N456" s="114">
        <f t="shared" si="29"/>
        <v>0</v>
      </c>
      <c r="Q456" s="320">
        <f t="shared" si="30"/>
        <v>44500</v>
      </c>
      <c r="R456" s="101">
        <v>1</v>
      </c>
      <c r="S456" s="101">
        <v>0</v>
      </c>
      <c r="T456" s="12"/>
      <c r="U456" s="210"/>
      <c r="V456" s="13"/>
      <c r="W456" s="13"/>
      <c r="X456" s="13"/>
      <c r="Y456" s="13"/>
      <c r="Z456" s="13"/>
      <c r="AA456" s="13"/>
      <c r="AB456" s="13"/>
      <c r="AC456" s="13"/>
      <c r="AD456" s="13"/>
      <c r="AE456" s="13"/>
    </row>
    <row r="457" spans="1:31" ht="21" x14ac:dyDescent="0.4">
      <c r="A457" s="210"/>
      <c r="B457" s="108">
        <v>447</v>
      </c>
      <c r="C457" s="297">
        <v>2162.5913973666147</v>
      </c>
      <c r="D457" s="297">
        <v>2981.0077442256397</v>
      </c>
      <c r="E457" s="297">
        <v>19.478856373322547</v>
      </c>
      <c r="F457" s="297">
        <v>13.752467911613776</v>
      </c>
      <c r="G457" s="322">
        <v>-818.416346859025</v>
      </c>
      <c r="H457" s="322">
        <v>5.7263884617087708</v>
      </c>
      <c r="I457" s="322">
        <v>-142.92015854872815</v>
      </c>
      <c r="K457" s="223">
        <f t="shared" si="27"/>
        <v>1166568.791001986</v>
      </c>
      <c r="L457" s="223">
        <f t="shared" si="27"/>
        <v>822167.06695260084</v>
      </c>
      <c r="M457" s="114">
        <f t="shared" si="28"/>
        <v>1</v>
      </c>
      <c r="N457" s="114">
        <f t="shared" si="29"/>
        <v>0</v>
      </c>
      <c r="Q457" s="320">
        <f t="shared" si="30"/>
        <v>44600</v>
      </c>
      <c r="R457" s="101">
        <v>1</v>
      </c>
      <c r="S457" s="101">
        <v>0</v>
      </c>
      <c r="T457" s="12"/>
      <c r="U457" s="210"/>
      <c r="V457" s="13"/>
      <c r="W457" s="13"/>
      <c r="X457" s="13"/>
      <c r="Y457" s="13"/>
      <c r="Z457" s="13"/>
      <c r="AA457" s="13"/>
      <c r="AB457" s="13"/>
      <c r="AC457" s="13"/>
      <c r="AD457" s="13"/>
      <c r="AE457" s="13"/>
    </row>
    <row r="458" spans="1:31" ht="21" x14ac:dyDescent="0.4">
      <c r="A458" s="210"/>
      <c r="B458" s="108">
        <v>448</v>
      </c>
      <c r="C458" s="297">
        <v>2284.6140670986133</v>
      </c>
      <c r="D458" s="297">
        <v>3487.7842550454861</v>
      </c>
      <c r="E458" s="297">
        <v>21.118806535925799</v>
      </c>
      <c r="F458" s="297">
        <v>15.341654643018947</v>
      </c>
      <c r="G458" s="322">
        <v>-1203.1701879468728</v>
      </c>
      <c r="H458" s="322">
        <v>5.7771518929068524</v>
      </c>
      <c r="I458" s="322">
        <v>-208.26355447294313</v>
      </c>
      <c r="K458" s="223">
        <f t="shared" si="27"/>
        <v>1264843.7780884493</v>
      </c>
      <c r="L458" s="223">
        <f t="shared" si="27"/>
        <v>917011.49432609137</v>
      </c>
      <c r="M458" s="114">
        <f t="shared" si="28"/>
        <v>1</v>
      </c>
      <c r="N458" s="114">
        <f t="shared" si="29"/>
        <v>0</v>
      </c>
      <c r="Q458" s="320">
        <f t="shared" si="30"/>
        <v>44700</v>
      </c>
      <c r="R458" s="101">
        <v>1</v>
      </c>
      <c r="S458" s="101">
        <v>0</v>
      </c>
      <c r="T458" s="12"/>
      <c r="U458" s="210"/>
      <c r="V458" s="13"/>
      <c r="W458" s="13"/>
      <c r="X458" s="13"/>
      <c r="Y458" s="13"/>
      <c r="Z458" s="13"/>
      <c r="AA458" s="13"/>
      <c r="AB458" s="13"/>
      <c r="AC458" s="13"/>
      <c r="AD458" s="13"/>
      <c r="AE458" s="13"/>
    </row>
    <row r="459" spans="1:31" ht="21" x14ac:dyDescent="0.4">
      <c r="A459" s="210"/>
      <c r="B459" s="108">
        <v>449</v>
      </c>
      <c r="C459" s="297">
        <v>1981.8137513705892</v>
      </c>
      <c r="D459" s="297">
        <v>2927.9247776584898</v>
      </c>
      <c r="E459" s="297">
        <v>16.76727200492817</v>
      </c>
      <c r="F459" s="297">
        <v>11.118435150960336</v>
      </c>
      <c r="G459" s="322">
        <v>-946.11102628790059</v>
      </c>
      <c r="H459" s="322">
        <v>5.6488368539678344</v>
      </c>
      <c r="I459" s="322">
        <v>-167.48775911687676</v>
      </c>
      <c r="K459" s="223">
        <f t="shared" si="27"/>
        <v>1004054.5065443196</v>
      </c>
      <c r="L459" s="223">
        <f t="shared" si="27"/>
        <v>664178.18427996163</v>
      </c>
      <c r="M459" s="114">
        <f t="shared" si="28"/>
        <v>1</v>
      </c>
      <c r="N459" s="114">
        <f t="shared" si="29"/>
        <v>0</v>
      </c>
      <c r="Q459" s="320">
        <f t="shared" si="30"/>
        <v>44800</v>
      </c>
      <c r="R459" s="101">
        <v>1</v>
      </c>
      <c r="S459" s="101">
        <v>0</v>
      </c>
      <c r="T459" s="12"/>
      <c r="U459" s="210"/>
      <c r="V459" s="13"/>
      <c r="W459" s="13"/>
      <c r="X459" s="13"/>
      <c r="Y459" s="13"/>
      <c r="Z459" s="13"/>
      <c r="AA459" s="13"/>
      <c r="AB459" s="13"/>
      <c r="AC459" s="13"/>
      <c r="AD459" s="13"/>
      <c r="AE459" s="13"/>
    </row>
    <row r="460" spans="1:31" ht="21" x14ac:dyDescent="0.4">
      <c r="A460" s="210"/>
      <c r="B460" s="108">
        <v>450</v>
      </c>
      <c r="C460" s="297">
        <v>2301.3962835700672</v>
      </c>
      <c r="D460" s="297">
        <v>3208.657824964208</v>
      </c>
      <c r="E460" s="297">
        <v>20.144285577331864</v>
      </c>
      <c r="F460" s="297">
        <v>13.244427168831924</v>
      </c>
      <c r="G460" s="322">
        <v>-907.26154139414075</v>
      </c>
      <c r="H460" s="322">
        <v>6.8998584084999397</v>
      </c>
      <c r="I460" s="322">
        <v>-131.4898781511929</v>
      </c>
      <c r="K460" s="223">
        <f t="shared" ref="K460:L523" si="31">E460*$N$4-C460</f>
        <v>1206355.7383563418</v>
      </c>
      <c r="L460" s="223">
        <f t="shared" si="31"/>
        <v>791456.97230495117</v>
      </c>
      <c r="M460" s="114">
        <f t="shared" ref="M460:M523" si="32">IF(MAX(K460:L460)=K460,1,0)</f>
        <v>1</v>
      </c>
      <c r="N460" s="114">
        <f t="shared" ref="N460:N523" si="33">IF(MAX(K460:L460)=L460,1,0)</f>
        <v>0</v>
      </c>
      <c r="Q460" s="320">
        <f t="shared" si="30"/>
        <v>44900</v>
      </c>
      <c r="R460" s="101">
        <v>1</v>
      </c>
      <c r="S460" s="101">
        <v>0</v>
      </c>
      <c r="T460" s="12"/>
      <c r="U460" s="210"/>
      <c r="V460" s="13"/>
      <c r="W460" s="13"/>
      <c r="X460" s="13"/>
      <c r="Y460" s="13"/>
      <c r="Z460" s="13"/>
      <c r="AA460" s="13"/>
      <c r="AB460" s="13"/>
      <c r="AC460" s="13"/>
      <c r="AD460" s="13"/>
      <c r="AE460" s="13"/>
    </row>
    <row r="461" spans="1:31" ht="21" x14ac:dyDescent="0.4">
      <c r="A461" s="210"/>
      <c r="B461" s="108">
        <v>451</v>
      </c>
      <c r="C461" s="297">
        <v>2093.4329076277086</v>
      </c>
      <c r="D461" s="297">
        <v>2948.9141471195921</v>
      </c>
      <c r="E461" s="297">
        <v>18.230793096449197</v>
      </c>
      <c r="F461" s="297">
        <v>12.569400552526062</v>
      </c>
      <c r="G461" s="322">
        <v>-855.48123949188357</v>
      </c>
      <c r="H461" s="322">
        <v>5.6613925439231352</v>
      </c>
      <c r="I461" s="322">
        <v>-151.1079178585039</v>
      </c>
      <c r="K461" s="223">
        <f t="shared" si="31"/>
        <v>1091754.1528793243</v>
      </c>
      <c r="L461" s="223">
        <f t="shared" si="31"/>
        <v>751215.1190044441</v>
      </c>
      <c r="M461" s="114">
        <f t="shared" si="32"/>
        <v>1</v>
      </c>
      <c r="N461" s="114">
        <f t="shared" si="33"/>
        <v>0</v>
      </c>
      <c r="Q461" s="320">
        <f t="shared" ref="Q461:Q524" si="34">Q460+100</f>
        <v>45000</v>
      </c>
      <c r="R461" s="101">
        <v>1</v>
      </c>
      <c r="S461" s="101">
        <v>0</v>
      </c>
      <c r="T461" s="12"/>
      <c r="U461" s="210"/>
      <c r="V461" s="13"/>
      <c r="W461" s="13"/>
      <c r="X461" s="13"/>
      <c r="Y461" s="13"/>
      <c r="Z461" s="13"/>
      <c r="AA461" s="13"/>
      <c r="AB461" s="13"/>
      <c r="AC461" s="13"/>
      <c r="AD461" s="13"/>
      <c r="AE461" s="13"/>
    </row>
    <row r="462" spans="1:31" ht="21" x14ac:dyDescent="0.4">
      <c r="A462" s="210"/>
      <c r="B462" s="108">
        <v>452</v>
      </c>
      <c r="C462" s="297">
        <v>1903.8457507290291</v>
      </c>
      <c r="D462" s="297">
        <v>3053.1232716203208</v>
      </c>
      <c r="E462" s="297">
        <v>20.358022454157439</v>
      </c>
      <c r="F462" s="297">
        <v>15.146081932950153</v>
      </c>
      <c r="G462" s="322">
        <v>-1149.2775208912917</v>
      </c>
      <c r="H462" s="322">
        <v>5.2119405212072856</v>
      </c>
      <c r="I462" s="322">
        <v>-220.50856417392018</v>
      </c>
      <c r="K462" s="223">
        <f t="shared" si="31"/>
        <v>1219577.5014987173</v>
      </c>
      <c r="L462" s="223">
        <f t="shared" si="31"/>
        <v>905711.79270538886</v>
      </c>
      <c r="M462" s="114">
        <f t="shared" si="32"/>
        <v>1</v>
      </c>
      <c r="N462" s="114">
        <f t="shared" si="33"/>
        <v>0</v>
      </c>
      <c r="Q462" s="320">
        <f t="shared" si="34"/>
        <v>45100</v>
      </c>
      <c r="R462" s="101">
        <v>1</v>
      </c>
      <c r="S462" s="101">
        <v>0</v>
      </c>
      <c r="T462" s="12"/>
      <c r="U462" s="210"/>
      <c r="V462" s="13"/>
      <c r="W462" s="13"/>
      <c r="X462" s="13"/>
      <c r="Y462" s="13"/>
      <c r="Z462" s="13"/>
      <c r="AA462" s="13"/>
      <c r="AB462" s="13"/>
      <c r="AC462" s="13"/>
      <c r="AD462" s="13"/>
      <c r="AE462" s="13"/>
    </row>
    <row r="463" spans="1:31" ht="21" x14ac:dyDescent="0.4">
      <c r="A463" s="210"/>
      <c r="B463" s="108">
        <v>453</v>
      </c>
      <c r="C463" s="297">
        <v>2395.4754317316797</v>
      </c>
      <c r="D463" s="297">
        <v>3301.3894176031981</v>
      </c>
      <c r="E463" s="297">
        <v>19.928763900154053</v>
      </c>
      <c r="F463" s="297">
        <v>15.635016310202825</v>
      </c>
      <c r="G463" s="322">
        <v>-905.91398587151843</v>
      </c>
      <c r="H463" s="322">
        <v>4.2937475899512272</v>
      </c>
      <c r="I463" s="322">
        <v>-210.98445283361633</v>
      </c>
      <c r="K463" s="223">
        <f t="shared" si="31"/>
        <v>1193330.3585775115</v>
      </c>
      <c r="L463" s="223">
        <f t="shared" si="31"/>
        <v>934799.58919456636</v>
      </c>
      <c r="M463" s="114">
        <f t="shared" si="32"/>
        <v>1</v>
      </c>
      <c r="N463" s="114">
        <f t="shared" si="33"/>
        <v>0</v>
      </c>
      <c r="Q463" s="320">
        <f t="shared" si="34"/>
        <v>45200</v>
      </c>
      <c r="R463" s="101">
        <v>1</v>
      </c>
      <c r="S463" s="101">
        <v>0</v>
      </c>
      <c r="T463" s="12"/>
      <c r="U463" s="210"/>
      <c r="V463" s="13"/>
      <c r="W463" s="13"/>
      <c r="X463" s="13"/>
      <c r="Y463" s="13"/>
      <c r="Z463" s="13"/>
      <c r="AA463" s="13"/>
      <c r="AB463" s="13"/>
      <c r="AC463" s="13"/>
      <c r="AD463" s="13"/>
      <c r="AE463" s="13"/>
    </row>
    <row r="464" spans="1:31" ht="21" x14ac:dyDescent="0.4">
      <c r="A464" s="210"/>
      <c r="B464" s="108">
        <v>454</v>
      </c>
      <c r="C464" s="297">
        <v>1741.7043681870923</v>
      </c>
      <c r="D464" s="297">
        <v>2922.6260459000541</v>
      </c>
      <c r="E464" s="297">
        <v>19.014461779472636</v>
      </c>
      <c r="F464" s="297">
        <v>14.430857457779437</v>
      </c>
      <c r="G464" s="322">
        <v>-1180.9216777129618</v>
      </c>
      <c r="H464" s="322">
        <v>4.5836043216931994</v>
      </c>
      <c r="I464" s="322">
        <v>-257.64040585351512</v>
      </c>
      <c r="K464" s="223">
        <f t="shared" si="31"/>
        <v>1139126.002400171</v>
      </c>
      <c r="L464" s="223">
        <f t="shared" si="31"/>
        <v>862928.82142086618</v>
      </c>
      <c r="M464" s="114">
        <f t="shared" si="32"/>
        <v>1</v>
      </c>
      <c r="N464" s="114">
        <f t="shared" si="33"/>
        <v>0</v>
      </c>
      <c r="Q464" s="320">
        <f t="shared" si="34"/>
        <v>45300</v>
      </c>
      <c r="R464" s="101">
        <v>1</v>
      </c>
      <c r="S464" s="101">
        <v>0</v>
      </c>
      <c r="T464" s="12"/>
      <c r="U464" s="210"/>
      <c r="V464" s="13"/>
      <c r="W464" s="13"/>
      <c r="X464" s="13"/>
      <c r="Y464" s="13"/>
      <c r="Z464" s="13"/>
      <c r="AA464" s="13"/>
      <c r="AB464" s="13"/>
      <c r="AC464" s="13"/>
      <c r="AD464" s="13"/>
      <c r="AE464" s="13"/>
    </row>
    <row r="465" spans="1:31" ht="21" x14ac:dyDescent="0.4">
      <c r="A465" s="210"/>
      <c r="B465" s="108">
        <v>455</v>
      </c>
      <c r="C465" s="297">
        <v>1976.2387827781752</v>
      </c>
      <c r="D465" s="297">
        <v>2796.2872581823194</v>
      </c>
      <c r="E465" s="297">
        <v>18.185293268023273</v>
      </c>
      <c r="F465" s="297">
        <v>13.192927178591006</v>
      </c>
      <c r="G465" s="322">
        <v>-820.04847540414426</v>
      </c>
      <c r="H465" s="322">
        <v>4.9923660894322666</v>
      </c>
      <c r="I465" s="322">
        <v>-164.26048505136779</v>
      </c>
      <c r="K465" s="223">
        <f t="shared" si="31"/>
        <v>1089141.3572986182</v>
      </c>
      <c r="L465" s="223">
        <f t="shared" si="31"/>
        <v>788779.3434572781</v>
      </c>
      <c r="M465" s="114">
        <f t="shared" si="32"/>
        <v>1</v>
      </c>
      <c r="N465" s="114">
        <f t="shared" si="33"/>
        <v>0</v>
      </c>
      <c r="Q465" s="320">
        <f t="shared" si="34"/>
        <v>45400</v>
      </c>
      <c r="R465" s="101">
        <v>1</v>
      </c>
      <c r="S465" s="101">
        <v>0</v>
      </c>
      <c r="T465" s="12"/>
      <c r="U465" s="210"/>
      <c r="V465" s="13"/>
      <c r="W465" s="13"/>
      <c r="X465" s="13"/>
      <c r="Y465" s="13"/>
      <c r="Z465" s="13"/>
      <c r="AA465" s="13"/>
      <c r="AB465" s="13"/>
      <c r="AC465" s="13"/>
      <c r="AD465" s="13"/>
      <c r="AE465" s="13"/>
    </row>
    <row r="466" spans="1:31" ht="21" x14ac:dyDescent="0.4">
      <c r="A466" s="210"/>
      <c r="B466" s="108">
        <v>456</v>
      </c>
      <c r="C466" s="297">
        <v>2183.8986732515468</v>
      </c>
      <c r="D466" s="297">
        <v>3414.2135256545112</v>
      </c>
      <c r="E466" s="297">
        <v>17.334003450826554</v>
      </c>
      <c r="F466" s="297">
        <v>13.078840051245132</v>
      </c>
      <c r="G466" s="322">
        <v>-1230.3148524029643</v>
      </c>
      <c r="H466" s="322">
        <v>4.2551633995814218</v>
      </c>
      <c r="I466" s="322">
        <v>-289.13457295764243</v>
      </c>
      <c r="K466" s="223">
        <f t="shared" si="31"/>
        <v>1037856.3083763417</v>
      </c>
      <c r="L466" s="223">
        <f t="shared" si="31"/>
        <v>781316.18954905344</v>
      </c>
      <c r="M466" s="114">
        <f t="shared" si="32"/>
        <v>1</v>
      </c>
      <c r="N466" s="114">
        <f t="shared" si="33"/>
        <v>0</v>
      </c>
      <c r="Q466" s="320">
        <f t="shared" si="34"/>
        <v>45500</v>
      </c>
      <c r="R466" s="101">
        <v>1</v>
      </c>
      <c r="S466" s="101">
        <v>0</v>
      </c>
      <c r="T466" s="12"/>
      <c r="U466" s="210"/>
      <c r="V466" s="13"/>
      <c r="W466" s="13"/>
      <c r="X466" s="13"/>
      <c r="Y466" s="13"/>
      <c r="Z466" s="13"/>
      <c r="AA466" s="13"/>
      <c r="AB466" s="13"/>
      <c r="AC466" s="13"/>
      <c r="AD466" s="13"/>
      <c r="AE466" s="13"/>
    </row>
    <row r="467" spans="1:31" ht="21" x14ac:dyDescent="0.4">
      <c r="A467" s="210"/>
      <c r="B467" s="108">
        <v>457</v>
      </c>
      <c r="C467" s="297">
        <v>2053.2751833055258</v>
      </c>
      <c r="D467" s="297">
        <v>2847.4869823643157</v>
      </c>
      <c r="E467" s="297">
        <v>17.904614452691142</v>
      </c>
      <c r="F467" s="297">
        <v>13.179276608401635</v>
      </c>
      <c r="G467" s="322">
        <v>-794.21179905878989</v>
      </c>
      <c r="H467" s="322">
        <v>4.7253378442895073</v>
      </c>
      <c r="I467" s="322">
        <v>-168.07513562624558</v>
      </c>
      <c r="K467" s="223">
        <f t="shared" si="31"/>
        <v>1072223.591978163</v>
      </c>
      <c r="L467" s="223">
        <f t="shared" si="31"/>
        <v>787909.10952173371</v>
      </c>
      <c r="M467" s="114">
        <f t="shared" si="32"/>
        <v>1</v>
      </c>
      <c r="N467" s="114">
        <f t="shared" si="33"/>
        <v>0</v>
      </c>
      <c r="Q467" s="320">
        <f t="shared" si="34"/>
        <v>45600</v>
      </c>
      <c r="R467" s="101">
        <v>1</v>
      </c>
      <c r="S467" s="101">
        <v>0</v>
      </c>
      <c r="T467" s="12"/>
      <c r="U467" s="210"/>
      <c r="V467" s="13"/>
      <c r="W467" s="13"/>
      <c r="X467" s="13"/>
      <c r="Y467" s="13"/>
      <c r="Z467" s="13"/>
      <c r="AA467" s="13"/>
      <c r="AB467" s="13"/>
      <c r="AC467" s="13"/>
      <c r="AD467" s="13"/>
      <c r="AE467" s="13"/>
    </row>
    <row r="468" spans="1:31" ht="21" x14ac:dyDescent="0.4">
      <c r="A468" s="210"/>
      <c r="B468" s="108">
        <v>458</v>
      </c>
      <c r="C468" s="297">
        <v>2134.2717843497439</v>
      </c>
      <c r="D468" s="297">
        <v>3180.1572336131348</v>
      </c>
      <c r="E468" s="297">
        <v>20.308715630233984</v>
      </c>
      <c r="F468" s="297">
        <v>15.645544949867942</v>
      </c>
      <c r="G468" s="322">
        <v>-1045.8854492633909</v>
      </c>
      <c r="H468" s="322">
        <v>4.6631706803660418</v>
      </c>
      <c r="I468" s="322">
        <v>-224.28633240190402</v>
      </c>
      <c r="K468" s="223">
        <f t="shared" si="31"/>
        <v>1216388.6660296891</v>
      </c>
      <c r="L468" s="223">
        <f t="shared" si="31"/>
        <v>935552.53975846339</v>
      </c>
      <c r="M468" s="114">
        <f t="shared" si="32"/>
        <v>1</v>
      </c>
      <c r="N468" s="114">
        <f t="shared" si="33"/>
        <v>0</v>
      </c>
      <c r="Q468" s="320">
        <f t="shared" si="34"/>
        <v>45700</v>
      </c>
      <c r="R468" s="101">
        <v>1</v>
      </c>
      <c r="S468" s="101">
        <v>0</v>
      </c>
      <c r="T468" s="12"/>
      <c r="U468" s="210"/>
      <c r="V468" s="13"/>
      <c r="W468" s="13"/>
      <c r="X468" s="13"/>
      <c r="Y468" s="13"/>
      <c r="Z468" s="13"/>
      <c r="AA468" s="13"/>
      <c r="AB468" s="13"/>
      <c r="AC468" s="13"/>
      <c r="AD468" s="13"/>
      <c r="AE468" s="13"/>
    </row>
    <row r="469" spans="1:31" ht="21" x14ac:dyDescent="0.4">
      <c r="A469" s="210"/>
      <c r="B469" s="108">
        <v>459</v>
      </c>
      <c r="C469" s="297">
        <v>1824.9039393247645</v>
      </c>
      <c r="D469" s="297">
        <v>3133.2248191543868</v>
      </c>
      <c r="E469" s="297">
        <v>20.661749913158285</v>
      </c>
      <c r="F469" s="297">
        <v>14.577777334019045</v>
      </c>
      <c r="G469" s="322">
        <v>-1308.3208798296223</v>
      </c>
      <c r="H469" s="322">
        <v>6.0839725791392407</v>
      </c>
      <c r="I469" s="322">
        <v>-215.04384886868166</v>
      </c>
      <c r="K469" s="223">
        <f t="shared" si="31"/>
        <v>1237880.0908501726</v>
      </c>
      <c r="L469" s="223">
        <f t="shared" si="31"/>
        <v>871533.41522198834</v>
      </c>
      <c r="M469" s="114">
        <f t="shared" si="32"/>
        <v>1</v>
      </c>
      <c r="N469" s="114">
        <f t="shared" si="33"/>
        <v>0</v>
      </c>
      <c r="Q469" s="320">
        <f t="shared" si="34"/>
        <v>45800</v>
      </c>
      <c r="R469" s="101">
        <v>1</v>
      </c>
      <c r="S469" s="101">
        <v>0</v>
      </c>
      <c r="T469" s="12"/>
      <c r="U469" s="210"/>
      <c r="V469" s="13"/>
      <c r="W469" s="13"/>
      <c r="X469" s="13"/>
      <c r="Y469" s="13"/>
      <c r="Z469" s="13"/>
      <c r="AA469" s="13"/>
      <c r="AB469" s="13"/>
      <c r="AC469" s="13"/>
      <c r="AD469" s="13"/>
      <c r="AE469" s="13"/>
    </row>
    <row r="470" spans="1:31" ht="21" x14ac:dyDescent="0.4">
      <c r="A470" s="210"/>
      <c r="B470" s="108">
        <v>460</v>
      </c>
      <c r="C470" s="297">
        <v>2031.6209299758409</v>
      </c>
      <c r="D470" s="297">
        <v>2665.1356344753717</v>
      </c>
      <c r="E470" s="297">
        <v>20.350706987425671</v>
      </c>
      <c r="F470" s="297">
        <v>14.387438913682187</v>
      </c>
      <c r="G470" s="322">
        <v>-633.51470449953081</v>
      </c>
      <c r="H470" s="322">
        <v>5.9632680737434836</v>
      </c>
      <c r="I470" s="322">
        <v>-106.23616055245316</v>
      </c>
      <c r="K470" s="223">
        <f t="shared" si="31"/>
        <v>1219010.7983155644</v>
      </c>
      <c r="L470" s="223">
        <f t="shared" si="31"/>
        <v>860581.19918645581</v>
      </c>
      <c r="M470" s="114">
        <f t="shared" si="32"/>
        <v>1</v>
      </c>
      <c r="N470" s="114">
        <f t="shared" si="33"/>
        <v>0</v>
      </c>
      <c r="Q470" s="320">
        <f t="shared" si="34"/>
        <v>45900</v>
      </c>
      <c r="R470" s="101">
        <v>1</v>
      </c>
      <c r="S470" s="101">
        <v>0</v>
      </c>
      <c r="T470" s="12"/>
      <c r="U470" s="210"/>
      <c r="V470" s="13"/>
      <c r="W470" s="13"/>
      <c r="X470" s="13"/>
      <c r="Y470" s="13"/>
      <c r="Z470" s="13"/>
      <c r="AA470" s="13"/>
      <c r="AB470" s="13"/>
      <c r="AC470" s="13"/>
      <c r="AD470" s="13"/>
      <c r="AE470" s="13"/>
    </row>
    <row r="471" spans="1:31" ht="21" x14ac:dyDescent="0.4">
      <c r="A471" s="210"/>
      <c r="B471" s="108">
        <v>461</v>
      </c>
      <c r="C471" s="297">
        <v>2247.0062896012973</v>
      </c>
      <c r="D471" s="297">
        <v>3319.2276598912385</v>
      </c>
      <c r="E471" s="297">
        <v>19.172041546077949</v>
      </c>
      <c r="F471" s="297">
        <v>13.263234774519242</v>
      </c>
      <c r="G471" s="322">
        <v>-1072.2213702899412</v>
      </c>
      <c r="H471" s="322">
        <v>5.9088067715587069</v>
      </c>
      <c r="I471" s="322">
        <v>-181.46157282565795</v>
      </c>
      <c r="K471" s="223">
        <f t="shared" si="31"/>
        <v>1148075.4864750756</v>
      </c>
      <c r="L471" s="223">
        <f t="shared" si="31"/>
        <v>792474.85881126334</v>
      </c>
      <c r="M471" s="114">
        <f t="shared" si="32"/>
        <v>1</v>
      </c>
      <c r="N471" s="114">
        <f t="shared" si="33"/>
        <v>0</v>
      </c>
      <c r="Q471" s="320">
        <f t="shared" si="34"/>
        <v>46000</v>
      </c>
      <c r="R471" s="101">
        <v>1</v>
      </c>
      <c r="S471" s="101">
        <v>0</v>
      </c>
      <c r="T471" s="12"/>
      <c r="U471" s="210"/>
      <c r="V471" s="13"/>
      <c r="W471" s="13"/>
      <c r="X471" s="13"/>
      <c r="Y471" s="13"/>
      <c r="Z471" s="13"/>
      <c r="AA471" s="13"/>
      <c r="AB471" s="13"/>
      <c r="AC471" s="13"/>
      <c r="AD471" s="13"/>
      <c r="AE471" s="13"/>
    </row>
    <row r="472" spans="1:31" ht="21" x14ac:dyDescent="0.4">
      <c r="A472" s="210"/>
      <c r="B472" s="108">
        <v>462</v>
      </c>
      <c r="C472" s="297">
        <v>2383.6876960344025</v>
      </c>
      <c r="D472" s="297">
        <v>3423.148572867135</v>
      </c>
      <c r="E472" s="297">
        <v>19.466767189013389</v>
      </c>
      <c r="F472" s="297">
        <v>14.978196552770314</v>
      </c>
      <c r="G472" s="322">
        <v>-1039.4608768327325</v>
      </c>
      <c r="H472" s="322">
        <v>4.4885706362430753</v>
      </c>
      <c r="I472" s="322">
        <v>-231.57948511260574</v>
      </c>
      <c r="K472" s="223">
        <f t="shared" si="31"/>
        <v>1165622.3436447689</v>
      </c>
      <c r="L472" s="223">
        <f t="shared" si="31"/>
        <v>895268.64459335164</v>
      </c>
      <c r="M472" s="114">
        <f t="shared" si="32"/>
        <v>1</v>
      </c>
      <c r="N472" s="114">
        <f t="shared" si="33"/>
        <v>0</v>
      </c>
      <c r="Q472" s="320">
        <f t="shared" si="34"/>
        <v>46100</v>
      </c>
      <c r="R472" s="101">
        <v>1</v>
      </c>
      <c r="S472" s="101">
        <v>0</v>
      </c>
      <c r="T472" s="12"/>
      <c r="U472" s="210"/>
      <c r="V472" s="13"/>
      <c r="W472" s="13"/>
      <c r="X472" s="13"/>
      <c r="Y472" s="13"/>
      <c r="Z472" s="13"/>
      <c r="AA472" s="13"/>
      <c r="AB472" s="13"/>
      <c r="AC472" s="13"/>
      <c r="AD472" s="13"/>
      <c r="AE472" s="13"/>
    </row>
    <row r="473" spans="1:31" ht="21" x14ac:dyDescent="0.4">
      <c r="A473" s="210"/>
      <c r="B473" s="108">
        <v>463</v>
      </c>
      <c r="C473" s="297">
        <v>2082.190236289468</v>
      </c>
      <c r="D473" s="297">
        <v>3305.0489077507914</v>
      </c>
      <c r="E473" s="297">
        <v>17.605357214037067</v>
      </c>
      <c r="F473" s="297">
        <v>13.064022647837525</v>
      </c>
      <c r="G473" s="322">
        <v>-1222.8586714613234</v>
      </c>
      <c r="H473" s="322">
        <v>4.5413345661995415</v>
      </c>
      <c r="I473" s="322">
        <v>-269.27297551756556</v>
      </c>
      <c r="K473" s="223">
        <f t="shared" si="31"/>
        <v>1054239.2426059344</v>
      </c>
      <c r="L473" s="223">
        <f t="shared" si="31"/>
        <v>780536.30996250082</v>
      </c>
      <c r="M473" s="114">
        <f t="shared" si="32"/>
        <v>1</v>
      </c>
      <c r="N473" s="114">
        <f t="shared" si="33"/>
        <v>0</v>
      </c>
      <c r="Q473" s="320">
        <f t="shared" si="34"/>
        <v>46200</v>
      </c>
      <c r="R473" s="101">
        <v>1</v>
      </c>
      <c r="S473" s="101">
        <v>0</v>
      </c>
      <c r="T473" s="12"/>
      <c r="U473" s="210"/>
      <c r="V473" s="13"/>
      <c r="W473" s="13"/>
      <c r="X473" s="13"/>
      <c r="Y473" s="13"/>
      <c r="Z473" s="13"/>
      <c r="AA473" s="13"/>
      <c r="AB473" s="13"/>
      <c r="AC473" s="13"/>
      <c r="AD473" s="13"/>
      <c r="AE473" s="13"/>
    </row>
    <row r="474" spans="1:31" ht="21" x14ac:dyDescent="0.4">
      <c r="A474" s="210"/>
      <c r="B474" s="108">
        <v>464</v>
      </c>
      <c r="C474" s="297">
        <v>2314.4534980476519</v>
      </c>
      <c r="D474" s="297">
        <v>3542.0434394730696</v>
      </c>
      <c r="E474" s="297">
        <v>20.554498852752026</v>
      </c>
      <c r="F474" s="297">
        <v>15.055605433436645</v>
      </c>
      <c r="G474" s="322">
        <v>-1227.5899414254177</v>
      </c>
      <c r="H474" s="322">
        <v>5.4988934193153813</v>
      </c>
      <c r="I474" s="322">
        <v>-223.24308689333608</v>
      </c>
      <c r="K474" s="223">
        <f t="shared" si="31"/>
        <v>1230955.477667074</v>
      </c>
      <c r="L474" s="223">
        <f t="shared" si="31"/>
        <v>899794.28256672563</v>
      </c>
      <c r="M474" s="114">
        <f t="shared" si="32"/>
        <v>1</v>
      </c>
      <c r="N474" s="114">
        <f t="shared" si="33"/>
        <v>0</v>
      </c>
      <c r="Q474" s="320">
        <f t="shared" si="34"/>
        <v>46300</v>
      </c>
      <c r="R474" s="101">
        <v>1</v>
      </c>
      <c r="S474" s="101">
        <v>0</v>
      </c>
      <c r="T474" s="12"/>
      <c r="U474" s="210"/>
      <c r="V474" s="13"/>
      <c r="W474" s="13"/>
      <c r="X474" s="13"/>
      <c r="Y474" s="13"/>
      <c r="Z474" s="13"/>
      <c r="AA474" s="13"/>
      <c r="AB474" s="13"/>
      <c r="AC474" s="13"/>
      <c r="AD474" s="13"/>
      <c r="AE474" s="13"/>
    </row>
    <row r="475" spans="1:31" ht="21" x14ac:dyDescent="0.4">
      <c r="A475" s="210"/>
      <c r="B475" s="108">
        <v>465</v>
      </c>
      <c r="C475" s="297">
        <v>2244.3577291064357</v>
      </c>
      <c r="D475" s="297">
        <v>2671.6383589423663</v>
      </c>
      <c r="E475" s="297">
        <v>18.871913393189395</v>
      </c>
      <c r="F475" s="297">
        <v>13.760722210553912</v>
      </c>
      <c r="G475" s="322">
        <v>-427.28062983593054</v>
      </c>
      <c r="H475" s="322">
        <v>5.1111911826354834</v>
      </c>
      <c r="I475" s="322">
        <v>-83.597074452537271</v>
      </c>
      <c r="K475" s="223">
        <f t="shared" si="31"/>
        <v>1130070.4458622572</v>
      </c>
      <c r="L475" s="223">
        <f t="shared" si="31"/>
        <v>822971.69427429233</v>
      </c>
      <c r="M475" s="114">
        <f t="shared" si="32"/>
        <v>1</v>
      </c>
      <c r="N475" s="114">
        <f t="shared" si="33"/>
        <v>0</v>
      </c>
      <c r="Q475" s="320">
        <f t="shared" si="34"/>
        <v>46400</v>
      </c>
      <c r="R475" s="101">
        <v>1</v>
      </c>
      <c r="S475" s="101">
        <v>0</v>
      </c>
      <c r="T475" s="12"/>
      <c r="U475" s="210"/>
      <c r="V475" s="13"/>
      <c r="W475" s="13"/>
      <c r="X475" s="13"/>
      <c r="Y475" s="13"/>
      <c r="Z475" s="13"/>
      <c r="AA475" s="13"/>
      <c r="AB475" s="13"/>
      <c r="AC475" s="13"/>
      <c r="AD475" s="13"/>
      <c r="AE475" s="13"/>
    </row>
    <row r="476" spans="1:31" ht="21" x14ac:dyDescent="0.4">
      <c r="A476" s="210"/>
      <c r="B476" s="108">
        <v>466</v>
      </c>
      <c r="C476" s="297">
        <v>2289.2523762172304</v>
      </c>
      <c r="D476" s="297">
        <v>3345.5485861290795</v>
      </c>
      <c r="E476" s="297">
        <v>17.322846417640505</v>
      </c>
      <c r="F476" s="297">
        <v>13.522360930584091</v>
      </c>
      <c r="G476" s="322">
        <v>-1056.296209911849</v>
      </c>
      <c r="H476" s="322">
        <v>3.8004854870564149</v>
      </c>
      <c r="I476" s="322">
        <v>-277.9371776341082</v>
      </c>
      <c r="K476" s="223">
        <f t="shared" si="31"/>
        <v>1037081.532682213</v>
      </c>
      <c r="L476" s="223">
        <f t="shared" si="31"/>
        <v>807996.10724891629</v>
      </c>
      <c r="M476" s="114">
        <f t="shared" si="32"/>
        <v>1</v>
      </c>
      <c r="N476" s="114">
        <f t="shared" si="33"/>
        <v>0</v>
      </c>
      <c r="Q476" s="320">
        <f t="shared" si="34"/>
        <v>46500</v>
      </c>
      <c r="R476" s="101">
        <v>1</v>
      </c>
      <c r="S476" s="101">
        <v>0</v>
      </c>
      <c r="T476" s="12"/>
      <c r="U476" s="210"/>
      <c r="V476" s="13"/>
      <c r="W476" s="13"/>
      <c r="X476" s="13"/>
      <c r="Y476" s="13"/>
      <c r="Z476" s="13"/>
      <c r="AA476" s="13"/>
      <c r="AB476" s="13"/>
      <c r="AC476" s="13"/>
      <c r="AD476" s="13"/>
      <c r="AE476" s="13"/>
    </row>
    <row r="477" spans="1:31" ht="21" x14ac:dyDescent="0.4">
      <c r="A477" s="210"/>
      <c r="B477" s="108">
        <v>467</v>
      </c>
      <c r="C477" s="297">
        <v>2247.9383254801278</v>
      </c>
      <c r="D477" s="297">
        <v>3701.3583364552733</v>
      </c>
      <c r="E477" s="297">
        <v>19.405412525325396</v>
      </c>
      <c r="F477" s="297">
        <v>13.839828600739851</v>
      </c>
      <c r="G477" s="322">
        <v>-1453.4200109751455</v>
      </c>
      <c r="H477" s="322">
        <v>5.5655839245855443</v>
      </c>
      <c r="I477" s="322">
        <v>-261.14420888611039</v>
      </c>
      <c r="K477" s="223">
        <f t="shared" si="31"/>
        <v>1162076.8131940437</v>
      </c>
      <c r="L477" s="223">
        <f t="shared" si="31"/>
        <v>826688.35770793573</v>
      </c>
      <c r="M477" s="114">
        <f t="shared" si="32"/>
        <v>1</v>
      </c>
      <c r="N477" s="114">
        <f t="shared" si="33"/>
        <v>0</v>
      </c>
      <c r="Q477" s="320">
        <f t="shared" si="34"/>
        <v>46600</v>
      </c>
      <c r="R477" s="101">
        <v>1</v>
      </c>
      <c r="S477" s="101">
        <v>0</v>
      </c>
      <c r="T477" s="12"/>
      <c r="U477" s="210"/>
      <c r="V477" s="13"/>
      <c r="W477" s="13"/>
      <c r="X477" s="13"/>
      <c r="Y477" s="13"/>
      <c r="Z477" s="13"/>
      <c r="AA477" s="13"/>
      <c r="AB477" s="13"/>
      <c r="AC477" s="13"/>
      <c r="AD477" s="13"/>
      <c r="AE477" s="13"/>
    </row>
    <row r="478" spans="1:31" ht="21" x14ac:dyDescent="0.4">
      <c r="A478" s="210"/>
      <c r="B478" s="108">
        <v>468</v>
      </c>
      <c r="C478" s="297">
        <v>2443.2301217482022</v>
      </c>
      <c r="D478" s="297">
        <v>2723.7195463063349</v>
      </c>
      <c r="E478" s="297">
        <v>18.756785818134372</v>
      </c>
      <c r="F478" s="297">
        <v>12.759858062417125</v>
      </c>
      <c r="G478" s="322">
        <v>-280.48942455813267</v>
      </c>
      <c r="H478" s="322">
        <v>5.9969277557172465</v>
      </c>
      <c r="I478" s="322">
        <v>-46.772186690213928</v>
      </c>
      <c r="K478" s="223">
        <f t="shared" si="31"/>
        <v>1122963.9189663141</v>
      </c>
      <c r="L478" s="223">
        <f t="shared" si="31"/>
        <v>762867.76419872127</v>
      </c>
      <c r="M478" s="114">
        <f t="shared" si="32"/>
        <v>1</v>
      </c>
      <c r="N478" s="114">
        <f t="shared" si="33"/>
        <v>0</v>
      </c>
      <c r="Q478" s="320">
        <f t="shared" si="34"/>
        <v>46700</v>
      </c>
      <c r="R478" s="101">
        <v>1</v>
      </c>
      <c r="S478" s="101">
        <v>0</v>
      </c>
      <c r="T478" s="12"/>
      <c r="U478" s="210"/>
      <c r="V478" s="13"/>
      <c r="W478" s="13"/>
      <c r="X478" s="13"/>
      <c r="Y478" s="13"/>
      <c r="Z478" s="13"/>
      <c r="AA478" s="13"/>
      <c r="AB478" s="13"/>
      <c r="AC478" s="13"/>
      <c r="AD478" s="13"/>
      <c r="AE478" s="13"/>
    </row>
    <row r="479" spans="1:31" ht="21" x14ac:dyDescent="0.4">
      <c r="A479" s="210"/>
      <c r="B479" s="108">
        <v>469</v>
      </c>
      <c r="C479" s="297">
        <v>1868.3738953462721</v>
      </c>
      <c r="D479" s="297">
        <v>2730.6356172592095</v>
      </c>
      <c r="E479" s="297">
        <v>18.385924845937616</v>
      </c>
      <c r="F479" s="297">
        <v>13.429959204100427</v>
      </c>
      <c r="G479" s="322">
        <v>-862.26172191293745</v>
      </c>
      <c r="H479" s="322">
        <v>4.9559656418371887</v>
      </c>
      <c r="I479" s="322">
        <v>-173.98460446010981</v>
      </c>
      <c r="K479" s="223">
        <f t="shared" si="31"/>
        <v>1101287.1168609108</v>
      </c>
      <c r="L479" s="223">
        <f t="shared" si="31"/>
        <v>803066.91662876646</v>
      </c>
      <c r="M479" s="114">
        <f t="shared" si="32"/>
        <v>1</v>
      </c>
      <c r="N479" s="114">
        <f t="shared" si="33"/>
        <v>0</v>
      </c>
      <c r="Q479" s="320">
        <f t="shared" si="34"/>
        <v>46800</v>
      </c>
      <c r="R479" s="101">
        <v>1</v>
      </c>
      <c r="S479" s="101">
        <v>0</v>
      </c>
      <c r="T479" s="12"/>
      <c r="U479" s="210"/>
      <c r="V479" s="13"/>
      <c r="W479" s="13"/>
      <c r="X479" s="13"/>
      <c r="Y479" s="13"/>
      <c r="Z479" s="13"/>
      <c r="AA479" s="13"/>
      <c r="AB479" s="13"/>
      <c r="AC479" s="13"/>
      <c r="AD479" s="13"/>
      <c r="AE479" s="13"/>
    </row>
    <row r="480" spans="1:31" ht="21" x14ac:dyDescent="0.4">
      <c r="A480" s="210"/>
      <c r="B480" s="108">
        <v>470</v>
      </c>
      <c r="C480" s="297">
        <v>2326.366012410941</v>
      </c>
      <c r="D480" s="297">
        <v>2970.8546504420783</v>
      </c>
      <c r="E480" s="297">
        <v>19.00477447669169</v>
      </c>
      <c r="F480" s="297">
        <v>13.890760546466899</v>
      </c>
      <c r="G480" s="322">
        <v>-644.48863803113727</v>
      </c>
      <c r="H480" s="322">
        <v>5.1140139302247913</v>
      </c>
      <c r="I480" s="322">
        <v>-126.02402864452272</v>
      </c>
      <c r="K480" s="223">
        <f t="shared" si="31"/>
        <v>1137960.1025890904</v>
      </c>
      <c r="L480" s="223">
        <f t="shared" si="31"/>
        <v>830474.77813757188</v>
      </c>
      <c r="M480" s="114">
        <f t="shared" si="32"/>
        <v>1</v>
      </c>
      <c r="N480" s="114">
        <f t="shared" si="33"/>
        <v>0</v>
      </c>
      <c r="Q480" s="320">
        <f t="shared" si="34"/>
        <v>46900</v>
      </c>
      <c r="R480" s="101">
        <v>1</v>
      </c>
      <c r="S480" s="101">
        <v>0</v>
      </c>
      <c r="T480" s="12"/>
      <c r="U480" s="210"/>
      <c r="V480" s="13"/>
      <c r="W480" s="13"/>
      <c r="X480" s="13"/>
      <c r="Y480" s="13"/>
      <c r="Z480" s="13"/>
      <c r="AA480" s="13"/>
      <c r="AB480" s="13"/>
      <c r="AC480" s="13"/>
      <c r="AD480" s="13"/>
      <c r="AE480" s="13"/>
    </row>
    <row r="481" spans="1:31" ht="21" x14ac:dyDescent="0.4">
      <c r="A481" s="210"/>
      <c r="B481" s="108">
        <v>471</v>
      </c>
      <c r="C481" s="297">
        <v>2043.8404604468146</v>
      </c>
      <c r="D481" s="297">
        <v>3186.7831192836406</v>
      </c>
      <c r="E481" s="297">
        <v>19.883257667911877</v>
      </c>
      <c r="F481" s="297">
        <v>15.497726225035974</v>
      </c>
      <c r="G481" s="322">
        <v>-1142.942658836826</v>
      </c>
      <c r="H481" s="322">
        <v>4.3855314428759034</v>
      </c>
      <c r="I481" s="322">
        <v>-260.61668322854791</v>
      </c>
      <c r="K481" s="223">
        <f t="shared" si="31"/>
        <v>1190951.6196142659</v>
      </c>
      <c r="L481" s="223">
        <f t="shared" si="31"/>
        <v>926676.79038287478</v>
      </c>
      <c r="M481" s="114">
        <f t="shared" si="32"/>
        <v>1</v>
      </c>
      <c r="N481" s="114">
        <f t="shared" si="33"/>
        <v>0</v>
      </c>
      <c r="Q481" s="320">
        <f t="shared" si="34"/>
        <v>47000</v>
      </c>
      <c r="R481" s="101">
        <v>1</v>
      </c>
      <c r="S481" s="101">
        <v>0</v>
      </c>
      <c r="T481" s="12"/>
      <c r="U481" s="210"/>
      <c r="V481" s="13"/>
      <c r="W481" s="13"/>
      <c r="X481" s="13"/>
      <c r="Y481" s="13"/>
      <c r="Z481" s="13"/>
      <c r="AA481" s="13"/>
      <c r="AB481" s="13"/>
      <c r="AC481" s="13"/>
      <c r="AD481" s="13"/>
      <c r="AE481" s="13"/>
    </row>
    <row r="482" spans="1:31" ht="21" x14ac:dyDescent="0.4">
      <c r="A482" s="210"/>
      <c r="B482" s="108">
        <v>472</v>
      </c>
      <c r="C482" s="297">
        <v>2136.6090560098983</v>
      </c>
      <c r="D482" s="297">
        <v>3321.0005584676192</v>
      </c>
      <c r="E482" s="297">
        <v>18.415579129063843</v>
      </c>
      <c r="F482" s="297">
        <v>13.634929043921849</v>
      </c>
      <c r="G482" s="322">
        <v>-1184.3915024577209</v>
      </c>
      <c r="H482" s="322">
        <v>4.7806500851419944</v>
      </c>
      <c r="I482" s="322">
        <v>-247.74695519731648</v>
      </c>
      <c r="K482" s="223">
        <f t="shared" si="31"/>
        <v>1102798.1386878206</v>
      </c>
      <c r="L482" s="223">
        <f t="shared" si="31"/>
        <v>814774.74207684339</v>
      </c>
      <c r="M482" s="114">
        <f t="shared" si="32"/>
        <v>1</v>
      </c>
      <c r="N482" s="114">
        <f t="shared" si="33"/>
        <v>0</v>
      </c>
      <c r="Q482" s="320">
        <f t="shared" si="34"/>
        <v>47100</v>
      </c>
      <c r="R482" s="101">
        <v>1</v>
      </c>
      <c r="S482" s="101">
        <v>0</v>
      </c>
      <c r="T482" s="12"/>
      <c r="U482" s="210"/>
      <c r="V482" s="13"/>
      <c r="W482" s="13"/>
      <c r="X482" s="13"/>
      <c r="Y482" s="13"/>
      <c r="Z482" s="13"/>
      <c r="AA482" s="13"/>
      <c r="AB482" s="13"/>
      <c r="AC482" s="13"/>
      <c r="AD482" s="13"/>
      <c r="AE482" s="13"/>
    </row>
    <row r="483" spans="1:31" ht="21" x14ac:dyDescent="0.4">
      <c r="A483" s="210"/>
      <c r="B483" s="108">
        <v>473</v>
      </c>
      <c r="C483" s="297">
        <v>2025.410642166873</v>
      </c>
      <c r="D483" s="297">
        <v>3266.7392366647828</v>
      </c>
      <c r="E483" s="297">
        <v>20.280420810763587</v>
      </c>
      <c r="F483" s="297">
        <v>14.071216781620771</v>
      </c>
      <c r="G483" s="322">
        <v>-1241.3285944979098</v>
      </c>
      <c r="H483" s="322">
        <v>6.2092040291428159</v>
      </c>
      <c r="I483" s="322">
        <v>-199.91750773074145</v>
      </c>
      <c r="K483" s="223">
        <f t="shared" si="31"/>
        <v>1214799.8380036484</v>
      </c>
      <c r="L483" s="223">
        <f t="shared" si="31"/>
        <v>841006.26766058151</v>
      </c>
      <c r="M483" s="114">
        <f t="shared" si="32"/>
        <v>1</v>
      </c>
      <c r="N483" s="114">
        <f t="shared" si="33"/>
        <v>0</v>
      </c>
      <c r="Q483" s="320">
        <f t="shared" si="34"/>
        <v>47200</v>
      </c>
      <c r="R483" s="101">
        <v>1</v>
      </c>
      <c r="S483" s="101">
        <v>0</v>
      </c>
      <c r="T483" s="12"/>
      <c r="U483" s="210"/>
      <c r="V483" s="13"/>
      <c r="W483" s="13"/>
      <c r="X483" s="13"/>
      <c r="Y483" s="13"/>
      <c r="Z483" s="13"/>
      <c r="AA483" s="13"/>
      <c r="AB483" s="13"/>
      <c r="AC483" s="13"/>
      <c r="AD483" s="13"/>
      <c r="AE483" s="13"/>
    </row>
    <row r="484" spans="1:31" ht="21" x14ac:dyDescent="0.4">
      <c r="A484" s="210"/>
      <c r="B484" s="108">
        <v>474</v>
      </c>
      <c r="C484" s="297">
        <v>1925.4796190592979</v>
      </c>
      <c r="D484" s="297">
        <v>3055.6644519951742</v>
      </c>
      <c r="E484" s="297">
        <v>20.322248398718322</v>
      </c>
      <c r="F484" s="297">
        <v>14.305430142257777</v>
      </c>
      <c r="G484" s="322">
        <v>-1130.1848329358763</v>
      </c>
      <c r="H484" s="322">
        <v>6.0168182564605459</v>
      </c>
      <c r="I484" s="322">
        <v>-187.83762193952637</v>
      </c>
      <c r="K484" s="223">
        <f t="shared" si="31"/>
        <v>1217409.4243040401</v>
      </c>
      <c r="L484" s="223">
        <f t="shared" si="31"/>
        <v>855270.14408347139</v>
      </c>
      <c r="M484" s="114">
        <f t="shared" si="32"/>
        <v>1</v>
      </c>
      <c r="N484" s="114">
        <f t="shared" si="33"/>
        <v>0</v>
      </c>
      <c r="Q484" s="320">
        <f t="shared" si="34"/>
        <v>47300</v>
      </c>
      <c r="R484" s="101">
        <v>1</v>
      </c>
      <c r="S484" s="101">
        <v>0</v>
      </c>
      <c r="T484" s="12"/>
      <c r="U484" s="210"/>
      <c r="V484" s="13"/>
      <c r="W484" s="13"/>
      <c r="X484" s="13"/>
      <c r="Y484" s="13"/>
      <c r="Z484" s="13"/>
      <c r="AA484" s="13"/>
      <c r="AB484" s="13"/>
      <c r="AC484" s="13"/>
      <c r="AD484" s="13"/>
      <c r="AE484" s="13"/>
    </row>
    <row r="485" spans="1:31" ht="21" x14ac:dyDescent="0.4">
      <c r="A485" s="210"/>
      <c r="B485" s="108">
        <v>475</v>
      </c>
      <c r="C485" s="297">
        <v>2069.7804711183444</v>
      </c>
      <c r="D485" s="297">
        <v>3289.12291879041</v>
      </c>
      <c r="E485" s="297">
        <v>18.279904048298601</v>
      </c>
      <c r="F485" s="297">
        <v>12.890951057381391</v>
      </c>
      <c r="G485" s="322">
        <v>-1219.3424476720656</v>
      </c>
      <c r="H485" s="322">
        <v>5.3889529909172094</v>
      </c>
      <c r="I485" s="322">
        <v>-226.26704106107474</v>
      </c>
      <c r="K485" s="223">
        <f t="shared" si="31"/>
        <v>1094724.4624267977</v>
      </c>
      <c r="L485" s="223">
        <f t="shared" si="31"/>
        <v>770167.94052409299</v>
      </c>
      <c r="M485" s="114">
        <f t="shared" si="32"/>
        <v>1</v>
      </c>
      <c r="N485" s="114">
        <f t="shared" si="33"/>
        <v>0</v>
      </c>
      <c r="Q485" s="320">
        <f t="shared" si="34"/>
        <v>47400</v>
      </c>
      <c r="R485" s="101">
        <v>1</v>
      </c>
      <c r="S485" s="101">
        <v>0</v>
      </c>
      <c r="T485" s="12"/>
      <c r="U485" s="210"/>
      <c r="V485" s="13"/>
      <c r="W485" s="13"/>
      <c r="X485" s="13"/>
      <c r="Y485" s="13"/>
      <c r="Z485" s="13"/>
      <c r="AA485" s="13"/>
      <c r="AB485" s="13"/>
      <c r="AC485" s="13"/>
      <c r="AD485" s="13"/>
      <c r="AE485" s="13"/>
    </row>
    <row r="486" spans="1:31" ht="21" x14ac:dyDescent="0.4">
      <c r="A486" s="210"/>
      <c r="B486" s="108">
        <v>476</v>
      </c>
      <c r="C486" s="297">
        <v>1896.6407415149699</v>
      </c>
      <c r="D486" s="297">
        <v>2709.6191656385554</v>
      </c>
      <c r="E486" s="297">
        <v>20.864750767579295</v>
      </c>
      <c r="F486" s="297">
        <v>15.016283236428119</v>
      </c>
      <c r="G486" s="322">
        <v>-812.97842412358546</v>
      </c>
      <c r="H486" s="322">
        <v>5.8484675311511758</v>
      </c>
      <c r="I486" s="322">
        <v>-139.00708515407692</v>
      </c>
      <c r="K486" s="223">
        <f t="shared" si="31"/>
        <v>1249988.4053132427</v>
      </c>
      <c r="L486" s="223">
        <f t="shared" si="31"/>
        <v>898267.37502004858</v>
      </c>
      <c r="M486" s="114">
        <f t="shared" si="32"/>
        <v>1</v>
      </c>
      <c r="N486" s="114">
        <f t="shared" si="33"/>
        <v>0</v>
      </c>
      <c r="Q486" s="320">
        <f t="shared" si="34"/>
        <v>47500</v>
      </c>
      <c r="R486" s="101">
        <v>1</v>
      </c>
      <c r="S486" s="101">
        <v>0</v>
      </c>
      <c r="T486" s="12"/>
      <c r="U486" s="210"/>
      <c r="V486" s="13"/>
      <c r="W486" s="13"/>
      <c r="X486" s="13"/>
      <c r="Y486" s="13"/>
      <c r="Z486" s="13"/>
      <c r="AA486" s="13"/>
      <c r="AB486" s="13"/>
      <c r="AC486" s="13"/>
      <c r="AD486" s="13"/>
      <c r="AE486" s="13"/>
    </row>
    <row r="487" spans="1:31" ht="21" x14ac:dyDescent="0.4">
      <c r="A487" s="210"/>
      <c r="B487" s="108">
        <v>477</v>
      </c>
      <c r="C487" s="297">
        <v>1850.143224648571</v>
      </c>
      <c r="D487" s="297">
        <v>2996.7529050683916</v>
      </c>
      <c r="E487" s="297">
        <v>17.849032357611932</v>
      </c>
      <c r="F487" s="297">
        <v>12.940255405173678</v>
      </c>
      <c r="G487" s="322">
        <v>-1146.6096804198205</v>
      </c>
      <c r="H487" s="322">
        <v>4.9087769524382541</v>
      </c>
      <c r="I487" s="322">
        <v>-233.58357723919079</v>
      </c>
      <c r="K487" s="223">
        <f t="shared" si="31"/>
        <v>1069091.7982320674</v>
      </c>
      <c r="L487" s="223">
        <f t="shared" si="31"/>
        <v>773418.57140535233</v>
      </c>
      <c r="M487" s="114">
        <f t="shared" si="32"/>
        <v>1</v>
      </c>
      <c r="N487" s="114">
        <f t="shared" si="33"/>
        <v>0</v>
      </c>
      <c r="Q487" s="320">
        <f t="shared" si="34"/>
        <v>47600</v>
      </c>
      <c r="R487" s="101">
        <v>1</v>
      </c>
      <c r="S487" s="101">
        <v>0</v>
      </c>
      <c r="T487" s="12"/>
      <c r="U487" s="210"/>
      <c r="V487" s="13"/>
      <c r="W487" s="13"/>
      <c r="X487" s="13"/>
      <c r="Y487" s="13"/>
      <c r="Z487" s="13"/>
      <c r="AA487" s="13"/>
      <c r="AB487" s="13"/>
      <c r="AC487" s="13"/>
      <c r="AD487" s="13"/>
      <c r="AE487" s="13"/>
    </row>
    <row r="488" spans="1:31" ht="21" x14ac:dyDescent="0.4">
      <c r="A488" s="210"/>
      <c r="B488" s="108">
        <v>478</v>
      </c>
      <c r="C488" s="297">
        <v>2139.2872625306309</v>
      </c>
      <c r="D488" s="297">
        <v>3632.9444087284091</v>
      </c>
      <c r="E488" s="297">
        <v>16.682067356209767</v>
      </c>
      <c r="F488" s="297">
        <v>11.894153670137413</v>
      </c>
      <c r="G488" s="322">
        <v>-1493.6571461977783</v>
      </c>
      <c r="H488" s="322">
        <v>4.7879136860723541</v>
      </c>
      <c r="I488" s="322">
        <v>-311.9640921144221</v>
      </c>
      <c r="K488" s="223">
        <f t="shared" si="31"/>
        <v>998784.75411005539</v>
      </c>
      <c r="L488" s="223">
        <f t="shared" si="31"/>
        <v>710016.27579951636</v>
      </c>
      <c r="M488" s="114">
        <f t="shared" si="32"/>
        <v>1</v>
      </c>
      <c r="N488" s="114">
        <f t="shared" si="33"/>
        <v>0</v>
      </c>
      <c r="Q488" s="320">
        <f t="shared" si="34"/>
        <v>47700</v>
      </c>
      <c r="R488" s="101">
        <v>1</v>
      </c>
      <c r="S488" s="101">
        <v>0</v>
      </c>
      <c r="T488" s="12"/>
      <c r="U488" s="210"/>
      <c r="V488" s="13"/>
      <c r="W488" s="13"/>
      <c r="X488" s="13"/>
      <c r="Y488" s="13"/>
      <c r="Z488" s="13"/>
      <c r="AA488" s="13"/>
      <c r="AB488" s="13"/>
      <c r="AC488" s="13"/>
      <c r="AD488" s="13"/>
      <c r="AE488" s="13"/>
    </row>
    <row r="489" spans="1:31" ht="21" x14ac:dyDescent="0.4">
      <c r="A489" s="210"/>
      <c r="B489" s="108">
        <v>479</v>
      </c>
      <c r="C489" s="297">
        <v>1952.9782850200115</v>
      </c>
      <c r="D489" s="297">
        <v>3189.7488628641868</v>
      </c>
      <c r="E489" s="297">
        <v>19.388073711860613</v>
      </c>
      <c r="F489" s="297">
        <v>14.705290628776343</v>
      </c>
      <c r="G489" s="322">
        <v>-1236.7705778441752</v>
      </c>
      <c r="H489" s="322">
        <v>4.6827830830842707</v>
      </c>
      <c r="I489" s="322">
        <v>-264.11015754963989</v>
      </c>
      <c r="K489" s="223">
        <f t="shared" si="31"/>
        <v>1161331.4444266169</v>
      </c>
      <c r="L489" s="223">
        <f t="shared" si="31"/>
        <v>879127.68886371632</v>
      </c>
      <c r="M489" s="114">
        <f t="shared" si="32"/>
        <v>1</v>
      </c>
      <c r="N489" s="114">
        <f t="shared" si="33"/>
        <v>0</v>
      </c>
      <c r="Q489" s="320">
        <f t="shared" si="34"/>
        <v>47800</v>
      </c>
      <c r="R489" s="101">
        <v>1</v>
      </c>
      <c r="S489" s="101">
        <v>0</v>
      </c>
      <c r="T489" s="12"/>
      <c r="U489" s="210"/>
      <c r="V489" s="13"/>
      <c r="W489" s="13"/>
      <c r="X489" s="13"/>
      <c r="Y489" s="13"/>
      <c r="Z489" s="13"/>
      <c r="AA489" s="13"/>
      <c r="AB489" s="13"/>
      <c r="AC489" s="13"/>
      <c r="AD489" s="13"/>
      <c r="AE489" s="13"/>
    </row>
    <row r="490" spans="1:31" ht="21" x14ac:dyDescent="0.4">
      <c r="A490" s="210"/>
      <c r="B490" s="108">
        <v>480</v>
      </c>
      <c r="C490" s="297">
        <v>2178.8706109120631</v>
      </c>
      <c r="D490" s="297">
        <v>3086.0511566464729</v>
      </c>
      <c r="E490" s="297">
        <v>16.730261666192533</v>
      </c>
      <c r="F490" s="297">
        <v>10.977302756538581</v>
      </c>
      <c r="G490" s="322">
        <v>-907.18054573440986</v>
      </c>
      <c r="H490" s="322">
        <v>5.7529589096539517</v>
      </c>
      <c r="I490" s="322">
        <v>-157.68938384247525</v>
      </c>
      <c r="K490" s="223">
        <f t="shared" si="31"/>
        <v>1001636.8293606399</v>
      </c>
      <c r="L490" s="223">
        <f t="shared" si="31"/>
        <v>655552.11423566844</v>
      </c>
      <c r="M490" s="114">
        <f t="shared" si="32"/>
        <v>1</v>
      </c>
      <c r="N490" s="114">
        <f t="shared" si="33"/>
        <v>0</v>
      </c>
      <c r="Q490" s="320">
        <f t="shared" si="34"/>
        <v>47900</v>
      </c>
      <c r="R490" s="101">
        <v>1</v>
      </c>
      <c r="S490" s="101">
        <v>0</v>
      </c>
      <c r="T490" s="12"/>
      <c r="U490" s="210"/>
      <c r="V490" s="13"/>
      <c r="W490" s="13"/>
      <c r="X490" s="13"/>
      <c r="Y490" s="13"/>
      <c r="Z490" s="13"/>
      <c r="AA490" s="13"/>
      <c r="AB490" s="13"/>
      <c r="AC490" s="13"/>
      <c r="AD490" s="13"/>
      <c r="AE490" s="13"/>
    </row>
    <row r="491" spans="1:31" ht="21" x14ac:dyDescent="0.4">
      <c r="A491" s="210"/>
      <c r="B491" s="108">
        <v>481</v>
      </c>
      <c r="C491" s="297">
        <v>2327.5172511309047</v>
      </c>
      <c r="D491" s="297">
        <v>3177.0124009807132</v>
      </c>
      <c r="E491" s="297">
        <v>19.544575942498717</v>
      </c>
      <c r="F491" s="297">
        <v>14.100116659722682</v>
      </c>
      <c r="G491" s="322">
        <v>-849.49514984980851</v>
      </c>
      <c r="H491" s="322">
        <v>5.4444592827760356</v>
      </c>
      <c r="I491" s="322">
        <v>-156.02929615751771</v>
      </c>
      <c r="K491" s="223">
        <f t="shared" si="31"/>
        <v>1170347.0392987921</v>
      </c>
      <c r="L491" s="223">
        <f t="shared" si="31"/>
        <v>842829.98718238017</v>
      </c>
      <c r="M491" s="114">
        <f t="shared" si="32"/>
        <v>1</v>
      </c>
      <c r="N491" s="114">
        <f t="shared" si="33"/>
        <v>0</v>
      </c>
      <c r="Q491" s="320">
        <f t="shared" si="34"/>
        <v>48000</v>
      </c>
      <c r="R491" s="101">
        <v>1</v>
      </c>
      <c r="S491" s="101">
        <v>0</v>
      </c>
      <c r="T491" s="12"/>
      <c r="U491" s="210"/>
      <c r="V491" s="13"/>
      <c r="W491" s="13"/>
      <c r="X491" s="13"/>
      <c r="Y491" s="13"/>
      <c r="Z491" s="13"/>
      <c r="AA491" s="13"/>
      <c r="AB491" s="13"/>
      <c r="AC491" s="13"/>
      <c r="AD491" s="13"/>
      <c r="AE491" s="13"/>
    </row>
    <row r="492" spans="1:31" ht="21" x14ac:dyDescent="0.4">
      <c r="A492" s="210"/>
      <c r="B492" s="108">
        <v>482</v>
      </c>
      <c r="C492" s="297">
        <v>2024.9109631779613</v>
      </c>
      <c r="D492" s="297">
        <v>3493.4041068491028</v>
      </c>
      <c r="E492" s="297">
        <v>21.174458889009699</v>
      </c>
      <c r="F492" s="297">
        <v>15.44775495896446</v>
      </c>
      <c r="G492" s="322">
        <v>-1468.4931436711415</v>
      </c>
      <c r="H492" s="322">
        <v>5.7267039300452396</v>
      </c>
      <c r="I492" s="322">
        <v>-256.42903170996317</v>
      </c>
      <c r="K492" s="223">
        <f t="shared" si="31"/>
        <v>1268442.622377404</v>
      </c>
      <c r="L492" s="223">
        <f t="shared" si="31"/>
        <v>923371.89343101846</v>
      </c>
      <c r="M492" s="114">
        <f t="shared" si="32"/>
        <v>1</v>
      </c>
      <c r="N492" s="114">
        <f t="shared" si="33"/>
        <v>0</v>
      </c>
      <c r="Q492" s="320">
        <f t="shared" si="34"/>
        <v>48100</v>
      </c>
      <c r="R492" s="101">
        <v>1</v>
      </c>
      <c r="S492" s="101">
        <v>0</v>
      </c>
      <c r="T492" s="12"/>
      <c r="U492" s="210"/>
      <c r="V492" s="13"/>
      <c r="W492" s="13"/>
      <c r="X492" s="13"/>
      <c r="Y492" s="13"/>
      <c r="Z492" s="13"/>
      <c r="AA492" s="13"/>
      <c r="AB492" s="13"/>
      <c r="AC492" s="13"/>
      <c r="AD492" s="13"/>
      <c r="AE492" s="13"/>
    </row>
    <row r="493" spans="1:31" ht="21" x14ac:dyDescent="0.4">
      <c r="A493" s="210"/>
      <c r="B493" s="108">
        <v>483</v>
      </c>
      <c r="C493" s="297">
        <v>2065.7045097221571</v>
      </c>
      <c r="D493" s="297">
        <v>3285.7282070768933</v>
      </c>
      <c r="E493" s="297">
        <v>18.120910440104399</v>
      </c>
      <c r="F493" s="297">
        <v>14.218657253549747</v>
      </c>
      <c r="G493" s="322">
        <v>-1220.0236973547362</v>
      </c>
      <c r="H493" s="322">
        <v>3.9022531865546526</v>
      </c>
      <c r="I493" s="322">
        <v>-312.64596094337747</v>
      </c>
      <c r="K493" s="223">
        <f t="shared" si="31"/>
        <v>1085188.921896542</v>
      </c>
      <c r="L493" s="223">
        <f t="shared" si="31"/>
        <v>849833.7070059079</v>
      </c>
      <c r="M493" s="114">
        <f t="shared" si="32"/>
        <v>1</v>
      </c>
      <c r="N493" s="114">
        <f t="shared" si="33"/>
        <v>0</v>
      </c>
      <c r="Q493" s="320">
        <f t="shared" si="34"/>
        <v>48200</v>
      </c>
      <c r="R493" s="101">
        <v>1</v>
      </c>
      <c r="S493" s="101">
        <v>0</v>
      </c>
      <c r="T493" s="12"/>
      <c r="U493" s="210"/>
      <c r="V493" s="13"/>
      <c r="W493" s="13"/>
      <c r="X493" s="13"/>
      <c r="Y493" s="13"/>
      <c r="Z493" s="13"/>
      <c r="AA493" s="13"/>
      <c r="AB493" s="13"/>
      <c r="AC493" s="13"/>
      <c r="AD493" s="13"/>
      <c r="AE493" s="13"/>
    </row>
    <row r="494" spans="1:31" ht="21" x14ac:dyDescent="0.4">
      <c r="A494" s="210"/>
      <c r="B494" s="108">
        <v>484</v>
      </c>
      <c r="C494" s="297">
        <v>2160.7477375241606</v>
      </c>
      <c r="D494" s="297">
        <v>3024.540654222415</v>
      </c>
      <c r="E494" s="297">
        <v>18.289480864557248</v>
      </c>
      <c r="F494" s="297">
        <v>12.168018340266139</v>
      </c>
      <c r="G494" s="322">
        <v>-863.79291669825443</v>
      </c>
      <c r="H494" s="322">
        <v>6.1214625242911094</v>
      </c>
      <c r="I494" s="322">
        <v>-141.10891200763911</v>
      </c>
      <c r="K494" s="223">
        <f t="shared" si="31"/>
        <v>1095208.1041359107</v>
      </c>
      <c r="L494" s="223">
        <f t="shared" si="31"/>
        <v>727056.55976174597</v>
      </c>
      <c r="M494" s="114">
        <f t="shared" si="32"/>
        <v>1</v>
      </c>
      <c r="N494" s="114">
        <f t="shared" si="33"/>
        <v>0</v>
      </c>
      <c r="Q494" s="320">
        <f t="shared" si="34"/>
        <v>48300</v>
      </c>
      <c r="R494" s="101">
        <v>1</v>
      </c>
      <c r="S494" s="101">
        <v>0</v>
      </c>
      <c r="T494" s="12"/>
      <c r="U494" s="210"/>
      <c r="V494" s="13"/>
      <c r="W494" s="13"/>
      <c r="X494" s="13"/>
      <c r="Y494" s="13"/>
      <c r="Z494" s="13"/>
      <c r="AA494" s="13"/>
      <c r="AB494" s="13"/>
      <c r="AC494" s="13"/>
      <c r="AD494" s="13"/>
      <c r="AE494" s="13"/>
    </row>
    <row r="495" spans="1:31" ht="21" x14ac:dyDescent="0.4">
      <c r="A495" s="210"/>
      <c r="B495" s="108">
        <v>485</v>
      </c>
      <c r="C495" s="297">
        <v>2146.2685321744257</v>
      </c>
      <c r="D495" s="297">
        <v>3021.1628644503589</v>
      </c>
      <c r="E495" s="297">
        <v>18.100230037945778</v>
      </c>
      <c r="F495" s="297">
        <v>12.705300442734641</v>
      </c>
      <c r="G495" s="322">
        <v>-874.89433227593327</v>
      </c>
      <c r="H495" s="322">
        <v>5.3949295952111367</v>
      </c>
      <c r="I495" s="322">
        <v>-162.1697404638129</v>
      </c>
      <c r="K495" s="223">
        <f t="shared" si="31"/>
        <v>1083867.5337445722</v>
      </c>
      <c r="L495" s="223">
        <f t="shared" si="31"/>
        <v>759296.86369962816</v>
      </c>
      <c r="M495" s="114">
        <f t="shared" si="32"/>
        <v>1</v>
      </c>
      <c r="N495" s="114">
        <f t="shared" si="33"/>
        <v>0</v>
      </c>
      <c r="Q495" s="320">
        <f t="shared" si="34"/>
        <v>48400</v>
      </c>
      <c r="R495" s="101">
        <v>1</v>
      </c>
      <c r="S495" s="101">
        <v>0</v>
      </c>
      <c r="T495" s="12"/>
      <c r="U495" s="210"/>
      <c r="V495" s="13"/>
      <c r="W495" s="13"/>
      <c r="X495" s="13"/>
      <c r="Y495" s="13"/>
      <c r="Z495" s="13"/>
      <c r="AA495" s="13"/>
      <c r="AB495" s="13"/>
      <c r="AC495" s="13"/>
      <c r="AD495" s="13"/>
      <c r="AE495" s="13"/>
    </row>
    <row r="496" spans="1:31" ht="21" x14ac:dyDescent="0.4">
      <c r="A496" s="210"/>
      <c r="B496" s="108">
        <v>486</v>
      </c>
      <c r="C496" s="297">
        <v>1928.9323210042444</v>
      </c>
      <c r="D496" s="297">
        <v>2522.4186442054147</v>
      </c>
      <c r="E496" s="297">
        <v>19.782954825079031</v>
      </c>
      <c r="F496" s="297">
        <v>15.017176089383788</v>
      </c>
      <c r="G496" s="322">
        <v>-593.48632320117031</v>
      </c>
      <c r="H496" s="322">
        <v>4.7657787356952426</v>
      </c>
      <c r="I496" s="322">
        <v>-124.5308177561859</v>
      </c>
      <c r="K496" s="223">
        <f t="shared" si="31"/>
        <v>1185048.3571837374</v>
      </c>
      <c r="L496" s="223">
        <f t="shared" si="31"/>
        <v>898508.14671882184</v>
      </c>
      <c r="M496" s="114">
        <f t="shared" si="32"/>
        <v>1</v>
      </c>
      <c r="N496" s="114">
        <f t="shared" si="33"/>
        <v>0</v>
      </c>
      <c r="Q496" s="320">
        <f t="shared" si="34"/>
        <v>48500</v>
      </c>
      <c r="R496" s="101">
        <v>1</v>
      </c>
      <c r="S496" s="101">
        <v>0</v>
      </c>
      <c r="T496" s="12"/>
      <c r="U496" s="210"/>
      <c r="V496" s="13"/>
      <c r="W496" s="13"/>
      <c r="X496" s="13"/>
      <c r="Y496" s="13"/>
      <c r="Z496" s="13"/>
      <c r="AA496" s="13"/>
      <c r="AB496" s="13"/>
      <c r="AC496" s="13"/>
      <c r="AD496" s="13"/>
      <c r="AE496" s="13"/>
    </row>
    <row r="497" spans="1:31" ht="21" x14ac:dyDescent="0.4">
      <c r="A497" s="210"/>
      <c r="B497" s="108">
        <v>487</v>
      </c>
      <c r="C497" s="297">
        <v>2113.0884196766315</v>
      </c>
      <c r="D497" s="297">
        <v>2786.1402621944167</v>
      </c>
      <c r="E497" s="297">
        <v>20.690711033420257</v>
      </c>
      <c r="F497" s="297">
        <v>15.083790752391957</v>
      </c>
      <c r="G497" s="322">
        <v>-673.05184251778519</v>
      </c>
      <c r="H497" s="322">
        <v>5.6069202810282999</v>
      </c>
      <c r="I497" s="322">
        <v>-120.03948848624411</v>
      </c>
      <c r="K497" s="223">
        <f t="shared" si="31"/>
        <v>1239329.5735855389</v>
      </c>
      <c r="L497" s="223">
        <f t="shared" si="31"/>
        <v>902241.30488132301</v>
      </c>
      <c r="M497" s="114">
        <f t="shared" si="32"/>
        <v>1</v>
      </c>
      <c r="N497" s="114">
        <f t="shared" si="33"/>
        <v>0</v>
      </c>
      <c r="Q497" s="320">
        <f t="shared" si="34"/>
        <v>48600</v>
      </c>
      <c r="R497" s="101">
        <v>1</v>
      </c>
      <c r="S497" s="101">
        <v>0</v>
      </c>
      <c r="T497" s="12"/>
      <c r="U497" s="210"/>
      <c r="V497" s="13"/>
      <c r="W497" s="13"/>
      <c r="X497" s="13"/>
      <c r="Y497" s="13"/>
      <c r="Z497" s="13"/>
      <c r="AA497" s="13"/>
      <c r="AB497" s="13"/>
      <c r="AC497" s="13"/>
      <c r="AD497" s="13"/>
      <c r="AE497" s="13"/>
    </row>
    <row r="498" spans="1:31" ht="21" x14ac:dyDescent="0.4">
      <c r="A498" s="210"/>
      <c r="B498" s="108">
        <v>488</v>
      </c>
      <c r="C498" s="297">
        <v>1928.4734671509955</v>
      </c>
      <c r="D498" s="297">
        <v>2952.1107497295743</v>
      </c>
      <c r="E498" s="297">
        <v>19.100427597698793</v>
      </c>
      <c r="F498" s="297">
        <v>14.051397080856423</v>
      </c>
      <c r="G498" s="322">
        <v>-1023.6372825785788</v>
      </c>
      <c r="H498" s="322">
        <v>5.0490305168423699</v>
      </c>
      <c r="I498" s="322">
        <v>-202.73937326462325</v>
      </c>
      <c r="K498" s="223">
        <f t="shared" si="31"/>
        <v>1144097.1823947767</v>
      </c>
      <c r="L498" s="223">
        <f t="shared" si="31"/>
        <v>840131.71410165587</v>
      </c>
      <c r="M498" s="114">
        <f t="shared" si="32"/>
        <v>1</v>
      </c>
      <c r="N498" s="114">
        <f t="shared" si="33"/>
        <v>0</v>
      </c>
      <c r="Q498" s="320">
        <f t="shared" si="34"/>
        <v>48700</v>
      </c>
      <c r="R498" s="101">
        <v>1</v>
      </c>
      <c r="S498" s="101">
        <v>0</v>
      </c>
      <c r="T498" s="12"/>
      <c r="U498" s="210"/>
      <c r="V498" s="13"/>
      <c r="W498" s="13"/>
      <c r="X498" s="13"/>
      <c r="Y498" s="13"/>
      <c r="Z498" s="13"/>
      <c r="AA498" s="13"/>
      <c r="AB498" s="13"/>
      <c r="AC498" s="13"/>
      <c r="AD498" s="13"/>
      <c r="AE498" s="13"/>
    </row>
    <row r="499" spans="1:31" ht="21" x14ac:dyDescent="0.4">
      <c r="A499" s="210"/>
      <c r="B499" s="108">
        <v>489</v>
      </c>
      <c r="C499" s="297">
        <v>2255.5943216656333</v>
      </c>
      <c r="D499" s="297">
        <v>2903.8834851479223</v>
      </c>
      <c r="E499" s="297">
        <v>16.777516822724689</v>
      </c>
      <c r="F499" s="297">
        <v>11.461052997837569</v>
      </c>
      <c r="G499" s="322">
        <v>-648.28916348228904</v>
      </c>
      <c r="H499" s="322">
        <v>5.3164638248871192</v>
      </c>
      <c r="I499" s="322">
        <v>-121.93991811766982</v>
      </c>
      <c r="K499" s="223">
        <f t="shared" si="31"/>
        <v>1004395.4150418157</v>
      </c>
      <c r="L499" s="223">
        <f t="shared" si="31"/>
        <v>684759.29638510616</v>
      </c>
      <c r="M499" s="114">
        <f t="shared" si="32"/>
        <v>1</v>
      </c>
      <c r="N499" s="114">
        <f t="shared" si="33"/>
        <v>0</v>
      </c>
      <c r="Q499" s="320">
        <f t="shared" si="34"/>
        <v>48800</v>
      </c>
      <c r="R499" s="101">
        <v>1</v>
      </c>
      <c r="S499" s="101">
        <v>0</v>
      </c>
      <c r="T499" s="12"/>
      <c r="U499" s="210"/>
      <c r="V499" s="13"/>
      <c r="W499" s="13"/>
      <c r="X499" s="13"/>
      <c r="Y499" s="13"/>
      <c r="Z499" s="13"/>
      <c r="AA499" s="13"/>
      <c r="AB499" s="13"/>
      <c r="AC499" s="13"/>
      <c r="AD499" s="13"/>
      <c r="AE499" s="13"/>
    </row>
    <row r="500" spans="1:31" ht="21" x14ac:dyDescent="0.4">
      <c r="A500" s="210"/>
      <c r="B500" s="108">
        <v>490</v>
      </c>
      <c r="C500" s="297">
        <v>1971.9098787960049</v>
      </c>
      <c r="D500" s="297">
        <v>2910.6578651766831</v>
      </c>
      <c r="E500" s="297">
        <v>17.358703227603726</v>
      </c>
      <c r="F500" s="297">
        <v>12.954144890099935</v>
      </c>
      <c r="G500" s="322">
        <v>-938.74798638067819</v>
      </c>
      <c r="H500" s="322">
        <v>4.4045583375037918</v>
      </c>
      <c r="I500" s="322">
        <v>-213.13101438286265</v>
      </c>
      <c r="K500" s="223">
        <f t="shared" si="31"/>
        <v>1039550.2837774276</v>
      </c>
      <c r="L500" s="223">
        <f t="shared" si="31"/>
        <v>774338.0355408194</v>
      </c>
      <c r="M500" s="114">
        <f t="shared" si="32"/>
        <v>1</v>
      </c>
      <c r="N500" s="114">
        <f t="shared" si="33"/>
        <v>0</v>
      </c>
      <c r="Q500" s="320">
        <f t="shared" si="34"/>
        <v>48900</v>
      </c>
      <c r="R500" s="101">
        <v>1</v>
      </c>
      <c r="S500" s="101">
        <v>0</v>
      </c>
      <c r="T500" s="12"/>
      <c r="U500" s="210"/>
      <c r="V500" s="13"/>
      <c r="W500" s="13"/>
      <c r="X500" s="13"/>
      <c r="Y500" s="13"/>
      <c r="Z500" s="13"/>
      <c r="AA500" s="13"/>
      <c r="AB500" s="13"/>
      <c r="AC500" s="13"/>
      <c r="AD500" s="13"/>
      <c r="AE500" s="13"/>
    </row>
    <row r="501" spans="1:31" ht="21" x14ac:dyDescent="0.4">
      <c r="A501" s="210"/>
      <c r="B501" s="108">
        <v>491</v>
      </c>
      <c r="C501" s="297">
        <v>1865.255697443517</v>
      </c>
      <c r="D501" s="297">
        <v>2846.8658198763096</v>
      </c>
      <c r="E501" s="297">
        <v>17.718974857970146</v>
      </c>
      <c r="F501" s="297">
        <v>12.53601727277943</v>
      </c>
      <c r="G501" s="322">
        <v>-981.61012243279265</v>
      </c>
      <c r="H501" s="322">
        <v>5.1829575851907155</v>
      </c>
      <c r="I501" s="322">
        <v>-189.39188799027625</v>
      </c>
      <c r="K501" s="223">
        <f t="shared" si="31"/>
        <v>1061273.2357807651</v>
      </c>
      <c r="L501" s="223">
        <f t="shared" si="31"/>
        <v>749314.17054688954</v>
      </c>
      <c r="M501" s="114">
        <f t="shared" si="32"/>
        <v>1</v>
      </c>
      <c r="N501" s="114">
        <f t="shared" si="33"/>
        <v>0</v>
      </c>
      <c r="Q501" s="320">
        <f t="shared" si="34"/>
        <v>49000</v>
      </c>
      <c r="R501" s="101">
        <v>1</v>
      </c>
      <c r="S501" s="101">
        <v>0</v>
      </c>
      <c r="T501" s="12"/>
      <c r="U501" s="210"/>
      <c r="V501" s="13"/>
      <c r="W501" s="13"/>
      <c r="X501" s="13"/>
      <c r="Y501" s="13"/>
      <c r="Z501" s="13"/>
      <c r="AA501" s="13"/>
      <c r="AB501" s="13"/>
      <c r="AC501" s="13"/>
      <c r="AD501" s="13"/>
      <c r="AE501" s="13"/>
    </row>
    <row r="502" spans="1:31" ht="21" x14ac:dyDescent="0.4">
      <c r="A502" s="210"/>
      <c r="B502" s="108">
        <v>492</v>
      </c>
      <c r="C502" s="297">
        <v>2240.7166296381538</v>
      </c>
      <c r="D502" s="297">
        <v>3424.2030702933916</v>
      </c>
      <c r="E502" s="297">
        <v>19.517303077971523</v>
      </c>
      <c r="F502" s="297">
        <v>14.59196012831474</v>
      </c>
      <c r="G502" s="322">
        <v>-1183.4864406552379</v>
      </c>
      <c r="H502" s="322">
        <v>4.9253429496567822</v>
      </c>
      <c r="I502" s="322">
        <v>-240.28508324231674</v>
      </c>
      <c r="K502" s="223">
        <f t="shared" si="31"/>
        <v>1168797.4680486533</v>
      </c>
      <c r="L502" s="223">
        <f t="shared" si="31"/>
        <v>872093.40462859103</v>
      </c>
      <c r="M502" s="114">
        <f t="shared" si="32"/>
        <v>1</v>
      </c>
      <c r="N502" s="114">
        <f t="shared" si="33"/>
        <v>0</v>
      </c>
      <c r="Q502" s="320">
        <f t="shared" si="34"/>
        <v>49100</v>
      </c>
      <c r="R502" s="101">
        <v>1</v>
      </c>
      <c r="S502" s="101">
        <v>0</v>
      </c>
      <c r="T502" s="12"/>
      <c r="U502" s="210"/>
      <c r="V502" s="13"/>
      <c r="W502" s="13"/>
      <c r="X502" s="13"/>
      <c r="Y502" s="13"/>
      <c r="Z502" s="13"/>
      <c r="AA502" s="13"/>
      <c r="AB502" s="13"/>
      <c r="AC502" s="13"/>
      <c r="AD502" s="13"/>
      <c r="AE502" s="13"/>
    </row>
    <row r="503" spans="1:31" ht="21" x14ac:dyDescent="0.4">
      <c r="A503" s="210"/>
      <c r="B503" s="108">
        <v>493</v>
      </c>
      <c r="C503" s="297">
        <v>1958.2626464135994</v>
      </c>
      <c r="D503" s="297">
        <v>2761.5912348925685</v>
      </c>
      <c r="E503" s="297">
        <v>16.876063057749281</v>
      </c>
      <c r="F503" s="297">
        <v>11.25486309172412</v>
      </c>
      <c r="G503" s="322">
        <v>-803.3285884789691</v>
      </c>
      <c r="H503" s="322">
        <v>5.621199966025161</v>
      </c>
      <c r="I503" s="322">
        <v>-142.91051614145215</v>
      </c>
      <c r="K503" s="223">
        <f t="shared" si="31"/>
        <v>1010605.5208185433</v>
      </c>
      <c r="L503" s="223">
        <f t="shared" si="31"/>
        <v>672530.19426855457</v>
      </c>
      <c r="M503" s="114">
        <f t="shared" si="32"/>
        <v>1</v>
      </c>
      <c r="N503" s="114">
        <f t="shared" si="33"/>
        <v>0</v>
      </c>
      <c r="Q503" s="320">
        <f t="shared" si="34"/>
        <v>49200</v>
      </c>
      <c r="R503" s="101">
        <v>1</v>
      </c>
      <c r="S503" s="101">
        <v>0</v>
      </c>
      <c r="T503" s="12"/>
      <c r="U503" s="210"/>
      <c r="V503" s="13"/>
      <c r="W503" s="13"/>
      <c r="X503" s="13"/>
      <c r="Y503" s="13"/>
      <c r="Z503" s="13"/>
      <c r="AA503" s="13"/>
      <c r="AB503" s="13"/>
      <c r="AC503" s="13"/>
      <c r="AD503" s="13"/>
      <c r="AE503" s="13"/>
    </row>
    <row r="504" spans="1:31" ht="21" x14ac:dyDescent="0.4">
      <c r="A504" s="210"/>
      <c r="B504" s="108">
        <v>494</v>
      </c>
      <c r="C504" s="297">
        <v>1970.7435247007515</v>
      </c>
      <c r="D504" s="297">
        <v>2968.417652935148</v>
      </c>
      <c r="E504" s="297">
        <v>21.020899315909578</v>
      </c>
      <c r="F504" s="297">
        <v>15.879012263419094</v>
      </c>
      <c r="G504" s="322">
        <v>-997.67412823439645</v>
      </c>
      <c r="H504" s="322">
        <v>5.1418870524904836</v>
      </c>
      <c r="I504" s="322">
        <v>-194.0287909963271</v>
      </c>
      <c r="K504" s="223">
        <f t="shared" si="31"/>
        <v>1259283.2154298739</v>
      </c>
      <c r="L504" s="223">
        <f t="shared" si="31"/>
        <v>949772.31815221056</v>
      </c>
      <c r="M504" s="114">
        <f t="shared" si="32"/>
        <v>1</v>
      </c>
      <c r="N504" s="114">
        <f t="shared" si="33"/>
        <v>0</v>
      </c>
      <c r="Q504" s="320">
        <f t="shared" si="34"/>
        <v>49300</v>
      </c>
      <c r="R504" s="101">
        <v>1</v>
      </c>
      <c r="S504" s="101">
        <v>0</v>
      </c>
      <c r="T504" s="12"/>
      <c r="U504" s="210"/>
      <c r="V504" s="13"/>
      <c r="W504" s="13"/>
      <c r="X504" s="13"/>
      <c r="Y504" s="13"/>
      <c r="Z504" s="13"/>
      <c r="AA504" s="13"/>
      <c r="AB504" s="13"/>
      <c r="AC504" s="13"/>
      <c r="AD504" s="13"/>
      <c r="AE504" s="13"/>
    </row>
    <row r="505" spans="1:31" ht="21" x14ac:dyDescent="0.4">
      <c r="A505" s="210"/>
      <c r="B505" s="108">
        <v>495</v>
      </c>
      <c r="C505" s="297">
        <v>2065.2009748159412</v>
      </c>
      <c r="D505" s="297">
        <v>3063.5230835174953</v>
      </c>
      <c r="E505" s="297">
        <v>18.841242288686377</v>
      </c>
      <c r="F505" s="297">
        <v>13.722996539979237</v>
      </c>
      <c r="G505" s="322">
        <v>-998.32210870155404</v>
      </c>
      <c r="H505" s="322">
        <v>5.1182457487071407</v>
      </c>
      <c r="I505" s="322">
        <v>-195.0516168462072</v>
      </c>
      <c r="K505" s="223">
        <f t="shared" si="31"/>
        <v>1128409.3363463667</v>
      </c>
      <c r="L505" s="223">
        <f t="shared" si="31"/>
        <v>820316.26931523671</v>
      </c>
      <c r="M505" s="114">
        <f t="shared" si="32"/>
        <v>1</v>
      </c>
      <c r="N505" s="114">
        <f t="shared" si="33"/>
        <v>0</v>
      </c>
      <c r="Q505" s="320">
        <f t="shared" si="34"/>
        <v>49400</v>
      </c>
      <c r="R505" s="101">
        <v>1</v>
      </c>
      <c r="S505" s="101">
        <v>0</v>
      </c>
      <c r="T505" s="12"/>
      <c r="U505" s="210"/>
      <c r="V505" s="13"/>
      <c r="W505" s="13"/>
      <c r="X505" s="13"/>
      <c r="Y505" s="13"/>
      <c r="Z505" s="13"/>
      <c r="AA505" s="13"/>
      <c r="AB505" s="13"/>
      <c r="AC505" s="13"/>
      <c r="AD505" s="13"/>
      <c r="AE505" s="13"/>
    </row>
    <row r="506" spans="1:31" ht="21" x14ac:dyDescent="0.4">
      <c r="A506" s="210"/>
      <c r="B506" s="108">
        <v>496</v>
      </c>
      <c r="C506" s="297">
        <v>2072.9195275845168</v>
      </c>
      <c r="D506" s="297">
        <v>3174.6351679340182</v>
      </c>
      <c r="E506" s="297">
        <v>19.161303833351603</v>
      </c>
      <c r="F506" s="297">
        <v>13.567780077883308</v>
      </c>
      <c r="G506" s="322">
        <v>-1101.7156403495014</v>
      </c>
      <c r="H506" s="322">
        <v>5.5935237554682953</v>
      </c>
      <c r="I506" s="322">
        <v>-196.96271769158952</v>
      </c>
      <c r="K506" s="223">
        <f t="shared" si="31"/>
        <v>1147605.3104735117</v>
      </c>
      <c r="L506" s="223">
        <f t="shared" si="31"/>
        <v>810892.16950506449</v>
      </c>
      <c r="M506" s="114">
        <f t="shared" si="32"/>
        <v>1</v>
      </c>
      <c r="N506" s="114">
        <f t="shared" si="33"/>
        <v>0</v>
      </c>
      <c r="Q506" s="320">
        <f t="shared" si="34"/>
        <v>49500</v>
      </c>
      <c r="R506" s="101">
        <v>1</v>
      </c>
      <c r="S506" s="101">
        <v>0</v>
      </c>
      <c r="T506" s="12"/>
      <c r="U506" s="210"/>
      <c r="V506" s="13"/>
      <c r="W506" s="13"/>
      <c r="X506" s="13"/>
      <c r="Y506" s="13"/>
      <c r="Z506" s="13"/>
      <c r="AA506" s="13"/>
      <c r="AB506" s="13"/>
      <c r="AC506" s="13"/>
      <c r="AD506" s="13"/>
      <c r="AE506" s="13"/>
    </row>
    <row r="507" spans="1:31" ht="21" x14ac:dyDescent="0.4">
      <c r="A507" s="210"/>
      <c r="B507" s="108">
        <v>497</v>
      </c>
      <c r="C507" s="297">
        <v>1844.5455372630199</v>
      </c>
      <c r="D507" s="297">
        <v>2857.3132691384544</v>
      </c>
      <c r="E507" s="297">
        <v>20.024395884203383</v>
      </c>
      <c r="F507" s="297">
        <v>15.304229793999141</v>
      </c>
      <c r="G507" s="322">
        <v>-1012.7677318754345</v>
      </c>
      <c r="H507" s="322">
        <v>4.7201660902042413</v>
      </c>
      <c r="I507" s="322">
        <v>-214.5618845864833</v>
      </c>
      <c r="K507" s="223">
        <f t="shared" si="31"/>
        <v>1199619.2075149401</v>
      </c>
      <c r="L507" s="223">
        <f t="shared" si="31"/>
        <v>915396.47437081009</v>
      </c>
      <c r="M507" s="114">
        <f t="shared" si="32"/>
        <v>1</v>
      </c>
      <c r="N507" s="114">
        <f t="shared" si="33"/>
        <v>0</v>
      </c>
      <c r="Q507" s="320">
        <f t="shared" si="34"/>
        <v>49600</v>
      </c>
      <c r="R507" s="101">
        <v>1</v>
      </c>
      <c r="S507" s="101">
        <v>0</v>
      </c>
      <c r="T507" s="12"/>
      <c r="U507" s="210"/>
      <c r="V507" s="13"/>
      <c r="W507" s="13"/>
      <c r="X507" s="13"/>
      <c r="Y507" s="13"/>
      <c r="Z507" s="13"/>
      <c r="AA507" s="13"/>
      <c r="AB507" s="13"/>
      <c r="AC507" s="13"/>
      <c r="AD507" s="13"/>
      <c r="AE507" s="13"/>
    </row>
    <row r="508" spans="1:31" ht="21" x14ac:dyDescent="0.4">
      <c r="A508" s="210"/>
      <c r="B508" s="108">
        <v>498</v>
      </c>
      <c r="C508" s="297">
        <v>2070.5991871210722</v>
      </c>
      <c r="D508" s="297">
        <v>3121.1618641286</v>
      </c>
      <c r="E508" s="297">
        <v>19.645257729040178</v>
      </c>
      <c r="F508" s="297">
        <v>15.176433026125142</v>
      </c>
      <c r="G508" s="322">
        <v>-1050.5626770075278</v>
      </c>
      <c r="H508" s="322">
        <v>4.4688247029150361</v>
      </c>
      <c r="I508" s="322">
        <v>-235.0870188133002</v>
      </c>
      <c r="K508" s="223">
        <f t="shared" si="31"/>
        <v>1176644.8645552897</v>
      </c>
      <c r="L508" s="223">
        <f t="shared" si="31"/>
        <v>907464.81970338</v>
      </c>
      <c r="M508" s="114">
        <f t="shared" si="32"/>
        <v>1</v>
      </c>
      <c r="N508" s="114">
        <f t="shared" si="33"/>
        <v>0</v>
      </c>
      <c r="Q508" s="320">
        <f t="shared" si="34"/>
        <v>49700</v>
      </c>
      <c r="R508" s="101">
        <v>1</v>
      </c>
      <c r="S508" s="101">
        <v>0</v>
      </c>
      <c r="T508" s="12"/>
      <c r="U508" s="210"/>
      <c r="V508" s="13"/>
      <c r="W508" s="13"/>
      <c r="X508" s="13"/>
      <c r="Y508" s="13"/>
      <c r="Z508" s="13"/>
      <c r="AA508" s="13"/>
      <c r="AB508" s="13"/>
      <c r="AC508" s="13"/>
      <c r="AD508" s="13"/>
      <c r="AE508" s="13"/>
    </row>
    <row r="509" spans="1:31" ht="21" x14ac:dyDescent="0.4">
      <c r="A509" s="210"/>
      <c r="B509" s="108">
        <v>499</v>
      </c>
      <c r="C509" s="297">
        <v>1806.7236235054684</v>
      </c>
      <c r="D509" s="297">
        <v>2546.1468834939069</v>
      </c>
      <c r="E509" s="297">
        <v>19.831307841820671</v>
      </c>
      <c r="F509" s="297">
        <v>15.067034261322238</v>
      </c>
      <c r="G509" s="322">
        <v>-739.42325998843853</v>
      </c>
      <c r="H509" s="322">
        <v>4.7642735804984326</v>
      </c>
      <c r="I509" s="322">
        <v>-155.20167922663268</v>
      </c>
      <c r="K509" s="223">
        <f t="shared" si="31"/>
        <v>1188071.7468857346</v>
      </c>
      <c r="L509" s="223">
        <f t="shared" si="31"/>
        <v>901475.90879584046</v>
      </c>
      <c r="M509" s="114">
        <f t="shared" si="32"/>
        <v>1</v>
      </c>
      <c r="N509" s="114">
        <f t="shared" si="33"/>
        <v>0</v>
      </c>
      <c r="Q509" s="320">
        <f t="shared" si="34"/>
        <v>49800</v>
      </c>
      <c r="R509" s="101">
        <v>1</v>
      </c>
      <c r="S509" s="101">
        <v>0</v>
      </c>
      <c r="T509" s="12"/>
      <c r="U509" s="210"/>
      <c r="V509" s="13"/>
      <c r="W509" s="13"/>
      <c r="X509" s="13"/>
      <c r="Y509" s="13"/>
      <c r="Z509" s="13"/>
      <c r="AA509" s="13"/>
      <c r="AB509" s="13"/>
      <c r="AC509" s="13"/>
      <c r="AD509" s="13"/>
      <c r="AE509" s="13"/>
    </row>
    <row r="510" spans="1:31" ht="21" x14ac:dyDescent="0.4">
      <c r="A510" s="210"/>
      <c r="B510" s="108">
        <v>500</v>
      </c>
      <c r="C510" s="297">
        <v>1930.1189251703265</v>
      </c>
      <c r="D510" s="297">
        <v>3064.8359193241213</v>
      </c>
      <c r="E510" s="297">
        <v>20.884784085493962</v>
      </c>
      <c r="F510" s="297">
        <v>14.94941989923371</v>
      </c>
      <c r="G510" s="322">
        <v>-1134.7169941537948</v>
      </c>
      <c r="H510" s="322">
        <v>5.9353641862602515</v>
      </c>
      <c r="I510" s="322">
        <v>-191.17900073942323</v>
      </c>
      <c r="K510" s="223">
        <f t="shared" si="31"/>
        <v>1251156.9262044674</v>
      </c>
      <c r="L510" s="223">
        <f t="shared" si="31"/>
        <v>893900.35803469853</v>
      </c>
      <c r="M510" s="114">
        <f t="shared" si="32"/>
        <v>1</v>
      </c>
      <c r="N510" s="114">
        <f t="shared" si="33"/>
        <v>0</v>
      </c>
      <c r="Q510" s="320">
        <f t="shared" si="34"/>
        <v>49900</v>
      </c>
      <c r="R510" s="101">
        <v>1</v>
      </c>
      <c r="S510" s="101">
        <v>0</v>
      </c>
      <c r="T510" s="12"/>
      <c r="U510" s="210"/>
      <c r="V510" s="13"/>
      <c r="W510" s="13"/>
      <c r="X510" s="13"/>
      <c r="Y510" s="13"/>
      <c r="Z510" s="13"/>
      <c r="AA510" s="13"/>
      <c r="AB510" s="13"/>
      <c r="AC510" s="13"/>
      <c r="AD510" s="13"/>
      <c r="AE510" s="13"/>
    </row>
    <row r="511" spans="1:31" ht="21" x14ac:dyDescent="0.4">
      <c r="A511" s="210"/>
      <c r="B511" s="108">
        <v>501</v>
      </c>
      <c r="C511" s="297">
        <v>2249.2631957818148</v>
      </c>
      <c r="D511" s="297">
        <v>3549.9054567992525</v>
      </c>
      <c r="E511" s="297">
        <v>19.299756894018973</v>
      </c>
      <c r="F511" s="297">
        <v>15.798435882113719</v>
      </c>
      <c r="G511" s="322">
        <v>-1300.6422610174377</v>
      </c>
      <c r="H511" s="322">
        <v>3.5013210119052545</v>
      </c>
      <c r="I511" s="322">
        <v>-371.47186921592464</v>
      </c>
      <c r="K511" s="223">
        <f t="shared" si="31"/>
        <v>1155736.1504453567</v>
      </c>
      <c r="L511" s="223">
        <f t="shared" si="31"/>
        <v>944356.24747002393</v>
      </c>
      <c r="M511" s="114">
        <f t="shared" si="32"/>
        <v>1</v>
      </c>
      <c r="N511" s="114">
        <f t="shared" si="33"/>
        <v>0</v>
      </c>
      <c r="Q511" s="320">
        <f t="shared" si="34"/>
        <v>50000</v>
      </c>
      <c r="R511" s="101">
        <v>1</v>
      </c>
      <c r="S511" s="101">
        <v>0</v>
      </c>
      <c r="T511" s="12"/>
      <c r="U511" s="210"/>
      <c r="V511" s="13"/>
      <c r="W511" s="13"/>
      <c r="X511" s="13"/>
      <c r="Y511" s="13"/>
      <c r="Z511" s="13"/>
      <c r="AA511" s="13"/>
      <c r="AB511" s="13"/>
      <c r="AC511" s="13"/>
      <c r="AD511" s="13"/>
      <c r="AE511" s="13"/>
    </row>
    <row r="512" spans="1:31" ht="21" x14ac:dyDescent="0.4">
      <c r="A512" s="210"/>
      <c r="B512" s="108">
        <v>502</v>
      </c>
      <c r="C512" s="297">
        <v>2067.2793803052846</v>
      </c>
      <c r="D512" s="297">
        <v>3031.0170880546161</v>
      </c>
      <c r="E512" s="297">
        <v>19.366747763724049</v>
      </c>
      <c r="F512" s="297">
        <v>14.610288880043372</v>
      </c>
      <c r="G512" s="322">
        <v>-963.73770774933155</v>
      </c>
      <c r="H512" s="322">
        <v>4.7564588836806774</v>
      </c>
      <c r="I512" s="322">
        <v>-202.61663799005976</v>
      </c>
      <c r="K512" s="223">
        <f t="shared" si="31"/>
        <v>1159937.5864431378</v>
      </c>
      <c r="L512" s="223">
        <f t="shared" si="31"/>
        <v>873586.31571454776</v>
      </c>
      <c r="M512" s="114">
        <f t="shared" si="32"/>
        <v>1</v>
      </c>
      <c r="N512" s="114">
        <f t="shared" si="33"/>
        <v>0</v>
      </c>
      <c r="Q512" s="320">
        <f t="shared" si="34"/>
        <v>50100</v>
      </c>
      <c r="R512" s="101">
        <v>1</v>
      </c>
      <c r="S512" s="101">
        <v>0</v>
      </c>
      <c r="T512" s="12"/>
      <c r="U512" s="210"/>
      <c r="V512" s="13"/>
      <c r="W512" s="13"/>
      <c r="X512" s="13"/>
      <c r="Y512" s="13"/>
      <c r="Z512" s="13"/>
      <c r="AA512" s="13"/>
      <c r="AB512" s="13"/>
      <c r="AC512" s="13"/>
      <c r="AD512" s="13"/>
      <c r="AE512" s="13"/>
    </row>
    <row r="513" spans="1:31" ht="21" x14ac:dyDescent="0.4">
      <c r="A513" s="210"/>
      <c r="B513" s="108">
        <v>503</v>
      </c>
      <c r="C513" s="297">
        <v>2114.0559057477894</v>
      </c>
      <c r="D513" s="297">
        <v>3138.8537165506091</v>
      </c>
      <c r="E513" s="297">
        <v>18.863136546659415</v>
      </c>
      <c r="F513" s="297">
        <v>13.164692335134912</v>
      </c>
      <c r="G513" s="322">
        <v>-1024.7978108028196</v>
      </c>
      <c r="H513" s="322">
        <v>5.6984442115245031</v>
      </c>
      <c r="I513" s="322">
        <v>-179.83817560769904</v>
      </c>
      <c r="K513" s="223">
        <f t="shared" si="31"/>
        <v>1129674.1368938172</v>
      </c>
      <c r="L513" s="223">
        <f t="shared" si="31"/>
        <v>786742.68639154406</v>
      </c>
      <c r="M513" s="114">
        <f t="shared" si="32"/>
        <v>1</v>
      </c>
      <c r="N513" s="114">
        <f t="shared" si="33"/>
        <v>0</v>
      </c>
      <c r="Q513" s="320">
        <f t="shared" si="34"/>
        <v>50200</v>
      </c>
      <c r="R513" s="101">
        <v>1</v>
      </c>
      <c r="S513" s="101">
        <v>0</v>
      </c>
      <c r="T513" s="12"/>
      <c r="U513" s="210"/>
      <c r="V513" s="13"/>
      <c r="W513" s="13"/>
      <c r="X513" s="13"/>
      <c r="Y513" s="13"/>
      <c r="Z513" s="13"/>
      <c r="AA513" s="13"/>
      <c r="AB513" s="13"/>
      <c r="AC513" s="13"/>
      <c r="AD513" s="13"/>
      <c r="AE513" s="13"/>
    </row>
    <row r="514" spans="1:31" ht="21" x14ac:dyDescent="0.4">
      <c r="A514" s="210"/>
      <c r="B514" s="108">
        <v>504</v>
      </c>
      <c r="C514" s="297">
        <v>1894.1819035000694</v>
      </c>
      <c r="D514" s="297">
        <v>2841.1974467098644</v>
      </c>
      <c r="E514" s="297">
        <v>19.109163356344947</v>
      </c>
      <c r="F514" s="297">
        <v>13.962532447500848</v>
      </c>
      <c r="G514" s="322">
        <v>-947.01554320979494</v>
      </c>
      <c r="H514" s="322">
        <v>5.1466309088440987</v>
      </c>
      <c r="I514" s="322">
        <v>-184.00688916363126</v>
      </c>
      <c r="K514" s="223">
        <f t="shared" si="31"/>
        <v>1144655.6194771966</v>
      </c>
      <c r="L514" s="223">
        <f t="shared" si="31"/>
        <v>834910.74940334109</v>
      </c>
      <c r="M514" s="114">
        <f t="shared" si="32"/>
        <v>1</v>
      </c>
      <c r="N514" s="114">
        <f t="shared" si="33"/>
        <v>0</v>
      </c>
      <c r="Q514" s="320">
        <f t="shared" si="34"/>
        <v>50300</v>
      </c>
      <c r="R514" s="101">
        <v>1</v>
      </c>
      <c r="S514" s="101">
        <v>0</v>
      </c>
      <c r="T514" s="12"/>
      <c r="U514" s="210"/>
      <c r="V514" s="13"/>
      <c r="W514" s="13"/>
      <c r="X514" s="13"/>
      <c r="Y514" s="13"/>
      <c r="Z514" s="13"/>
      <c r="AA514" s="13"/>
      <c r="AB514" s="13"/>
      <c r="AC514" s="13"/>
      <c r="AD514" s="13"/>
      <c r="AE514" s="13"/>
    </row>
    <row r="515" spans="1:31" ht="21" x14ac:dyDescent="0.4">
      <c r="A515" s="210"/>
      <c r="B515" s="108">
        <v>505</v>
      </c>
      <c r="C515" s="297">
        <v>1986.0942231833897</v>
      </c>
      <c r="D515" s="297">
        <v>3037.1359265372357</v>
      </c>
      <c r="E515" s="297">
        <v>19.70279056444959</v>
      </c>
      <c r="F515" s="297">
        <v>14.632329481082557</v>
      </c>
      <c r="G515" s="322">
        <v>-1051.0417033538461</v>
      </c>
      <c r="H515" s="322">
        <v>5.0704610833670323</v>
      </c>
      <c r="I515" s="322">
        <v>-207.2872044717289</v>
      </c>
      <c r="K515" s="223">
        <f t="shared" si="31"/>
        <v>1180181.339643792</v>
      </c>
      <c r="L515" s="223">
        <f t="shared" si="31"/>
        <v>874902.63293841621</v>
      </c>
      <c r="M515" s="114">
        <f t="shared" si="32"/>
        <v>1</v>
      </c>
      <c r="N515" s="114">
        <f t="shared" si="33"/>
        <v>0</v>
      </c>
      <c r="Q515" s="320">
        <f t="shared" si="34"/>
        <v>50400</v>
      </c>
      <c r="R515" s="101">
        <v>1</v>
      </c>
      <c r="S515" s="101">
        <v>0</v>
      </c>
      <c r="T515" s="12"/>
      <c r="U515" s="210"/>
      <c r="V515" s="13"/>
      <c r="W515" s="13"/>
      <c r="X515" s="13"/>
      <c r="Y515" s="13"/>
      <c r="Z515" s="13"/>
      <c r="AA515" s="13"/>
      <c r="AB515" s="13"/>
      <c r="AC515" s="13"/>
      <c r="AD515" s="13"/>
      <c r="AE515" s="13"/>
    </row>
    <row r="516" spans="1:31" ht="21" x14ac:dyDescent="0.4">
      <c r="A516" s="210"/>
      <c r="B516" s="108">
        <v>506</v>
      </c>
      <c r="C516" s="297">
        <v>2000.0095874480594</v>
      </c>
      <c r="D516" s="297">
        <v>3137.7765170078728</v>
      </c>
      <c r="E516" s="297">
        <v>19.558079716992882</v>
      </c>
      <c r="F516" s="297">
        <v>15.375466188612142</v>
      </c>
      <c r="G516" s="322">
        <v>-1137.7669295598134</v>
      </c>
      <c r="H516" s="322">
        <v>4.18261352838074</v>
      </c>
      <c r="I516" s="322">
        <v>-272.0229640724873</v>
      </c>
      <c r="K516" s="223">
        <f t="shared" si="31"/>
        <v>1171484.7734321249</v>
      </c>
      <c r="L516" s="223">
        <f t="shared" si="31"/>
        <v>919390.19479972066</v>
      </c>
      <c r="M516" s="114">
        <f t="shared" si="32"/>
        <v>1</v>
      </c>
      <c r="N516" s="114">
        <f t="shared" si="33"/>
        <v>0</v>
      </c>
      <c r="Q516" s="320">
        <f t="shared" si="34"/>
        <v>50500</v>
      </c>
      <c r="R516" s="101">
        <v>1</v>
      </c>
      <c r="S516" s="101">
        <v>0</v>
      </c>
      <c r="T516" s="12"/>
      <c r="U516" s="210"/>
      <c r="V516" s="13"/>
      <c r="W516" s="13"/>
      <c r="X516" s="13"/>
      <c r="Y516" s="13"/>
      <c r="Z516" s="13"/>
      <c r="AA516" s="13"/>
      <c r="AB516" s="13"/>
      <c r="AC516" s="13"/>
      <c r="AD516" s="13"/>
      <c r="AE516" s="13"/>
    </row>
    <row r="517" spans="1:31" ht="21" x14ac:dyDescent="0.4">
      <c r="A517" s="210"/>
      <c r="B517" s="108">
        <v>507</v>
      </c>
      <c r="C517" s="297">
        <v>1988.327329279075</v>
      </c>
      <c r="D517" s="297">
        <v>3455.1262969289669</v>
      </c>
      <c r="E517" s="297">
        <v>19.22246795373778</v>
      </c>
      <c r="F517" s="297">
        <v>13.962412948749094</v>
      </c>
      <c r="G517" s="322">
        <v>-1466.7989676498919</v>
      </c>
      <c r="H517" s="322">
        <v>5.2600550049886863</v>
      </c>
      <c r="I517" s="322">
        <v>-278.85620326379967</v>
      </c>
      <c r="K517" s="223">
        <f t="shared" si="31"/>
        <v>1151359.7498949876</v>
      </c>
      <c r="L517" s="223">
        <f t="shared" si="31"/>
        <v>834289.65062801668</v>
      </c>
      <c r="M517" s="114">
        <f t="shared" si="32"/>
        <v>1</v>
      </c>
      <c r="N517" s="114">
        <f t="shared" si="33"/>
        <v>0</v>
      </c>
      <c r="Q517" s="320">
        <f t="shared" si="34"/>
        <v>50600</v>
      </c>
      <c r="R517" s="101">
        <v>1</v>
      </c>
      <c r="S517" s="101">
        <v>0</v>
      </c>
      <c r="T517" s="12"/>
      <c r="U517" s="210"/>
      <c r="V517" s="13"/>
      <c r="W517" s="13"/>
      <c r="X517" s="13"/>
      <c r="Y517" s="13"/>
      <c r="Z517" s="13"/>
      <c r="AA517" s="13"/>
      <c r="AB517" s="13"/>
      <c r="AC517" s="13"/>
      <c r="AD517" s="13"/>
      <c r="AE517" s="13"/>
    </row>
    <row r="518" spans="1:31" ht="21" x14ac:dyDescent="0.4">
      <c r="A518" s="210"/>
      <c r="B518" s="108">
        <v>508</v>
      </c>
      <c r="C518" s="297">
        <v>2060.3409522728166</v>
      </c>
      <c r="D518" s="297">
        <v>2824.2227667962948</v>
      </c>
      <c r="E518" s="297">
        <v>21.723200126056845</v>
      </c>
      <c r="F518" s="297">
        <v>16.047382921229225</v>
      </c>
      <c r="G518" s="322">
        <v>-763.88181452347817</v>
      </c>
      <c r="H518" s="322">
        <v>5.6758172048276201</v>
      </c>
      <c r="I518" s="322">
        <v>-134.58534462204867</v>
      </c>
      <c r="K518" s="223">
        <f t="shared" si="31"/>
        <v>1301331.666611138</v>
      </c>
      <c r="L518" s="223">
        <f t="shared" si="31"/>
        <v>960018.75250695727</v>
      </c>
      <c r="M518" s="114">
        <f t="shared" si="32"/>
        <v>1</v>
      </c>
      <c r="N518" s="114">
        <f t="shared" si="33"/>
        <v>0</v>
      </c>
      <c r="Q518" s="320">
        <f t="shared" si="34"/>
        <v>50700</v>
      </c>
      <c r="R518" s="101">
        <v>1</v>
      </c>
      <c r="S518" s="101">
        <v>0</v>
      </c>
      <c r="T518" s="12"/>
      <c r="U518" s="210"/>
      <c r="V518" s="13"/>
      <c r="W518" s="13"/>
      <c r="X518" s="13"/>
      <c r="Y518" s="13"/>
      <c r="Z518" s="13"/>
      <c r="AA518" s="13"/>
      <c r="AB518" s="13"/>
      <c r="AC518" s="13"/>
      <c r="AD518" s="13"/>
      <c r="AE518" s="13"/>
    </row>
    <row r="519" spans="1:31" ht="21" x14ac:dyDescent="0.4">
      <c r="A519" s="210"/>
      <c r="B519" s="108">
        <v>509</v>
      </c>
      <c r="C519" s="297">
        <v>2252.416685812821</v>
      </c>
      <c r="D519" s="297">
        <v>3044.9027270839315</v>
      </c>
      <c r="E519" s="297">
        <v>17.823857170209354</v>
      </c>
      <c r="F519" s="297">
        <v>12.781588747151702</v>
      </c>
      <c r="G519" s="322">
        <v>-792.48604127111048</v>
      </c>
      <c r="H519" s="322">
        <v>5.0422684230576529</v>
      </c>
      <c r="I519" s="322">
        <v>-157.16855486058071</v>
      </c>
      <c r="K519" s="223">
        <f t="shared" si="31"/>
        <v>1067179.0135267484</v>
      </c>
      <c r="L519" s="223">
        <f t="shared" si="31"/>
        <v>763850.42210201826</v>
      </c>
      <c r="M519" s="114">
        <f t="shared" si="32"/>
        <v>1</v>
      </c>
      <c r="N519" s="114">
        <f t="shared" si="33"/>
        <v>0</v>
      </c>
      <c r="Q519" s="320">
        <f t="shared" si="34"/>
        <v>50800</v>
      </c>
      <c r="R519" s="101">
        <v>1</v>
      </c>
      <c r="S519" s="101">
        <v>0</v>
      </c>
      <c r="T519" s="12"/>
      <c r="U519" s="210"/>
      <c r="V519" s="13"/>
      <c r="W519" s="13"/>
      <c r="X519" s="13"/>
      <c r="Y519" s="13"/>
      <c r="Z519" s="13"/>
      <c r="AA519" s="13"/>
      <c r="AB519" s="13"/>
      <c r="AC519" s="13"/>
      <c r="AD519" s="13"/>
      <c r="AE519" s="13"/>
    </row>
    <row r="520" spans="1:31" ht="21" x14ac:dyDescent="0.4">
      <c r="A520" s="210"/>
      <c r="B520" s="108">
        <v>510</v>
      </c>
      <c r="C520" s="297">
        <v>2205.1592853643824</v>
      </c>
      <c r="D520" s="297">
        <v>2793.3535107953494</v>
      </c>
      <c r="E520" s="297">
        <v>20.024641234327923</v>
      </c>
      <c r="F520" s="297">
        <v>14.653338221690943</v>
      </c>
      <c r="G520" s="322">
        <v>-588.19422543096698</v>
      </c>
      <c r="H520" s="322">
        <v>5.3713030126369805</v>
      </c>
      <c r="I520" s="322">
        <v>-109.50680385134326</v>
      </c>
      <c r="K520" s="223">
        <f t="shared" si="31"/>
        <v>1199273.3147743109</v>
      </c>
      <c r="L520" s="223">
        <f t="shared" si="31"/>
        <v>876406.93979066121</v>
      </c>
      <c r="M520" s="114">
        <f t="shared" si="32"/>
        <v>1</v>
      </c>
      <c r="N520" s="114">
        <f t="shared" si="33"/>
        <v>0</v>
      </c>
      <c r="Q520" s="320">
        <f t="shared" si="34"/>
        <v>50900</v>
      </c>
      <c r="R520" s="101">
        <v>1</v>
      </c>
      <c r="S520" s="101">
        <v>0</v>
      </c>
      <c r="T520" s="12"/>
      <c r="U520" s="210"/>
      <c r="V520" s="13"/>
      <c r="W520" s="13"/>
      <c r="X520" s="13"/>
      <c r="Y520" s="13"/>
      <c r="Z520" s="13"/>
      <c r="AA520" s="13"/>
      <c r="AB520" s="13"/>
      <c r="AC520" s="13"/>
      <c r="AD520" s="13"/>
      <c r="AE520" s="13"/>
    </row>
    <row r="521" spans="1:31" ht="21" x14ac:dyDescent="0.4">
      <c r="A521" s="210"/>
      <c r="B521" s="108">
        <v>511</v>
      </c>
      <c r="C521" s="297">
        <v>2486.7474271220672</v>
      </c>
      <c r="D521" s="297">
        <v>3035.1226628519034</v>
      </c>
      <c r="E521" s="297">
        <v>18.425415303384113</v>
      </c>
      <c r="F521" s="297">
        <v>13.415872148272603</v>
      </c>
      <c r="G521" s="322">
        <v>-548.37523572983628</v>
      </c>
      <c r="H521" s="322">
        <v>5.0095431551115102</v>
      </c>
      <c r="I521" s="322">
        <v>-109.46611671970508</v>
      </c>
      <c r="K521" s="223">
        <f t="shared" si="31"/>
        <v>1103038.1707759248</v>
      </c>
      <c r="L521" s="223">
        <f t="shared" si="31"/>
        <v>801917.20623350423</v>
      </c>
      <c r="M521" s="114">
        <f t="shared" si="32"/>
        <v>1</v>
      </c>
      <c r="N521" s="114">
        <f t="shared" si="33"/>
        <v>0</v>
      </c>
      <c r="Q521" s="320">
        <f t="shared" si="34"/>
        <v>51000</v>
      </c>
      <c r="R521" s="101">
        <v>1</v>
      </c>
      <c r="S521" s="101">
        <v>0</v>
      </c>
      <c r="T521" s="12"/>
      <c r="U521" s="210"/>
      <c r="V521" s="13"/>
      <c r="W521" s="13"/>
      <c r="X521" s="13"/>
      <c r="Y521" s="13"/>
      <c r="Z521" s="13"/>
      <c r="AA521" s="13"/>
      <c r="AB521" s="13"/>
      <c r="AC521" s="13"/>
      <c r="AD521" s="13"/>
      <c r="AE521" s="13"/>
    </row>
    <row r="522" spans="1:31" ht="21" x14ac:dyDescent="0.4">
      <c r="A522" s="210"/>
      <c r="B522" s="108">
        <v>512</v>
      </c>
      <c r="C522" s="297">
        <v>2239.6336034665619</v>
      </c>
      <c r="D522" s="297">
        <v>3378.6341391571405</v>
      </c>
      <c r="E522" s="297">
        <v>18.995044201713554</v>
      </c>
      <c r="F522" s="297">
        <v>13.474781655153807</v>
      </c>
      <c r="G522" s="322">
        <v>-1139.0005356905785</v>
      </c>
      <c r="H522" s="322">
        <v>5.5202625465597475</v>
      </c>
      <c r="I522" s="322">
        <v>-206.33086308556264</v>
      </c>
      <c r="K522" s="223">
        <f t="shared" si="31"/>
        <v>1137463.0184993467</v>
      </c>
      <c r="L522" s="223">
        <f t="shared" si="31"/>
        <v>805108.26517007127</v>
      </c>
      <c r="M522" s="114">
        <f t="shared" si="32"/>
        <v>1</v>
      </c>
      <c r="N522" s="114">
        <f t="shared" si="33"/>
        <v>0</v>
      </c>
      <c r="Q522" s="320">
        <f t="shared" si="34"/>
        <v>51100</v>
      </c>
      <c r="R522" s="101">
        <v>1</v>
      </c>
      <c r="S522" s="101">
        <v>0</v>
      </c>
      <c r="T522" s="12"/>
      <c r="U522" s="210"/>
      <c r="V522" s="13"/>
      <c r="W522" s="13"/>
      <c r="X522" s="13"/>
      <c r="Y522" s="13"/>
      <c r="Z522" s="13"/>
      <c r="AA522" s="13"/>
      <c r="AB522" s="13"/>
      <c r="AC522" s="13"/>
      <c r="AD522" s="13"/>
      <c r="AE522" s="13"/>
    </row>
    <row r="523" spans="1:31" ht="21" x14ac:dyDescent="0.4">
      <c r="A523" s="210"/>
      <c r="B523" s="108">
        <v>513</v>
      </c>
      <c r="C523" s="297">
        <v>1823.1149415353216</v>
      </c>
      <c r="D523" s="297">
        <v>2421.5088861919198</v>
      </c>
      <c r="E523" s="297">
        <v>20.002809677357639</v>
      </c>
      <c r="F523" s="297">
        <v>14.691550740288527</v>
      </c>
      <c r="G523" s="322">
        <v>-598.39394465659825</v>
      </c>
      <c r="H523" s="322">
        <v>5.3112589370691126</v>
      </c>
      <c r="I523" s="322">
        <v>-112.66518009133391</v>
      </c>
      <c r="K523" s="223">
        <f t="shared" si="31"/>
        <v>1198345.465699923</v>
      </c>
      <c r="L523" s="223">
        <f t="shared" si="31"/>
        <v>879071.53553111968</v>
      </c>
      <c r="M523" s="114">
        <f t="shared" si="32"/>
        <v>1</v>
      </c>
      <c r="N523" s="114">
        <f t="shared" si="33"/>
        <v>0</v>
      </c>
      <c r="Q523" s="320">
        <f t="shared" si="34"/>
        <v>51200</v>
      </c>
      <c r="R523" s="101">
        <v>1</v>
      </c>
      <c r="S523" s="101">
        <v>0</v>
      </c>
      <c r="T523" s="12"/>
      <c r="U523" s="210"/>
      <c r="V523" s="13"/>
      <c r="W523" s="13"/>
      <c r="X523" s="13"/>
      <c r="Y523" s="13"/>
      <c r="Z523" s="13"/>
      <c r="AA523" s="13"/>
      <c r="AB523" s="13"/>
      <c r="AC523" s="13"/>
      <c r="AD523" s="13"/>
      <c r="AE523" s="13"/>
    </row>
    <row r="524" spans="1:31" ht="21" x14ac:dyDescent="0.4">
      <c r="A524" s="210"/>
      <c r="B524" s="108">
        <v>514</v>
      </c>
      <c r="C524" s="297">
        <v>2059.4432035017917</v>
      </c>
      <c r="D524" s="297">
        <v>3102.3658245616066</v>
      </c>
      <c r="E524" s="297">
        <v>19.693291165139229</v>
      </c>
      <c r="F524" s="297">
        <v>13.375173377489565</v>
      </c>
      <c r="G524" s="322">
        <v>-1042.9226210598149</v>
      </c>
      <c r="H524" s="322">
        <v>6.3181177876496637</v>
      </c>
      <c r="I524" s="322">
        <v>-165.0685625232355</v>
      </c>
      <c r="K524" s="223">
        <f t="shared" ref="K524:L587" si="35">E524*$N$4-C524</f>
        <v>1179538.0267048518</v>
      </c>
      <c r="L524" s="223">
        <f t="shared" si="35"/>
        <v>799408.0368248123</v>
      </c>
      <c r="M524" s="114">
        <f t="shared" ref="M524:M587" si="36">IF(MAX(K524:L524)=K524,1,0)</f>
        <v>1</v>
      </c>
      <c r="N524" s="114">
        <f t="shared" ref="N524:N587" si="37">IF(MAX(K524:L524)=L524,1,0)</f>
        <v>0</v>
      </c>
      <c r="Q524" s="320">
        <f t="shared" si="34"/>
        <v>51300</v>
      </c>
      <c r="R524" s="101">
        <v>1</v>
      </c>
      <c r="S524" s="101">
        <v>0</v>
      </c>
      <c r="T524" s="12"/>
      <c r="U524" s="210"/>
      <c r="V524" s="13"/>
      <c r="W524" s="13"/>
      <c r="X524" s="13"/>
      <c r="Y524" s="13"/>
      <c r="Z524" s="13"/>
      <c r="AA524" s="13"/>
      <c r="AB524" s="13"/>
      <c r="AC524" s="13"/>
      <c r="AD524" s="13"/>
      <c r="AE524" s="13"/>
    </row>
    <row r="525" spans="1:31" ht="21" x14ac:dyDescent="0.4">
      <c r="A525" s="210"/>
      <c r="B525" s="108">
        <v>515</v>
      </c>
      <c r="C525" s="297">
        <v>2174.780276929368</v>
      </c>
      <c r="D525" s="297">
        <v>3248.7406855938798</v>
      </c>
      <c r="E525" s="297">
        <v>19.814372000339038</v>
      </c>
      <c r="F525" s="297">
        <v>15.219920654837647</v>
      </c>
      <c r="G525" s="322">
        <v>-1073.9604086645118</v>
      </c>
      <c r="H525" s="322">
        <v>4.5944513455013904</v>
      </c>
      <c r="I525" s="322">
        <v>-233.75161208662468</v>
      </c>
      <c r="K525" s="223">
        <f t="shared" si="35"/>
        <v>1186687.539743413</v>
      </c>
      <c r="L525" s="223">
        <f t="shared" si="35"/>
        <v>909946.49860466493</v>
      </c>
      <c r="M525" s="114">
        <f t="shared" si="36"/>
        <v>1</v>
      </c>
      <c r="N525" s="114">
        <f t="shared" si="37"/>
        <v>0</v>
      </c>
      <c r="Q525" s="320">
        <f t="shared" ref="Q525:Q588" si="38">Q524+100</f>
        <v>51400</v>
      </c>
      <c r="R525" s="101">
        <v>1</v>
      </c>
      <c r="S525" s="101">
        <v>0</v>
      </c>
      <c r="T525" s="12"/>
      <c r="U525" s="210"/>
      <c r="V525" s="13"/>
      <c r="W525" s="13"/>
      <c r="X525" s="13"/>
      <c r="Y525" s="13"/>
      <c r="Z525" s="13"/>
      <c r="AA525" s="13"/>
      <c r="AB525" s="13"/>
      <c r="AC525" s="13"/>
      <c r="AD525" s="13"/>
      <c r="AE525" s="13"/>
    </row>
    <row r="526" spans="1:31" ht="21" x14ac:dyDescent="0.4">
      <c r="A526" s="210"/>
      <c r="B526" s="108">
        <v>516</v>
      </c>
      <c r="C526" s="297">
        <v>2035.6966020899235</v>
      </c>
      <c r="D526" s="297">
        <v>3161.6295295019936</v>
      </c>
      <c r="E526" s="297">
        <v>17.797467811126491</v>
      </c>
      <c r="F526" s="297">
        <v>12.284924127460942</v>
      </c>
      <c r="G526" s="322">
        <v>-1125.9329274120701</v>
      </c>
      <c r="H526" s="322">
        <v>5.5125436836655499</v>
      </c>
      <c r="I526" s="322">
        <v>-204.24925261787391</v>
      </c>
      <c r="K526" s="223">
        <f t="shared" si="35"/>
        <v>1065812.3720654994</v>
      </c>
      <c r="L526" s="223">
        <f t="shared" si="35"/>
        <v>733933.81811815454</v>
      </c>
      <c r="M526" s="114">
        <f t="shared" si="36"/>
        <v>1</v>
      </c>
      <c r="N526" s="114">
        <f t="shared" si="37"/>
        <v>0</v>
      </c>
      <c r="Q526" s="320">
        <f t="shared" si="38"/>
        <v>51500</v>
      </c>
      <c r="R526" s="101">
        <v>1</v>
      </c>
      <c r="S526" s="101">
        <v>0</v>
      </c>
      <c r="T526" s="12"/>
      <c r="U526" s="210"/>
      <c r="V526" s="13"/>
      <c r="W526" s="13"/>
      <c r="X526" s="13"/>
      <c r="Y526" s="13"/>
      <c r="Z526" s="13"/>
      <c r="AA526" s="13"/>
      <c r="AB526" s="13"/>
      <c r="AC526" s="13"/>
      <c r="AD526" s="13"/>
      <c r="AE526" s="13"/>
    </row>
    <row r="527" spans="1:31" ht="21" x14ac:dyDescent="0.4">
      <c r="A527" s="210"/>
      <c r="B527" s="108">
        <v>517</v>
      </c>
      <c r="C527" s="297">
        <v>2123.9085066762</v>
      </c>
      <c r="D527" s="297">
        <v>3148.6239411671363</v>
      </c>
      <c r="E527" s="297">
        <v>18.91296692357961</v>
      </c>
      <c r="F527" s="297">
        <v>14.400438882084762</v>
      </c>
      <c r="G527" s="322">
        <v>-1024.7154344909363</v>
      </c>
      <c r="H527" s="322">
        <v>4.5125280414948481</v>
      </c>
      <c r="I527" s="322">
        <v>-227.08234166484709</v>
      </c>
      <c r="K527" s="223">
        <f t="shared" si="35"/>
        <v>1132654.1069081004</v>
      </c>
      <c r="L527" s="223">
        <f t="shared" si="35"/>
        <v>860877.70898391854</v>
      </c>
      <c r="M527" s="114">
        <f t="shared" si="36"/>
        <v>1</v>
      </c>
      <c r="N527" s="114">
        <f t="shared" si="37"/>
        <v>0</v>
      </c>
      <c r="Q527" s="320">
        <f t="shared" si="38"/>
        <v>51600</v>
      </c>
      <c r="R527" s="101">
        <v>1</v>
      </c>
      <c r="S527" s="101">
        <v>0</v>
      </c>
      <c r="T527" s="12"/>
      <c r="U527" s="210"/>
      <c r="V527" s="13"/>
      <c r="W527" s="13"/>
      <c r="X527" s="13"/>
      <c r="Y527" s="13"/>
      <c r="Z527" s="13"/>
      <c r="AA527" s="13"/>
      <c r="AB527" s="13"/>
      <c r="AC527" s="13"/>
      <c r="AD527" s="13"/>
      <c r="AE527" s="13"/>
    </row>
    <row r="528" spans="1:31" ht="21" x14ac:dyDescent="0.4">
      <c r="A528" s="210"/>
      <c r="B528" s="108">
        <v>518</v>
      </c>
      <c r="C528" s="297">
        <v>2205.8422682619012</v>
      </c>
      <c r="D528" s="297">
        <v>3171.3089925200061</v>
      </c>
      <c r="E528" s="297">
        <v>17.678025999801026</v>
      </c>
      <c r="F528" s="297">
        <v>11.55808518342697</v>
      </c>
      <c r="G528" s="322">
        <v>-965.46672425810493</v>
      </c>
      <c r="H528" s="322">
        <v>6.1199408163740561</v>
      </c>
      <c r="I528" s="322">
        <v>-157.75752629420441</v>
      </c>
      <c r="K528" s="223">
        <f t="shared" si="35"/>
        <v>1058475.7177197998</v>
      </c>
      <c r="L528" s="223">
        <f t="shared" si="35"/>
        <v>690313.80201309826</v>
      </c>
      <c r="M528" s="114">
        <f t="shared" si="36"/>
        <v>1</v>
      </c>
      <c r="N528" s="114">
        <f t="shared" si="37"/>
        <v>0</v>
      </c>
      <c r="Q528" s="320">
        <f t="shared" si="38"/>
        <v>51700</v>
      </c>
      <c r="R528" s="101">
        <v>1</v>
      </c>
      <c r="S528" s="101">
        <v>0</v>
      </c>
      <c r="T528" s="12"/>
      <c r="U528" s="210"/>
      <c r="V528" s="13"/>
      <c r="W528" s="13"/>
      <c r="X528" s="13"/>
      <c r="Y528" s="13"/>
      <c r="Z528" s="13"/>
      <c r="AA528" s="13"/>
      <c r="AB528" s="13"/>
      <c r="AC528" s="13"/>
      <c r="AD528" s="13"/>
      <c r="AE528" s="13"/>
    </row>
    <row r="529" spans="1:31" ht="21" x14ac:dyDescent="0.4">
      <c r="A529" s="210"/>
      <c r="B529" s="108">
        <v>519</v>
      </c>
      <c r="C529" s="297">
        <v>2063.9769610018343</v>
      </c>
      <c r="D529" s="297">
        <v>3008.2154941084768</v>
      </c>
      <c r="E529" s="297">
        <v>19.756908995040114</v>
      </c>
      <c r="F529" s="297">
        <v>14.201169355396704</v>
      </c>
      <c r="G529" s="322">
        <v>-944.23853310664254</v>
      </c>
      <c r="H529" s="322">
        <v>5.5557396396434093</v>
      </c>
      <c r="I529" s="322">
        <v>-169.95730440083182</v>
      </c>
      <c r="K529" s="223">
        <f t="shared" si="35"/>
        <v>1183350.5627414051</v>
      </c>
      <c r="L529" s="223">
        <f t="shared" si="35"/>
        <v>849061.94582969369</v>
      </c>
      <c r="M529" s="114">
        <f t="shared" si="36"/>
        <v>1</v>
      </c>
      <c r="N529" s="114">
        <f t="shared" si="37"/>
        <v>0</v>
      </c>
      <c r="Q529" s="320">
        <f t="shared" si="38"/>
        <v>51800</v>
      </c>
      <c r="R529" s="101">
        <v>1</v>
      </c>
      <c r="S529" s="101">
        <v>0</v>
      </c>
      <c r="T529" s="12"/>
      <c r="U529" s="210"/>
      <c r="V529" s="13"/>
      <c r="W529" s="13"/>
      <c r="X529" s="13"/>
      <c r="Y529" s="13"/>
      <c r="Z529" s="13"/>
      <c r="AA529" s="13"/>
      <c r="AB529" s="13"/>
      <c r="AC529" s="13"/>
      <c r="AD529" s="13"/>
      <c r="AE529" s="13"/>
    </row>
    <row r="530" spans="1:31" ht="21" x14ac:dyDescent="0.4">
      <c r="A530" s="210"/>
      <c r="B530" s="108">
        <v>520</v>
      </c>
      <c r="C530" s="297">
        <v>2108.8283725523838</v>
      </c>
      <c r="D530" s="297">
        <v>3077.956107267913</v>
      </c>
      <c r="E530" s="297">
        <v>18.111579199964599</v>
      </c>
      <c r="F530" s="297">
        <v>12.859978147004076</v>
      </c>
      <c r="G530" s="322">
        <v>-969.12773471552919</v>
      </c>
      <c r="H530" s="322">
        <v>5.2516010529605222</v>
      </c>
      <c r="I530" s="322">
        <v>-184.53948137762598</v>
      </c>
      <c r="K530" s="223">
        <f t="shared" si="35"/>
        <v>1084585.9236253237</v>
      </c>
      <c r="L530" s="223">
        <f t="shared" si="35"/>
        <v>768520.73271297675</v>
      </c>
      <c r="M530" s="114">
        <f t="shared" si="36"/>
        <v>1</v>
      </c>
      <c r="N530" s="114">
        <f t="shared" si="37"/>
        <v>0</v>
      </c>
      <c r="Q530" s="320">
        <f t="shared" si="38"/>
        <v>51900</v>
      </c>
      <c r="R530" s="101">
        <v>1</v>
      </c>
      <c r="S530" s="101">
        <v>0</v>
      </c>
      <c r="T530" s="12"/>
      <c r="U530" s="210"/>
      <c r="V530" s="13"/>
      <c r="W530" s="13"/>
      <c r="X530" s="13"/>
      <c r="Y530" s="13"/>
      <c r="Z530" s="13"/>
      <c r="AA530" s="13"/>
      <c r="AB530" s="13"/>
      <c r="AC530" s="13"/>
      <c r="AD530" s="13"/>
      <c r="AE530" s="13"/>
    </row>
    <row r="531" spans="1:31" ht="21" x14ac:dyDescent="0.4">
      <c r="A531" s="210"/>
      <c r="B531" s="108">
        <v>521</v>
      </c>
      <c r="C531" s="297">
        <v>1970.7200237824268</v>
      </c>
      <c r="D531" s="297">
        <v>2804.2234184025024</v>
      </c>
      <c r="E531" s="297">
        <v>19.284089752548052</v>
      </c>
      <c r="F531" s="297">
        <v>14.336698185659131</v>
      </c>
      <c r="G531" s="322">
        <v>-833.5033946200756</v>
      </c>
      <c r="H531" s="322">
        <v>4.9473915668889212</v>
      </c>
      <c r="I531" s="322">
        <v>-168.47330221412196</v>
      </c>
      <c r="K531" s="223">
        <f t="shared" si="35"/>
        <v>1155074.6651291007</v>
      </c>
      <c r="L531" s="223">
        <f t="shared" si="35"/>
        <v>857397.66772114532</v>
      </c>
      <c r="M531" s="114">
        <f t="shared" si="36"/>
        <v>1</v>
      </c>
      <c r="N531" s="114">
        <f t="shared" si="37"/>
        <v>0</v>
      </c>
      <c r="Q531" s="320">
        <f t="shared" si="38"/>
        <v>52000</v>
      </c>
      <c r="R531" s="101">
        <v>1</v>
      </c>
      <c r="S531" s="101">
        <v>0</v>
      </c>
      <c r="T531" s="12"/>
      <c r="U531" s="210"/>
      <c r="V531" s="13"/>
      <c r="W531" s="13"/>
      <c r="X531" s="13"/>
      <c r="Y531" s="13"/>
      <c r="Z531" s="13"/>
      <c r="AA531" s="13"/>
      <c r="AB531" s="13"/>
      <c r="AC531" s="13"/>
      <c r="AD531" s="13"/>
      <c r="AE531" s="13"/>
    </row>
    <row r="532" spans="1:31" ht="21" x14ac:dyDescent="0.4">
      <c r="A532" s="210"/>
      <c r="B532" s="108">
        <v>522</v>
      </c>
      <c r="C532" s="297">
        <v>2107.8888024991438</v>
      </c>
      <c r="D532" s="297">
        <v>3317.292164801097</v>
      </c>
      <c r="E532" s="297">
        <v>20.553445441398523</v>
      </c>
      <c r="F532" s="297">
        <v>15.017802411220583</v>
      </c>
      <c r="G532" s="322">
        <v>-1209.4033623019532</v>
      </c>
      <c r="H532" s="322">
        <v>5.5356430301779405</v>
      </c>
      <c r="I532" s="322">
        <v>-218.47567765999491</v>
      </c>
      <c r="K532" s="223">
        <f t="shared" si="35"/>
        <v>1231098.8376814122</v>
      </c>
      <c r="L532" s="223">
        <f t="shared" si="35"/>
        <v>897750.85250843375</v>
      </c>
      <c r="M532" s="114">
        <f t="shared" si="36"/>
        <v>1</v>
      </c>
      <c r="N532" s="114">
        <f t="shared" si="37"/>
        <v>0</v>
      </c>
      <c r="Q532" s="320">
        <f t="shared" si="38"/>
        <v>52100</v>
      </c>
      <c r="R532" s="101">
        <v>1</v>
      </c>
      <c r="S532" s="101">
        <v>0</v>
      </c>
      <c r="T532" s="12"/>
      <c r="U532" s="210"/>
      <c r="V532" s="13"/>
      <c r="W532" s="13"/>
      <c r="X532" s="13"/>
      <c r="Y532" s="13"/>
      <c r="Z532" s="13"/>
      <c r="AA532" s="13"/>
      <c r="AB532" s="13"/>
      <c r="AC532" s="13"/>
      <c r="AD532" s="13"/>
      <c r="AE532" s="13"/>
    </row>
    <row r="533" spans="1:31" ht="21" x14ac:dyDescent="0.4">
      <c r="A533" s="210"/>
      <c r="B533" s="108">
        <v>523</v>
      </c>
      <c r="C533" s="297">
        <v>1888.847694157776</v>
      </c>
      <c r="D533" s="297">
        <v>3029.7651211886782</v>
      </c>
      <c r="E533" s="297">
        <v>18.178273606819207</v>
      </c>
      <c r="F533" s="297">
        <v>11.817020729940779</v>
      </c>
      <c r="G533" s="322">
        <v>-1140.9174270309022</v>
      </c>
      <c r="H533" s="322">
        <v>6.361252876878428</v>
      </c>
      <c r="I533" s="322">
        <v>-179.35420099047678</v>
      </c>
      <c r="K533" s="223">
        <f t="shared" si="35"/>
        <v>1088807.5687149945</v>
      </c>
      <c r="L533" s="223">
        <f t="shared" si="35"/>
        <v>705991.478675258</v>
      </c>
      <c r="M533" s="114">
        <f t="shared" si="36"/>
        <v>1</v>
      </c>
      <c r="N533" s="114">
        <f t="shared" si="37"/>
        <v>0</v>
      </c>
      <c r="Q533" s="320">
        <f t="shared" si="38"/>
        <v>52200</v>
      </c>
      <c r="R533" s="101">
        <v>1</v>
      </c>
      <c r="S533" s="101">
        <v>0</v>
      </c>
      <c r="T533" s="12"/>
      <c r="U533" s="210"/>
      <c r="V533" s="13"/>
      <c r="W533" s="13"/>
      <c r="X533" s="13"/>
      <c r="Y533" s="13"/>
      <c r="Z533" s="13"/>
      <c r="AA533" s="13"/>
      <c r="AB533" s="13"/>
      <c r="AC533" s="13"/>
      <c r="AD533" s="13"/>
      <c r="AE533" s="13"/>
    </row>
    <row r="534" spans="1:31" ht="21" x14ac:dyDescent="0.4">
      <c r="A534" s="210"/>
      <c r="B534" s="108">
        <v>524</v>
      </c>
      <c r="C534" s="297">
        <v>1960.369159294841</v>
      </c>
      <c r="D534" s="297">
        <v>3125.0761806538335</v>
      </c>
      <c r="E534" s="297">
        <v>19.91313907274904</v>
      </c>
      <c r="F534" s="297">
        <v>14.954260232327076</v>
      </c>
      <c r="G534" s="322">
        <v>-1164.7070213589925</v>
      </c>
      <c r="H534" s="322">
        <v>4.9588788404219635</v>
      </c>
      <c r="I534" s="322">
        <v>-234.87305474474644</v>
      </c>
      <c r="K534" s="223">
        <f t="shared" si="35"/>
        <v>1192827.9752056475</v>
      </c>
      <c r="L534" s="223">
        <f t="shared" si="35"/>
        <v>894130.53775897075</v>
      </c>
      <c r="M534" s="114">
        <f t="shared" si="36"/>
        <v>1</v>
      </c>
      <c r="N534" s="114">
        <f t="shared" si="37"/>
        <v>0</v>
      </c>
      <c r="Q534" s="320">
        <f t="shared" si="38"/>
        <v>52300</v>
      </c>
      <c r="R534" s="101">
        <v>1</v>
      </c>
      <c r="S534" s="101">
        <v>0</v>
      </c>
      <c r="T534" s="12"/>
      <c r="U534" s="210"/>
      <c r="V534" s="13"/>
      <c r="W534" s="13"/>
      <c r="X534" s="13"/>
      <c r="Y534" s="13"/>
      <c r="Z534" s="13"/>
      <c r="AA534" s="13"/>
      <c r="AB534" s="13"/>
      <c r="AC534" s="13"/>
      <c r="AD534" s="13"/>
      <c r="AE534" s="13"/>
    </row>
    <row r="535" spans="1:31" ht="21" x14ac:dyDescent="0.4">
      <c r="A535" s="210"/>
      <c r="B535" s="108">
        <v>525</v>
      </c>
      <c r="C535" s="297">
        <v>2116.9468095726152</v>
      </c>
      <c r="D535" s="297">
        <v>2731.7414921537697</v>
      </c>
      <c r="E535" s="297">
        <v>19.745974803778068</v>
      </c>
      <c r="F535" s="297">
        <v>14.052573186870914</v>
      </c>
      <c r="G535" s="322">
        <v>-614.79468258115458</v>
      </c>
      <c r="H535" s="322">
        <v>5.6934016169071544</v>
      </c>
      <c r="I535" s="322">
        <v>-107.98371939113818</v>
      </c>
      <c r="K535" s="223">
        <f t="shared" si="35"/>
        <v>1182641.5414171114</v>
      </c>
      <c r="L535" s="223">
        <f t="shared" si="35"/>
        <v>840422.64972010115</v>
      </c>
      <c r="M535" s="114">
        <f t="shared" si="36"/>
        <v>1</v>
      </c>
      <c r="N535" s="114">
        <f t="shared" si="37"/>
        <v>0</v>
      </c>
      <c r="Q535" s="320">
        <f t="shared" si="38"/>
        <v>52400</v>
      </c>
      <c r="R535" s="101">
        <v>1</v>
      </c>
      <c r="S535" s="101">
        <v>0</v>
      </c>
      <c r="T535" s="12"/>
      <c r="U535" s="210"/>
      <c r="V535" s="13"/>
      <c r="W535" s="13"/>
      <c r="X535" s="13"/>
      <c r="Y535" s="13"/>
      <c r="Z535" s="13"/>
      <c r="AA535" s="13"/>
      <c r="AB535" s="13"/>
      <c r="AC535" s="13"/>
      <c r="AD535" s="13"/>
      <c r="AE535" s="13"/>
    </row>
    <row r="536" spans="1:31" ht="21" x14ac:dyDescent="0.4">
      <c r="A536" s="210"/>
      <c r="B536" s="108">
        <v>526</v>
      </c>
      <c r="C536" s="297">
        <v>2074.9313818246528</v>
      </c>
      <c r="D536" s="297">
        <v>2820.5574812467617</v>
      </c>
      <c r="E536" s="297">
        <v>18.076865542301025</v>
      </c>
      <c r="F536" s="297">
        <v>13.698501400366096</v>
      </c>
      <c r="G536" s="322">
        <v>-745.62609942210884</v>
      </c>
      <c r="H536" s="322">
        <v>4.3783641419349291</v>
      </c>
      <c r="I536" s="322">
        <v>-170.29787273303279</v>
      </c>
      <c r="K536" s="223">
        <f t="shared" si="35"/>
        <v>1082537.0011562367</v>
      </c>
      <c r="L536" s="223">
        <f t="shared" si="35"/>
        <v>819089.52654071897</v>
      </c>
      <c r="M536" s="114">
        <f t="shared" si="36"/>
        <v>1</v>
      </c>
      <c r="N536" s="114">
        <f t="shared" si="37"/>
        <v>0</v>
      </c>
      <c r="Q536" s="320">
        <f t="shared" si="38"/>
        <v>52500</v>
      </c>
      <c r="R536" s="101">
        <v>1</v>
      </c>
      <c r="S536" s="101">
        <v>0</v>
      </c>
      <c r="T536" s="12"/>
      <c r="U536" s="210"/>
      <c r="V536" s="13"/>
      <c r="W536" s="13"/>
      <c r="X536" s="13"/>
      <c r="Y536" s="13"/>
      <c r="Z536" s="13"/>
      <c r="AA536" s="13"/>
      <c r="AB536" s="13"/>
      <c r="AC536" s="13"/>
      <c r="AD536" s="13"/>
      <c r="AE536" s="13"/>
    </row>
    <row r="537" spans="1:31" ht="21" x14ac:dyDescent="0.4">
      <c r="A537" s="210"/>
      <c r="B537" s="108">
        <v>527</v>
      </c>
      <c r="C537" s="297">
        <v>2066.6126280852513</v>
      </c>
      <c r="D537" s="297">
        <v>3179.0997974807347</v>
      </c>
      <c r="E537" s="297">
        <v>20.036708515031659</v>
      </c>
      <c r="F537" s="297">
        <v>15.05693635156055</v>
      </c>
      <c r="G537" s="322">
        <v>-1112.4871693954833</v>
      </c>
      <c r="H537" s="322">
        <v>4.9797721634711092</v>
      </c>
      <c r="I537" s="322">
        <v>-223.40121854491295</v>
      </c>
      <c r="K537" s="223">
        <f t="shared" si="35"/>
        <v>1200135.8982738142</v>
      </c>
      <c r="L537" s="223">
        <f t="shared" si="35"/>
        <v>900237.0812961522</v>
      </c>
      <c r="M537" s="114">
        <f t="shared" si="36"/>
        <v>1</v>
      </c>
      <c r="N537" s="114">
        <f t="shared" si="37"/>
        <v>0</v>
      </c>
      <c r="Q537" s="320">
        <f t="shared" si="38"/>
        <v>52600</v>
      </c>
      <c r="R537" s="101">
        <v>1</v>
      </c>
      <c r="S537" s="101">
        <v>0</v>
      </c>
      <c r="T537" s="12"/>
      <c r="U537" s="210"/>
      <c r="V537" s="13"/>
      <c r="W537" s="13"/>
      <c r="X537" s="13"/>
      <c r="Y537" s="13"/>
      <c r="Z537" s="13"/>
      <c r="AA537" s="13"/>
      <c r="AB537" s="13"/>
      <c r="AC537" s="13"/>
      <c r="AD537" s="13"/>
      <c r="AE537" s="13"/>
    </row>
    <row r="538" spans="1:31" ht="21" x14ac:dyDescent="0.4">
      <c r="A538" s="210"/>
      <c r="B538" s="108">
        <v>528</v>
      </c>
      <c r="C538" s="297">
        <v>1894.0494853006394</v>
      </c>
      <c r="D538" s="297">
        <v>2809.1791928215421</v>
      </c>
      <c r="E538" s="297">
        <v>19.731069812453359</v>
      </c>
      <c r="F538" s="297">
        <v>14.178118992388475</v>
      </c>
      <c r="G538" s="322">
        <v>-915.12970752090268</v>
      </c>
      <c r="H538" s="322">
        <v>5.5529508200648845</v>
      </c>
      <c r="I538" s="322">
        <v>-164.80061451547479</v>
      </c>
      <c r="K538" s="223">
        <f t="shared" si="35"/>
        <v>1181970.1392619009</v>
      </c>
      <c r="L538" s="223">
        <f t="shared" si="35"/>
        <v>847877.96035048703</v>
      </c>
      <c r="M538" s="114">
        <f t="shared" si="36"/>
        <v>1</v>
      </c>
      <c r="N538" s="114">
        <f t="shared" si="37"/>
        <v>0</v>
      </c>
      <c r="Q538" s="320">
        <f t="shared" si="38"/>
        <v>52700</v>
      </c>
      <c r="R538" s="101">
        <v>1</v>
      </c>
      <c r="S538" s="101">
        <v>0</v>
      </c>
      <c r="T538" s="12"/>
      <c r="U538" s="210"/>
      <c r="V538" s="13"/>
      <c r="W538" s="13"/>
      <c r="X538" s="13"/>
      <c r="Y538" s="13"/>
      <c r="Z538" s="13"/>
      <c r="AA538" s="13"/>
      <c r="AB538" s="13"/>
      <c r="AC538" s="13"/>
      <c r="AD538" s="13"/>
      <c r="AE538" s="13"/>
    </row>
    <row r="539" spans="1:31" ht="21" x14ac:dyDescent="0.4">
      <c r="A539" s="210"/>
      <c r="B539" s="108">
        <v>529</v>
      </c>
      <c r="C539" s="297">
        <v>2045.3213893882153</v>
      </c>
      <c r="D539" s="297">
        <v>2782.0042774608364</v>
      </c>
      <c r="E539" s="297">
        <v>19.535419983246257</v>
      </c>
      <c r="F539" s="297">
        <v>14.223485904207685</v>
      </c>
      <c r="G539" s="322">
        <v>-736.68288807262115</v>
      </c>
      <c r="H539" s="322">
        <v>5.3119340790385721</v>
      </c>
      <c r="I539" s="322">
        <v>-138.68449365357264</v>
      </c>
      <c r="K539" s="223">
        <f t="shared" si="35"/>
        <v>1170079.877605387</v>
      </c>
      <c r="L539" s="223">
        <f t="shared" si="35"/>
        <v>850627.14997500018</v>
      </c>
      <c r="M539" s="114">
        <f t="shared" si="36"/>
        <v>1</v>
      </c>
      <c r="N539" s="114">
        <f t="shared" si="37"/>
        <v>0</v>
      </c>
      <c r="Q539" s="320">
        <f t="shared" si="38"/>
        <v>52800</v>
      </c>
      <c r="R539" s="101">
        <v>1</v>
      </c>
      <c r="S539" s="101">
        <v>0</v>
      </c>
      <c r="T539" s="12"/>
      <c r="U539" s="210"/>
      <c r="V539" s="13"/>
      <c r="W539" s="13"/>
      <c r="X539" s="13"/>
      <c r="Y539" s="13"/>
      <c r="Z539" s="13"/>
      <c r="AA539" s="13"/>
      <c r="AB539" s="13"/>
      <c r="AC539" s="13"/>
      <c r="AD539" s="13"/>
      <c r="AE539" s="13"/>
    </row>
    <row r="540" spans="1:31" ht="21" x14ac:dyDescent="0.4">
      <c r="A540" s="210"/>
      <c r="B540" s="108">
        <v>530</v>
      </c>
      <c r="C540" s="297">
        <v>1972.0436550247173</v>
      </c>
      <c r="D540" s="297">
        <v>2812.3481086035276</v>
      </c>
      <c r="E540" s="297">
        <v>21.234944843656987</v>
      </c>
      <c r="F540" s="297">
        <v>15.421423943955173</v>
      </c>
      <c r="G540" s="322">
        <v>-840.30445357881035</v>
      </c>
      <c r="H540" s="322">
        <v>5.813520899701814</v>
      </c>
      <c r="I540" s="322">
        <v>-144.54312078277917</v>
      </c>
      <c r="K540" s="223">
        <f t="shared" si="35"/>
        <v>1272124.6469643945</v>
      </c>
      <c r="L540" s="223">
        <f t="shared" si="35"/>
        <v>922473.08852870681</v>
      </c>
      <c r="M540" s="114">
        <f t="shared" si="36"/>
        <v>1</v>
      </c>
      <c r="N540" s="114">
        <f t="shared" si="37"/>
        <v>0</v>
      </c>
      <c r="Q540" s="320">
        <f t="shared" si="38"/>
        <v>52900</v>
      </c>
      <c r="R540" s="101">
        <v>1</v>
      </c>
      <c r="S540" s="101">
        <v>0</v>
      </c>
      <c r="T540" s="12"/>
      <c r="U540" s="210"/>
      <c r="V540" s="13"/>
      <c r="W540" s="13"/>
      <c r="X540" s="13"/>
      <c r="Y540" s="13"/>
      <c r="Z540" s="13"/>
      <c r="AA540" s="13"/>
      <c r="AB540" s="13"/>
      <c r="AC540" s="13"/>
      <c r="AD540" s="13"/>
      <c r="AE540" s="13"/>
    </row>
    <row r="541" spans="1:31" ht="21" x14ac:dyDescent="0.4">
      <c r="A541" s="210"/>
      <c r="B541" s="108">
        <v>531</v>
      </c>
      <c r="C541" s="297">
        <v>2065.8523440810936</v>
      </c>
      <c r="D541" s="297">
        <v>3157.9052100063568</v>
      </c>
      <c r="E541" s="297">
        <v>17.233660242687989</v>
      </c>
      <c r="F541" s="297">
        <v>12.609722965219145</v>
      </c>
      <c r="G541" s="322">
        <v>-1092.0528659252632</v>
      </c>
      <c r="H541" s="322">
        <v>4.6239372774688441</v>
      </c>
      <c r="I541" s="322">
        <v>-236.17380608654275</v>
      </c>
      <c r="K541" s="223">
        <f t="shared" si="35"/>
        <v>1031953.7622171983</v>
      </c>
      <c r="L541" s="223">
        <f t="shared" si="35"/>
        <v>753425.47270314232</v>
      </c>
      <c r="M541" s="114">
        <f t="shared" si="36"/>
        <v>1</v>
      </c>
      <c r="N541" s="114">
        <f t="shared" si="37"/>
        <v>0</v>
      </c>
      <c r="Q541" s="320">
        <f t="shared" si="38"/>
        <v>53000</v>
      </c>
      <c r="R541" s="101">
        <v>1</v>
      </c>
      <c r="S541" s="101">
        <v>0</v>
      </c>
      <c r="T541" s="12"/>
      <c r="U541" s="210"/>
      <c r="V541" s="13"/>
      <c r="W541" s="13"/>
      <c r="X541" s="13"/>
      <c r="Y541" s="13"/>
      <c r="Z541" s="13"/>
      <c r="AA541" s="13"/>
      <c r="AB541" s="13"/>
      <c r="AC541" s="13"/>
      <c r="AD541" s="13"/>
      <c r="AE541" s="13"/>
    </row>
    <row r="542" spans="1:31" ht="21" x14ac:dyDescent="0.4">
      <c r="A542" s="210"/>
      <c r="B542" s="108">
        <v>532</v>
      </c>
      <c r="C542" s="297">
        <v>2025.3476550970918</v>
      </c>
      <c r="D542" s="297">
        <v>3102.2210900283058</v>
      </c>
      <c r="E542" s="297">
        <v>16.736634928549002</v>
      </c>
      <c r="F542" s="297">
        <v>13.073703414238501</v>
      </c>
      <c r="G542" s="322">
        <v>-1076.873434931214</v>
      </c>
      <c r="H542" s="322">
        <v>3.6629315143105003</v>
      </c>
      <c r="I542" s="322">
        <v>-293.99223838175459</v>
      </c>
      <c r="K542" s="223">
        <f t="shared" si="35"/>
        <v>1002172.748057843</v>
      </c>
      <c r="L542" s="223">
        <f t="shared" si="35"/>
        <v>781319.98376428173</v>
      </c>
      <c r="M542" s="114">
        <f t="shared" si="36"/>
        <v>1</v>
      </c>
      <c r="N542" s="114">
        <f t="shared" si="37"/>
        <v>0</v>
      </c>
      <c r="Q542" s="320">
        <f t="shared" si="38"/>
        <v>53100</v>
      </c>
      <c r="R542" s="101">
        <v>1</v>
      </c>
      <c r="S542" s="101">
        <v>0</v>
      </c>
      <c r="T542" s="12"/>
      <c r="U542" s="210"/>
      <c r="V542" s="13"/>
      <c r="W542" s="13"/>
      <c r="X542" s="13"/>
      <c r="Y542" s="13"/>
      <c r="Z542" s="13"/>
      <c r="AA542" s="13"/>
      <c r="AB542" s="13"/>
      <c r="AC542" s="13"/>
      <c r="AD542" s="13"/>
      <c r="AE542" s="13"/>
    </row>
    <row r="543" spans="1:31" ht="21" x14ac:dyDescent="0.4">
      <c r="A543" s="210"/>
      <c r="B543" s="108">
        <v>533</v>
      </c>
      <c r="C543" s="297">
        <v>2186.6927235729609</v>
      </c>
      <c r="D543" s="297">
        <v>2531.0117925988961</v>
      </c>
      <c r="E543" s="297">
        <v>19.743427611444385</v>
      </c>
      <c r="F543" s="297">
        <v>14.262079687335227</v>
      </c>
      <c r="G543" s="322">
        <v>-344.31906902593528</v>
      </c>
      <c r="H543" s="322">
        <v>5.4813479241091585</v>
      </c>
      <c r="I543" s="322">
        <v>-62.816495831523923</v>
      </c>
      <c r="K543" s="223">
        <f t="shared" si="35"/>
        <v>1182418.9639630902</v>
      </c>
      <c r="L543" s="223">
        <f t="shared" si="35"/>
        <v>853193.76944751479</v>
      </c>
      <c r="M543" s="114">
        <f t="shared" si="36"/>
        <v>1</v>
      </c>
      <c r="N543" s="114">
        <f t="shared" si="37"/>
        <v>0</v>
      </c>
      <c r="Q543" s="320">
        <f t="shared" si="38"/>
        <v>53200</v>
      </c>
      <c r="R543" s="101">
        <v>1</v>
      </c>
      <c r="S543" s="101">
        <v>0</v>
      </c>
      <c r="T543" s="12"/>
      <c r="U543" s="210"/>
      <c r="V543" s="13"/>
      <c r="W543" s="13"/>
      <c r="X543" s="13"/>
      <c r="Y543" s="13"/>
      <c r="Z543" s="13"/>
      <c r="AA543" s="13"/>
      <c r="AB543" s="13"/>
      <c r="AC543" s="13"/>
      <c r="AD543" s="13"/>
      <c r="AE543" s="13"/>
    </row>
    <row r="544" spans="1:31" ht="21" x14ac:dyDescent="0.4">
      <c r="A544" s="210"/>
      <c r="B544" s="108">
        <v>534</v>
      </c>
      <c r="C544" s="297">
        <v>2027.0270351512215</v>
      </c>
      <c r="D544" s="297">
        <v>3092.1588125820736</v>
      </c>
      <c r="E544" s="297">
        <v>20.825954490689696</v>
      </c>
      <c r="F544" s="297">
        <v>15.644514004064739</v>
      </c>
      <c r="G544" s="322">
        <v>-1065.131777430852</v>
      </c>
      <c r="H544" s="322">
        <v>5.1814404866249575</v>
      </c>
      <c r="I544" s="322">
        <v>-205.56672998181023</v>
      </c>
      <c r="K544" s="223">
        <f t="shared" si="35"/>
        <v>1247530.2424062307</v>
      </c>
      <c r="L544" s="223">
        <f t="shared" si="35"/>
        <v>935578.68143130234</v>
      </c>
      <c r="M544" s="114">
        <f t="shared" si="36"/>
        <v>1</v>
      </c>
      <c r="N544" s="114">
        <f t="shared" si="37"/>
        <v>0</v>
      </c>
      <c r="Q544" s="320">
        <f t="shared" si="38"/>
        <v>53300</v>
      </c>
      <c r="R544" s="101">
        <v>1</v>
      </c>
      <c r="S544" s="101">
        <v>0</v>
      </c>
      <c r="T544" s="12"/>
      <c r="U544" s="210"/>
      <c r="V544" s="13"/>
      <c r="W544" s="13"/>
      <c r="X544" s="13"/>
      <c r="Y544" s="13"/>
      <c r="Z544" s="13"/>
      <c r="AA544" s="13"/>
      <c r="AB544" s="13"/>
      <c r="AC544" s="13"/>
      <c r="AD544" s="13"/>
      <c r="AE544" s="13"/>
    </row>
    <row r="545" spans="1:31" ht="21" x14ac:dyDescent="0.4">
      <c r="A545" s="210"/>
      <c r="B545" s="108">
        <v>535</v>
      </c>
      <c r="C545" s="297">
        <v>1927.4388777185886</v>
      </c>
      <c r="D545" s="297">
        <v>3463.2672183759742</v>
      </c>
      <c r="E545" s="297">
        <v>19.555988498748292</v>
      </c>
      <c r="F545" s="297">
        <v>13.459154999484648</v>
      </c>
      <c r="G545" s="322">
        <v>-1535.8283406573855</v>
      </c>
      <c r="H545" s="322">
        <v>6.0968334992636439</v>
      </c>
      <c r="I545" s="322">
        <v>-251.90590178375021</v>
      </c>
      <c r="K545" s="223">
        <f t="shared" si="35"/>
        <v>1171431.871047179</v>
      </c>
      <c r="L545" s="223">
        <f t="shared" si="35"/>
        <v>804086.03275070293</v>
      </c>
      <c r="M545" s="114">
        <f t="shared" si="36"/>
        <v>1</v>
      </c>
      <c r="N545" s="114">
        <f t="shared" si="37"/>
        <v>0</v>
      </c>
      <c r="Q545" s="320">
        <f t="shared" si="38"/>
        <v>53400</v>
      </c>
      <c r="R545" s="101">
        <v>1</v>
      </c>
      <c r="S545" s="101">
        <v>0</v>
      </c>
      <c r="T545" s="12"/>
      <c r="U545" s="210"/>
      <c r="V545" s="13"/>
      <c r="W545" s="13"/>
      <c r="X545" s="13"/>
      <c r="Y545" s="13"/>
      <c r="Z545" s="13"/>
      <c r="AA545" s="13"/>
      <c r="AB545" s="13"/>
      <c r="AC545" s="13"/>
      <c r="AD545" s="13"/>
      <c r="AE545" s="13"/>
    </row>
    <row r="546" spans="1:31" ht="21" x14ac:dyDescent="0.4">
      <c r="A546" s="210"/>
      <c r="B546" s="108">
        <v>536</v>
      </c>
      <c r="C546" s="297">
        <v>2045.8895895638036</v>
      </c>
      <c r="D546" s="297">
        <v>2643.5911606199143</v>
      </c>
      <c r="E546" s="297">
        <v>18.476343313862571</v>
      </c>
      <c r="F546" s="297">
        <v>13.264150526010399</v>
      </c>
      <c r="G546" s="322">
        <v>-597.70157105611065</v>
      </c>
      <c r="H546" s="322">
        <v>5.2121927878521728</v>
      </c>
      <c r="I546" s="322">
        <v>-114.67372666052324</v>
      </c>
      <c r="K546" s="223">
        <f t="shared" si="35"/>
        <v>1106534.7092421905</v>
      </c>
      <c r="L546" s="223">
        <f t="shared" si="35"/>
        <v>793205.44040000404</v>
      </c>
      <c r="M546" s="114">
        <f t="shared" si="36"/>
        <v>1</v>
      </c>
      <c r="N546" s="114">
        <f t="shared" si="37"/>
        <v>0</v>
      </c>
      <c r="Q546" s="320">
        <f t="shared" si="38"/>
        <v>53500</v>
      </c>
      <c r="R546" s="101">
        <v>1</v>
      </c>
      <c r="S546" s="101">
        <v>0</v>
      </c>
      <c r="T546" s="12"/>
      <c r="U546" s="210"/>
      <c r="V546" s="13"/>
      <c r="W546" s="13"/>
      <c r="X546" s="13"/>
      <c r="Y546" s="13"/>
      <c r="Z546" s="13"/>
      <c r="AA546" s="13"/>
      <c r="AB546" s="13"/>
      <c r="AC546" s="13"/>
      <c r="AD546" s="13"/>
      <c r="AE546" s="13"/>
    </row>
    <row r="547" spans="1:31" ht="21" x14ac:dyDescent="0.4">
      <c r="A547" s="210"/>
      <c r="B547" s="108">
        <v>537</v>
      </c>
      <c r="C547" s="297">
        <v>2051.1772152034255</v>
      </c>
      <c r="D547" s="297">
        <v>2980.029169802563</v>
      </c>
      <c r="E547" s="297">
        <v>19.312949240331843</v>
      </c>
      <c r="F547" s="297">
        <v>14.331410503299047</v>
      </c>
      <c r="G547" s="322">
        <v>-928.85195459913757</v>
      </c>
      <c r="H547" s="322">
        <v>4.9815387370327961</v>
      </c>
      <c r="I547" s="322">
        <v>-186.45884407041649</v>
      </c>
      <c r="K547" s="223">
        <f t="shared" si="35"/>
        <v>1156725.7772047073</v>
      </c>
      <c r="L547" s="223">
        <f t="shared" si="35"/>
        <v>856904.60102814029</v>
      </c>
      <c r="M547" s="114">
        <f t="shared" si="36"/>
        <v>1</v>
      </c>
      <c r="N547" s="114">
        <f t="shared" si="37"/>
        <v>0</v>
      </c>
      <c r="Q547" s="320">
        <f t="shared" si="38"/>
        <v>53600</v>
      </c>
      <c r="R547" s="101">
        <v>1</v>
      </c>
      <c r="S547" s="101">
        <v>0</v>
      </c>
      <c r="T547" s="12"/>
      <c r="U547" s="210"/>
      <c r="V547" s="13"/>
      <c r="W547" s="13"/>
      <c r="X547" s="13"/>
      <c r="Y547" s="13"/>
      <c r="Z547" s="13"/>
      <c r="AA547" s="13"/>
      <c r="AB547" s="13"/>
      <c r="AC547" s="13"/>
      <c r="AD547" s="13"/>
      <c r="AE547" s="13"/>
    </row>
    <row r="548" spans="1:31" ht="21" x14ac:dyDescent="0.4">
      <c r="A548" s="210"/>
      <c r="B548" s="108">
        <v>538</v>
      </c>
      <c r="C548" s="297">
        <v>2030.3121685957992</v>
      </c>
      <c r="D548" s="297">
        <v>3236.7458346364847</v>
      </c>
      <c r="E548" s="297">
        <v>18.885815929408569</v>
      </c>
      <c r="F548" s="297">
        <v>14.102187224976985</v>
      </c>
      <c r="G548" s="322">
        <v>-1206.4336660406855</v>
      </c>
      <c r="H548" s="322">
        <v>4.7836287044315835</v>
      </c>
      <c r="I548" s="322">
        <v>-252.20052403378168</v>
      </c>
      <c r="K548" s="223">
        <f t="shared" si="35"/>
        <v>1131118.6435959183</v>
      </c>
      <c r="L548" s="223">
        <f t="shared" si="35"/>
        <v>842894.48766398267</v>
      </c>
      <c r="M548" s="114">
        <f t="shared" si="36"/>
        <v>1</v>
      </c>
      <c r="N548" s="114">
        <f t="shared" si="37"/>
        <v>0</v>
      </c>
      <c r="Q548" s="320">
        <f t="shared" si="38"/>
        <v>53700</v>
      </c>
      <c r="R548" s="101">
        <v>1</v>
      </c>
      <c r="S548" s="101">
        <v>0</v>
      </c>
      <c r="T548" s="12"/>
      <c r="U548" s="210"/>
      <c r="V548" s="13"/>
      <c r="W548" s="13"/>
      <c r="X548" s="13"/>
      <c r="Y548" s="13"/>
      <c r="Z548" s="13"/>
      <c r="AA548" s="13"/>
      <c r="AB548" s="13"/>
      <c r="AC548" s="13"/>
      <c r="AD548" s="13"/>
      <c r="AE548" s="13"/>
    </row>
    <row r="549" spans="1:31" ht="21" x14ac:dyDescent="0.4">
      <c r="A549" s="210"/>
      <c r="B549" s="108">
        <v>539</v>
      </c>
      <c r="C549" s="297">
        <v>1861.7653267979713</v>
      </c>
      <c r="D549" s="297">
        <v>2848.4776082479975</v>
      </c>
      <c r="E549" s="297">
        <v>17.097786924784359</v>
      </c>
      <c r="F549" s="297">
        <v>12.444646482589496</v>
      </c>
      <c r="G549" s="322">
        <v>-986.71228145002624</v>
      </c>
      <c r="H549" s="322">
        <v>4.6531404421948626</v>
      </c>
      <c r="I549" s="322">
        <v>-212.05297663111133</v>
      </c>
      <c r="K549" s="223">
        <f t="shared" si="35"/>
        <v>1024005.4501602636</v>
      </c>
      <c r="L549" s="223">
        <f t="shared" si="35"/>
        <v>743830.31134712172</v>
      </c>
      <c r="M549" s="114">
        <f t="shared" si="36"/>
        <v>1</v>
      </c>
      <c r="N549" s="114">
        <f t="shared" si="37"/>
        <v>0</v>
      </c>
      <c r="Q549" s="320">
        <f t="shared" si="38"/>
        <v>53800</v>
      </c>
      <c r="R549" s="101">
        <v>1</v>
      </c>
      <c r="S549" s="101">
        <v>0</v>
      </c>
      <c r="T549" s="12"/>
      <c r="U549" s="210"/>
      <c r="V549" s="13"/>
      <c r="W549" s="13"/>
      <c r="X549" s="13"/>
      <c r="Y549" s="13"/>
      <c r="Z549" s="13"/>
      <c r="AA549" s="13"/>
      <c r="AB549" s="13"/>
      <c r="AC549" s="13"/>
      <c r="AD549" s="13"/>
      <c r="AE549" s="13"/>
    </row>
    <row r="550" spans="1:31" ht="21" x14ac:dyDescent="0.4">
      <c r="A550" s="210"/>
      <c r="B550" s="108">
        <v>540</v>
      </c>
      <c r="C550" s="297">
        <v>2495.3768671341022</v>
      </c>
      <c r="D550" s="297">
        <v>2876.5148923977531</v>
      </c>
      <c r="E550" s="297">
        <v>16.648890839083872</v>
      </c>
      <c r="F550" s="297">
        <v>11.907519353117207</v>
      </c>
      <c r="G550" s="322">
        <v>-381.13802526365089</v>
      </c>
      <c r="H550" s="322">
        <v>4.7413714859666651</v>
      </c>
      <c r="I550" s="322">
        <v>-80.385607074182872</v>
      </c>
      <c r="K550" s="223">
        <f t="shared" si="35"/>
        <v>996438.07347789826</v>
      </c>
      <c r="L550" s="223">
        <f t="shared" si="35"/>
        <v>711574.64629463467</v>
      </c>
      <c r="M550" s="114">
        <f t="shared" si="36"/>
        <v>1</v>
      </c>
      <c r="N550" s="114">
        <f t="shared" si="37"/>
        <v>0</v>
      </c>
      <c r="Q550" s="320">
        <f t="shared" si="38"/>
        <v>53900</v>
      </c>
      <c r="R550" s="101">
        <v>1</v>
      </c>
      <c r="S550" s="101">
        <v>0</v>
      </c>
      <c r="T550" s="12"/>
      <c r="U550" s="210"/>
      <c r="V550" s="13"/>
      <c r="W550" s="13"/>
      <c r="X550" s="13"/>
      <c r="Y550" s="13"/>
      <c r="Z550" s="13"/>
      <c r="AA550" s="13"/>
      <c r="AB550" s="13"/>
      <c r="AC550" s="13"/>
      <c r="AD550" s="13"/>
      <c r="AE550" s="13"/>
    </row>
    <row r="551" spans="1:31" ht="21" x14ac:dyDescent="0.4">
      <c r="A551" s="210"/>
      <c r="B551" s="108">
        <v>541</v>
      </c>
      <c r="C551" s="297">
        <v>2410.5873707902965</v>
      </c>
      <c r="D551" s="297">
        <v>3950.4450401581935</v>
      </c>
      <c r="E551" s="297">
        <v>19.040566344991895</v>
      </c>
      <c r="F551" s="297">
        <v>13.221994281073219</v>
      </c>
      <c r="G551" s="322">
        <v>-1539.857669367897</v>
      </c>
      <c r="H551" s="322">
        <v>5.8185720639186762</v>
      </c>
      <c r="I551" s="322">
        <v>-264.6452862406997</v>
      </c>
      <c r="K551" s="223">
        <f t="shared" si="35"/>
        <v>1140023.3933287233</v>
      </c>
      <c r="L551" s="223">
        <f t="shared" si="35"/>
        <v>789369.21182423492</v>
      </c>
      <c r="M551" s="114">
        <f t="shared" si="36"/>
        <v>1</v>
      </c>
      <c r="N551" s="114">
        <f t="shared" si="37"/>
        <v>0</v>
      </c>
      <c r="Q551" s="320">
        <f t="shared" si="38"/>
        <v>54000</v>
      </c>
      <c r="R551" s="101">
        <v>1</v>
      </c>
      <c r="S551" s="101">
        <v>0</v>
      </c>
      <c r="T551" s="12"/>
      <c r="U551" s="210"/>
      <c r="V551" s="13"/>
      <c r="W551" s="13"/>
      <c r="X551" s="13"/>
      <c r="Y551" s="13"/>
      <c r="Z551" s="13"/>
      <c r="AA551" s="13"/>
      <c r="AB551" s="13"/>
      <c r="AC551" s="13"/>
      <c r="AD551" s="13"/>
      <c r="AE551" s="13"/>
    </row>
    <row r="552" spans="1:31" ht="21" x14ac:dyDescent="0.4">
      <c r="A552" s="210"/>
      <c r="B552" s="108">
        <v>542</v>
      </c>
      <c r="C552" s="297">
        <v>2097.793787190345</v>
      </c>
      <c r="D552" s="297">
        <v>3092.5869273456437</v>
      </c>
      <c r="E552" s="297">
        <v>18.760485286979176</v>
      </c>
      <c r="F552" s="297">
        <v>13.862238686068331</v>
      </c>
      <c r="G552" s="322">
        <v>-994.79314015529872</v>
      </c>
      <c r="H552" s="322">
        <v>4.898246600910845</v>
      </c>
      <c r="I552" s="322">
        <v>-203.09168182147334</v>
      </c>
      <c r="K552" s="223">
        <f t="shared" si="35"/>
        <v>1123531.3234315601</v>
      </c>
      <c r="L552" s="223">
        <f t="shared" si="35"/>
        <v>828641.73423675424</v>
      </c>
      <c r="M552" s="114">
        <f t="shared" si="36"/>
        <v>1</v>
      </c>
      <c r="N552" s="114">
        <f t="shared" si="37"/>
        <v>0</v>
      </c>
      <c r="Q552" s="320">
        <f t="shared" si="38"/>
        <v>54100</v>
      </c>
      <c r="R552" s="101">
        <v>1</v>
      </c>
      <c r="S552" s="101">
        <v>0</v>
      </c>
      <c r="T552" s="12"/>
      <c r="U552" s="210"/>
      <c r="V552" s="13"/>
      <c r="W552" s="13"/>
      <c r="X552" s="13"/>
      <c r="Y552" s="13"/>
      <c r="Z552" s="13"/>
      <c r="AA552" s="13"/>
      <c r="AB552" s="13"/>
      <c r="AC552" s="13"/>
      <c r="AD552" s="13"/>
      <c r="AE552" s="13"/>
    </row>
    <row r="553" spans="1:31" ht="21" x14ac:dyDescent="0.4">
      <c r="A553" s="210"/>
      <c r="B553" s="108">
        <v>543</v>
      </c>
      <c r="C553" s="297">
        <v>2039.0735137743777</v>
      </c>
      <c r="D553" s="297">
        <v>2571.3019218399772</v>
      </c>
      <c r="E553" s="297">
        <v>19.31543475995959</v>
      </c>
      <c r="F553" s="297">
        <v>13.443151404569027</v>
      </c>
      <c r="G553" s="322">
        <v>-532.22840806559952</v>
      </c>
      <c r="H553" s="322">
        <v>5.8722833553905627</v>
      </c>
      <c r="I553" s="322">
        <v>-90.633979298194348</v>
      </c>
      <c r="K553" s="223">
        <f t="shared" si="35"/>
        <v>1156887.012083801</v>
      </c>
      <c r="L553" s="223">
        <f t="shared" si="35"/>
        <v>804017.78235230176</v>
      </c>
      <c r="M553" s="114">
        <f t="shared" si="36"/>
        <v>1</v>
      </c>
      <c r="N553" s="114">
        <f t="shared" si="37"/>
        <v>0</v>
      </c>
      <c r="Q553" s="320">
        <f t="shared" si="38"/>
        <v>54200</v>
      </c>
      <c r="R553" s="101">
        <v>1</v>
      </c>
      <c r="S553" s="101">
        <v>0</v>
      </c>
      <c r="T553" s="12"/>
      <c r="U553" s="210"/>
      <c r="V553" s="13"/>
      <c r="W553" s="13"/>
      <c r="X553" s="13"/>
      <c r="Y553" s="13"/>
      <c r="Z553" s="13"/>
      <c r="AA553" s="13"/>
      <c r="AB553" s="13"/>
      <c r="AC553" s="13"/>
      <c r="AD553" s="13"/>
      <c r="AE553" s="13"/>
    </row>
    <row r="554" spans="1:31" ht="21" x14ac:dyDescent="0.4">
      <c r="A554" s="210"/>
      <c r="B554" s="108">
        <v>544</v>
      </c>
      <c r="C554" s="297">
        <v>2056.9824004530019</v>
      </c>
      <c r="D554" s="297">
        <v>2958.7778209079443</v>
      </c>
      <c r="E554" s="297">
        <v>18.474796620690043</v>
      </c>
      <c r="F554" s="297">
        <v>13.363248916329297</v>
      </c>
      <c r="G554" s="322">
        <v>-901.79542045494236</v>
      </c>
      <c r="H554" s="322">
        <v>5.1115477043607456</v>
      </c>
      <c r="I554" s="322">
        <v>-176.42316429632572</v>
      </c>
      <c r="K554" s="223">
        <f t="shared" si="35"/>
        <v>1106430.8148409496</v>
      </c>
      <c r="L554" s="223">
        <f t="shared" si="35"/>
        <v>798836.15715884988</v>
      </c>
      <c r="M554" s="114">
        <f t="shared" si="36"/>
        <v>1</v>
      </c>
      <c r="N554" s="114">
        <f t="shared" si="37"/>
        <v>0</v>
      </c>
      <c r="Q554" s="320">
        <f t="shared" si="38"/>
        <v>54300</v>
      </c>
      <c r="R554" s="101">
        <v>1</v>
      </c>
      <c r="S554" s="101">
        <v>0</v>
      </c>
      <c r="T554" s="12"/>
      <c r="U554" s="210"/>
      <c r="V554" s="13"/>
      <c r="W554" s="13"/>
      <c r="X554" s="13"/>
      <c r="Y554" s="13"/>
      <c r="Z554" s="13"/>
      <c r="AA554" s="13"/>
      <c r="AB554" s="13"/>
      <c r="AC554" s="13"/>
      <c r="AD554" s="13"/>
      <c r="AE554" s="13"/>
    </row>
    <row r="555" spans="1:31" ht="21" x14ac:dyDescent="0.4">
      <c r="A555" s="210"/>
      <c r="B555" s="108">
        <v>545</v>
      </c>
      <c r="C555" s="297">
        <v>1947.5573149569179</v>
      </c>
      <c r="D555" s="297">
        <v>2856.0913540863448</v>
      </c>
      <c r="E555" s="297">
        <v>20.779566199340255</v>
      </c>
      <c r="F555" s="297">
        <v>15.303343154885171</v>
      </c>
      <c r="G555" s="322">
        <v>-908.5340391294269</v>
      </c>
      <c r="H555" s="322">
        <v>5.4762230444550841</v>
      </c>
      <c r="I555" s="322">
        <v>-165.90522916143041</v>
      </c>
      <c r="K555" s="223">
        <f t="shared" si="35"/>
        <v>1244826.4146454583</v>
      </c>
      <c r="L555" s="223">
        <f t="shared" si="35"/>
        <v>915344.497939024</v>
      </c>
      <c r="M555" s="114">
        <f t="shared" si="36"/>
        <v>1</v>
      </c>
      <c r="N555" s="114">
        <f t="shared" si="37"/>
        <v>0</v>
      </c>
      <c r="Q555" s="320">
        <f t="shared" si="38"/>
        <v>54400</v>
      </c>
      <c r="R555" s="101">
        <v>1</v>
      </c>
      <c r="S555" s="101">
        <v>0</v>
      </c>
      <c r="T555" s="12"/>
      <c r="U555" s="210"/>
      <c r="V555" s="13"/>
      <c r="W555" s="13"/>
      <c r="X555" s="13"/>
      <c r="Y555" s="13"/>
      <c r="Z555" s="13"/>
      <c r="AA555" s="13"/>
      <c r="AB555" s="13"/>
      <c r="AC555" s="13"/>
      <c r="AD555" s="13"/>
      <c r="AE555" s="13"/>
    </row>
    <row r="556" spans="1:31" ht="21" x14ac:dyDescent="0.4">
      <c r="A556" s="210"/>
      <c r="B556" s="108">
        <v>546</v>
      </c>
      <c r="C556" s="297">
        <v>2158.4968687191904</v>
      </c>
      <c r="D556" s="297">
        <v>3574.6862113894917</v>
      </c>
      <c r="E556" s="297">
        <v>18.736417173784105</v>
      </c>
      <c r="F556" s="297">
        <v>14.262920772887481</v>
      </c>
      <c r="G556" s="322">
        <v>-1416.1893426703014</v>
      </c>
      <c r="H556" s="322">
        <v>4.4734964008966234</v>
      </c>
      <c r="I556" s="322">
        <v>-316.57326076901603</v>
      </c>
      <c r="K556" s="223">
        <f t="shared" si="35"/>
        <v>1122026.5335583272</v>
      </c>
      <c r="L556" s="223">
        <f t="shared" si="35"/>
        <v>852200.56016185938</v>
      </c>
      <c r="M556" s="114">
        <f t="shared" si="36"/>
        <v>1</v>
      </c>
      <c r="N556" s="114">
        <f t="shared" si="37"/>
        <v>0</v>
      </c>
      <c r="Q556" s="320">
        <f t="shared" si="38"/>
        <v>54500</v>
      </c>
      <c r="R556" s="101">
        <v>1</v>
      </c>
      <c r="S556" s="101">
        <v>0</v>
      </c>
      <c r="T556" s="12"/>
      <c r="U556" s="210"/>
      <c r="V556" s="13"/>
      <c r="W556" s="13"/>
      <c r="X556" s="13"/>
      <c r="Y556" s="13"/>
      <c r="Z556" s="13"/>
      <c r="AA556" s="13"/>
      <c r="AB556" s="13"/>
      <c r="AC556" s="13"/>
      <c r="AD556" s="13"/>
      <c r="AE556" s="13"/>
    </row>
    <row r="557" spans="1:31" ht="21" x14ac:dyDescent="0.4">
      <c r="A557" s="210"/>
      <c r="B557" s="108">
        <v>547</v>
      </c>
      <c r="C557" s="297">
        <v>1827.7427379405242</v>
      </c>
      <c r="D557" s="297">
        <v>2682.5104836201249</v>
      </c>
      <c r="E557" s="297">
        <v>19.987837617880736</v>
      </c>
      <c r="F557" s="297">
        <v>14.00087004449305</v>
      </c>
      <c r="G557" s="322">
        <v>-854.76774567960069</v>
      </c>
      <c r="H557" s="322">
        <v>5.9869675733876857</v>
      </c>
      <c r="I557" s="322">
        <v>-142.77140057999947</v>
      </c>
      <c r="K557" s="223">
        <f t="shared" si="35"/>
        <v>1197442.5143349036</v>
      </c>
      <c r="L557" s="223">
        <f t="shared" si="35"/>
        <v>837369.69218596292</v>
      </c>
      <c r="M557" s="114">
        <f t="shared" si="36"/>
        <v>1</v>
      </c>
      <c r="N557" s="114">
        <f t="shared" si="37"/>
        <v>0</v>
      </c>
      <c r="Q557" s="320">
        <f t="shared" si="38"/>
        <v>54600</v>
      </c>
      <c r="R557" s="101">
        <v>1</v>
      </c>
      <c r="S557" s="101">
        <v>0</v>
      </c>
      <c r="T557" s="12"/>
      <c r="U557" s="210"/>
      <c r="V557" s="13"/>
      <c r="W557" s="13"/>
      <c r="X557" s="13"/>
      <c r="Y557" s="13"/>
      <c r="Z557" s="13"/>
      <c r="AA557" s="13"/>
      <c r="AB557" s="13"/>
      <c r="AC557" s="13"/>
      <c r="AD557" s="13"/>
      <c r="AE557" s="13"/>
    </row>
    <row r="558" spans="1:31" ht="21" x14ac:dyDescent="0.4">
      <c r="A558" s="210"/>
      <c r="B558" s="108">
        <v>548</v>
      </c>
      <c r="C558" s="297">
        <v>2111.0646544366559</v>
      </c>
      <c r="D558" s="297">
        <v>3285.0682486601072</v>
      </c>
      <c r="E558" s="297">
        <v>18.697261450718806</v>
      </c>
      <c r="F558" s="297">
        <v>13.520891558237471</v>
      </c>
      <c r="G558" s="322">
        <v>-1174.0035942234513</v>
      </c>
      <c r="H558" s="322">
        <v>5.1763698924813344</v>
      </c>
      <c r="I558" s="322">
        <v>-226.80056074213104</v>
      </c>
      <c r="K558" s="223">
        <f t="shared" si="35"/>
        <v>1119724.6223886916</v>
      </c>
      <c r="L558" s="223">
        <f t="shared" si="35"/>
        <v>807968.42524558818</v>
      </c>
      <c r="M558" s="114">
        <f t="shared" si="36"/>
        <v>1</v>
      </c>
      <c r="N558" s="114">
        <f t="shared" si="37"/>
        <v>0</v>
      </c>
      <c r="Q558" s="320">
        <f t="shared" si="38"/>
        <v>54700</v>
      </c>
      <c r="R558" s="101">
        <v>1</v>
      </c>
      <c r="S558" s="101">
        <v>0</v>
      </c>
      <c r="T558" s="12"/>
      <c r="U558" s="210"/>
      <c r="V558" s="13"/>
      <c r="W558" s="13"/>
      <c r="X558" s="13"/>
      <c r="Y558" s="13"/>
      <c r="Z558" s="13"/>
      <c r="AA558" s="13"/>
      <c r="AB558" s="13"/>
      <c r="AC558" s="13"/>
      <c r="AD558" s="13"/>
      <c r="AE558" s="13"/>
    </row>
    <row r="559" spans="1:31" ht="21" x14ac:dyDescent="0.4">
      <c r="A559" s="210"/>
      <c r="B559" s="108">
        <v>549</v>
      </c>
      <c r="C559" s="297">
        <v>2032.5287984292495</v>
      </c>
      <c r="D559" s="297">
        <v>2911.6008871105005</v>
      </c>
      <c r="E559" s="297">
        <v>18.342562589817092</v>
      </c>
      <c r="F559" s="297">
        <v>13.176432879600869</v>
      </c>
      <c r="G559" s="322">
        <v>-879.07208868125099</v>
      </c>
      <c r="H559" s="322">
        <v>5.1661297102162234</v>
      </c>
      <c r="I559" s="322">
        <v>-170.16066920326287</v>
      </c>
      <c r="K559" s="223">
        <f t="shared" si="35"/>
        <v>1098521.2265905961</v>
      </c>
      <c r="L559" s="223">
        <f t="shared" si="35"/>
        <v>787674.37188894162</v>
      </c>
      <c r="M559" s="114">
        <f t="shared" si="36"/>
        <v>1</v>
      </c>
      <c r="N559" s="114">
        <f t="shared" si="37"/>
        <v>0</v>
      </c>
      <c r="Q559" s="320">
        <f t="shared" si="38"/>
        <v>54800</v>
      </c>
      <c r="R559" s="101">
        <v>1</v>
      </c>
      <c r="S559" s="101">
        <v>0</v>
      </c>
      <c r="T559" s="12"/>
      <c r="U559" s="210"/>
      <c r="V559" s="13"/>
      <c r="W559" s="13"/>
      <c r="X559" s="13"/>
      <c r="Y559" s="13"/>
      <c r="Z559" s="13"/>
      <c r="AA559" s="13"/>
      <c r="AB559" s="13"/>
      <c r="AC559" s="13"/>
      <c r="AD559" s="13"/>
      <c r="AE559" s="13"/>
    </row>
    <row r="560" spans="1:31" ht="21" x14ac:dyDescent="0.4">
      <c r="A560" s="210"/>
      <c r="B560" s="108">
        <v>550</v>
      </c>
      <c r="C560" s="297">
        <v>1874.1423368362211</v>
      </c>
      <c r="D560" s="297">
        <v>2311.3127635610026</v>
      </c>
      <c r="E560" s="297">
        <v>20.598641823237401</v>
      </c>
      <c r="F560" s="297">
        <v>15.220070809706806</v>
      </c>
      <c r="G560" s="322">
        <v>-437.17042672478146</v>
      </c>
      <c r="H560" s="322">
        <v>5.3785710135305944</v>
      </c>
      <c r="I560" s="322">
        <v>-81.28003248911547</v>
      </c>
      <c r="K560" s="223">
        <f t="shared" si="35"/>
        <v>1234044.3670574077</v>
      </c>
      <c r="L560" s="223">
        <f t="shared" si="35"/>
        <v>910892.93581884739</v>
      </c>
      <c r="M560" s="114">
        <f t="shared" si="36"/>
        <v>1</v>
      </c>
      <c r="N560" s="114">
        <f t="shared" si="37"/>
        <v>0</v>
      </c>
      <c r="Q560" s="320">
        <f t="shared" si="38"/>
        <v>54900</v>
      </c>
      <c r="R560" s="101">
        <v>1</v>
      </c>
      <c r="S560" s="101">
        <v>0</v>
      </c>
      <c r="T560" s="12"/>
      <c r="U560" s="210"/>
      <c r="V560" s="13"/>
      <c r="W560" s="13"/>
      <c r="X560" s="13"/>
      <c r="Y560" s="13"/>
      <c r="Z560" s="13"/>
      <c r="AA560" s="13"/>
      <c r="AB560" s="13"/>
      <c r="AC560" s="13"/>
      <c r="AD560" s="13"/>
      <c r="AE560" s="13"/>
    </row>
    <row r="561" spans="1:31" ht="21" x14ac:dyDescent="0.4">
      <c r="A561" s="210"/>
      <c r="B561" s="108">
        <v>551</v>
      </c>
      <c r="C561" s="297">
        <v>2693.6683673504258</v>
      </c>
      <c r="D561" s="297">
        <v>3559.3753638191401</v>
      </c>
      <c r="E561" s="297">
        <v>17.468611769030076</v>
      </c>
      <c r="F561" s="297">
        <v>12.759746041147643</v>
      </c>
      <c r="G561" s="322">
        <v>-865.70699646871435</v>
      </c>
      <c r="H561" s="322">
        <v>4.7088657278824329</v>
      </c>
      <c r="I561" s="322">
        <v>-183.84618430350125</v>
      </c>
      <c r="K561" s="223">
        <f t="shared" si="35"/>
        <v>1045423.0377744541</v>
      </c>
      <c r="L561" s="223">
        <f t="shared" si="35"/>
        <v>762025.38710503944</v>
      </c>
      <c r="M561" s="114">
        <f t="shared" si="36"/>
        <v>1</v>
      </c>
      <c r="N561" s="114">
        <f t="shared" si="37"/>
        <v>0</v>
      </c>
      <c r="Q561" s="320">
        <f t="shared" si="38"/>
        <v>55000</v>
      </c>
      <c r="R561" s="101">
        <v>1</v>
      </c>
      <c r="S561" s="101">
        <v>0</v>
      </c>
      <c r="T561" s="12"/>
      <c r="U561" s="210"/>
      <c r="V561" s="13"/>
      <c r="W561" s="13"/>
      <c r="X561" s="13"/>
      <c r="Y561" s="13"/>
      <c r="Z561" s="13"/>
      <c r="AA561" s="13"/>
      <c r="AB561" s="13"/>
      <c r="AC561" s="13"/>
      <c r="AD561" s="13"/>
      <c r="AE561" s="13"/>
    </row>
    <row r="562" spans="1:31" ht="21" x14ac:dyDescent="0.4">
      <c r="A562" s="210"/>
      <c r="B562" s="108">
        <v>552</v>
      </c>
      <c r="C562" s="297">
        <v>1907.2777402493266</v>
      </c>
      <c r="D562" s="297">
        <v>2579.2363850562879</v>
      </c>
      <c r="E562" s="297">
        <v>18.625074213118552</v>
      </c>
      <c r="F562" s="297">
        <v>14.197761552597413</v>
      </c>
      <c r="G562" s="322">
        <v>-671.95864480696127</v>
      </c>
      <c r="H562" s="322">
        <v>4.4273126605211388</v>
      </c>
      <c r="I562" s="322">
        <v>-151.77573763852158</v>
      </c>
      <c r="K562" s="223">
        <f t="shared" si="35"/>
        <v>1115597.1750468637</v>
      </c>
      <c r="L562" s="223">
        <f t="shared" si="35"/>
        <v>849286.45677078853</v>
      </c>
      <c r="M562" s="114">
        <f t="shared" si="36"/>
        <v>1</v>
      </c>
      <c r="N562" s="114">
        <f t="shared" si="37"/>
        <v>0</v>
      </c>
      <c r="Q562" s="320">
        <f t="shared" si="38"/>
        <v>55100</v>
      </c>
      <c r="R562" s="101">
        <v>1</v>
      </c>
      <c r="S562" s="101">
        <v>0</v>
      </c>
      <c r="T562" s="12"/>
      <c r="U562" s="210"/>
      <c r="V562" s="13"/>
      <c r="W562" s="13"/>
      <c r="X562" s="13"/>
      <c r="Y562" s="13"/>
      <c r="Z562" s="13"/>
      <c r="AA562" s="13"/>
      <c r="AB562" s="13"/>
      <c r="AC562" s="13"/>
      <c r="AD562" s="13"/>
      <c r="AE562" s="13"/>
    </row>
    <row r="563" spans="1:31" ht="21" x14ac:dyDescent="0.4">
      <c r="A563" s="210"/>
      <c r="B563" s="108">
        <v>553</v>
      </c>
      <c r="C563" s="297">
        <v>1908.9020416639214</v>
      </c>
      <c r="D563" s="297">
        <v>2488.7755058898601</v>
      </c>
      <c r="E563" s="297">
        <v>18.834024631438297</v>
      </c>
      <c r="F563" s="297">
        <v>14.409450648325898</v>
      </c>
      <c r="G563" s="322">
        <v>-579.87346422593873</v>
      </c>
      <c r="H563" s="322">
        <v>4.4245739831123991</v>
      </c>
      <c r="I563" s="322">
        <v>-131.05746823065564</v>
      </c>
      <c r="K563" s="223">
        <f t="shared" si="35"/>
        <v>1128132.5758446339</v>
      </c>
      <c r="L563" s="223">
        <f t="shared" si="35"/>
        <v>862078.26339366392</v>
      </c>
      <c r="M563" s="114">
        <f t="shared" si="36"/>
        <v>1</v>
      </c>
      <c r="N563" s="114">
        <f t="shared" si="37"/>
        <v>0</v>
      </c>
      <c r="Q563" s="320">
        <f t="shared" si="38"/>
        <v>55200</v>
      </c>
      <c r="R563" s="101">
        <v>1</v>
      </c>
      <c r="S563" s="101">
        <v>0</v>
      </c>
      <c r="T563" s="12"/>
      <c r="U563" s="210"/>
      <c r="V563" s="13"/>
      <c r="W563" s="13"/>
      <c r="X563" s="13"/>
      <c r="Y563" s="13"/>
      <c r="Z563" s="13"/>
      <c r="AA563" s="13"/>
      <c r="AB563" s="13"/>
      <c r="AC563" s="13"/>
      <c r="AD563" s="13"/>
      <c r="AE563" s="13"/>
    </row>
    <row r="564" spans="1:31" ht="21" x14ac:dyDescent="0.4">
      <c r="A564" s="210"/>
      <c r="B564" s="108">
        <v>554</v>
      </c>
      <c r="C564" s="297">
        <v>2117.8390753129447</v>
      </c>
      <c r="D564" s="297">
        <v>3372.8961908393785</v>
      </c>
      <c r="E564" s="297">
        <v>18.737044750846945</v>
      </c>
      <c r="F564" s="297">
        <v>13.300092422637576</v>
      </c>
      <c r="G564" s="322">
        <v>-1255.0571155264338</v>
      </c>
      <c r="H564" s="322">
        <v>5.4369523282093688</v>
      </c>
      <c r="I564" s="322">
        <v>-230.83835203311045</v>
      </c>
      <c r="K564" s="223">
        <f t="shared" si="35"/>
        <v>1122104.8459755038</v>
      </c>
      <c r="L564" s="223">
        <f t="shared" si="35"/>
        <v>794632.64916741522</v>
      </c>
      <c r="M564" s="114">
        <f t="shared" si="36"/>
        <v>1</v>
      </c>
      <c r="N564" s="114">
        <f t="shared" si="37"/>
        <v>0</v>
      </c>
      <c r="Q564" s="320">
        <f t="shared" si="38"/>
        <v>55300</v>
      </c>
      <c r="R564" s="101">
        <v>1</v>
      </c>
      <c r="S564" s="101">
        <v>0</v>
      </c>
      <c r="T564" s="12"/>
      <c r="U564" s="210"/>
      <c r="V564" s="13"/>
      <c r="W564" s="13"/>
      <c r="X564" s="13"/>
      <c r="Y564" s="13"/>
      <c r="Z564" s="13"/>
      <c r="AA564" s="13"/>
      <c r="AB564" s="13"/>
      <c r="AC564" s="13"/>
      <c r="AD564" s="13"/>
      <c r="AE564" s="13"/>
    </row>
    <row r="565" spans="1:31" ht="21" x14ac:dyDescent="0.4">
      <c r="A565" s="210"/>
      <c r="B565" s="108">
        <v>555</v>
      </c>
      <c r="C565" s="297">
        <v>2263.8057254348914</v>
      </c>
      <c r="D565" s="297">
        <v>2757.672428582106</v>
      </c>
      <c r="E565" s="297">
        <v>17.043885121458498</v>
      </c>
      <c r="F565" s="297">
        <v>13.549235840989695</v>
      </c>
      <c r="G565" s="322">
        <v>-493.86670314721459</v>
      </c>
      <c r="H565" s="322">
        <v>3.4946492804688027</v>
      </c>
      <c r="I565" s="322">
        <v>-141.32082034880565</v>
      </c>
      <c r="K565" s="223">
        <f t="shared" si="35"/>
        <v>1020369.3015620749</v>
      </c>
      <c r="L565" s="223">
        <f t="shared" si="35"/>
        <v>810196.47803079966</v>
      </c>
      <c r="M565" s="114">
        <f t="shared" si="36"/>
        <v>1</v>
      </c>
      <c r="N565" s="114">
        <f t="shared" si="37"/>
        <v>0</v>
      </c>
      <c r="Q565" s="320">
        <f t="shared" si="38"/>
        <v>55400</v>
      </c>
      <c r="R565" s="101">
        <v>1</v>
      </c>
      <c r="S565" s="101">
        <v>0</v>
      </c>
      <c r="T565" s="12"/>
      <c r="U565" s="210"/>
      <c r="V565" s="13"/>
      <c r="W565" s="13"/>
      <c r="X565" s="13"/>
      <c r="Y565" s="13"/>
      <c r="Z565" s="13"/>
      <c r="AA565" s="13"/>
      <c r="AB565" s="13"/>
      <c r="AC565" s="13"/>
      <c r="AD565" s="13"/>
      <c r="AE565" s="13"/>
    </row>
    <row r="566" spans="1:31" ht="21" x14ac:dyDescent="0.4">
      <c r="A566" s="210"/>
      <c r="B566" s="108">
        <v>556</v>
      </c>
      <c r="C566" s="297">
        <v>2159.2013032920327</v>
      </c>
      <c r="D566" s="297">
        <v>3346.0225294913621</v>
      </c>
      <c r="E566" s="297">
        <v>20.40561697084669</v>
      </c>
      <c r="F566" s="297">
        <v>15.528842467187939</v>
      </c>
      <c r="G566" s="322">
        <v>-1186.8212261993294</v>
      </c>
      <c r="H566" s="322">
        <v>4.8767745036587513</v>
      </c>
      <c r="I566" s="322">
        <v>-243.36192401533609</v>
      </c>
      <c r="K566" s="223">
        <f t="shared" si="35"/>
        <v>1222177.8169475093</v>
      </c>
      <c r="L566" s="223">
        <f t="shared" si="35"/>
        <v>928384.52550178498</v>
      </c>
      <c r="M566" s="114">
        <f t="shared" si="36"/>
        <v>1</v>
      </c>
      <c r="N566" s="114">
        <f t="shared" si="37"/>
        <v>0</v>
      </c>
      <c r="Q566" s="320">
        <f t="shared" si="38"/>
        <v>55500</v>
      </c>
      <c r="R566" s="101">
        <v>1</v>
      </c>
      <c r="S566" s="101">
        <v>0</v>
      </c>
      <c r="T566" s="12"/>
      <c r="U566" s="210"/>
      <c r="V566" s="13"/>
      <c r="W566" s="13"/>
      <c r="X566" s="13"/>
      <c r="Y566" s="13"/>
      <c r="Z566" s="13"/>
      <c r="AA566" s="13"/>
      <c r="AB566" s="13"/>
      <c r="AC566" s="13"/>
      <c r="AD566" s="13"/>
      <c r="AE566" s="13"/>
    </row>
    <row r="567" spans="1:31" ht="21" x14ac:dyDescent="0.4">
      <c r="A567" s="210"/>
      <c r="B567" s="108">
        <v>557</v>
      </c>
      <c r="C567" s="297">
        <v>2272.0332805929274</v>
      </c>
      <c r="D567" s="297">
        <v>3345.9628610840737</v>
      </c>
      <c r="E567" s="297">
        <v>19.855152515120974</v>
      </c>
      <c r="F567" s="297">
        <v>13.87151939759452</v>
      </c>
      <c r="G567" s="322">
        <v>-1073.9295804911462</v>
      </c>
      <c r="H567" s="322">
        <v>5.9836331175264537</v>
      </c>
      <c r="I567" s="322">
        <v>-179.47784554930951</v>
      </c>
      <c r="K567" s="223">
        <f t="shared" si="35"/>
        <v>1189037.1176266656</v>
      </c>
      <c r="L567" s="223">
        <f t="shared" si="35"/>
        <v>828945.20099458715</v>
      </c>
      <c r="M567" s="114">
        <f t="shared" si="36"/>
        <v>1</v>
      </c>
      <c r="N567" s="114">
        <f t="shared" si="37"/>
        <v>0</v>
      </c>
      <c r="Q567" s="320">
        <f t="shared" si="38"/>
        <v>55600</v>
      </c>
      <c r="R567" s="101">
        <v>1</v>
      </c>
      <c r="S567" s="101">
        <v>0</v>
      </c>
      <c r="T567" s="12"/>
      <c r="U567" s="210"/>
      <c r="V567" s="13"/>
      <c r="W567" s="13"/>
      <c r="X567" s="13"/>
      <c r="Y567" s="13"/>
      <c r="Z567" s="13"/>
      <c r="AA567" s="13"/>
      <c r="AB567" s="13"/>
      <c r="AC567" s="13"/>
      <c r="AD567" s="13"/>
      <c r="AE567" s="13"/>
    </row>
    <row r="568" spans="1:31" ht="21" x14ac:dyDescent="0.4">
      <c r="A568" s="210"/>
      <c r="B568" s="108">
        <v>558</v>
      </c>
      <c r="C568" s="297">
        <v>2031.6884609145477</v>
      </c>
      <c r="D568" s="297">
        <v>3243.4702874722802</v>
      </c>
      <c r="E568" s="297">
        <v>18.287601476498789</v>
      </c>
      <c r="F568" s="297">
        <v>13.217219726918383</v>
      </c>
      <c r="G568" s="322">
        <v>-1211.7818265577325</v>
      </c>
      <c r="H568" s="322">
        <v>5.070381749580406</v>
      </c>
      <c r="I568" s="322">
        <v>-238.99222709572356</v>
      </c>
      <c r="K568" s="223">
        <f t="shared" si="35"/>
        <v>1095224.4001290128</v>
      </c>
      <c r="L568" s="223">
        <f t="shared" si="35"/>
        <v>789789.71332763077</v>
      </c>
      <c r="M568" s="114">
        <f t="shared" si="36"/>
        <v>1</v>
      </c>
      <c r="N568" s="114">
        <f t="shared" si="37"/>
        <v>0</v>
      </c>
      <c r="Q568" s="320">
        <f t="shared" si="38"/>
        <v>55700</v>
      </c>
      <c r="R568" s="101">
        <v>1</v>
      </c>
      <c r="S568" s="101">
        <v>0</v>
      </c>
      <c r="T568" s="12"/>
      <c r="U568" s="210"/>
      <c r="V568" s="13"/>
      <c r="W568" s="13"/>
      <c r="X568" s="13"/>
      <c r="Y568" s="13"/>
      <c r="Z568" s="13"/>
      <c r="AA568" s="13"/>
      <c r="AB568" s="13"/>
      <c r="AC568" s="13"/>
      <c r="AD568" s="13"/>
      <c r="AE568" s="13"/>
    </row>
    <row r="569" spans="1:31" ht="21" x14ac:dyDescent="0.4">
      <c r="A569" s="210"/>
      <c r="B569" s="108">
        <v>559</v>
      </c>
      <c r="C569" s="297">
        <v>1834.4091083359822</v>
      </c>
      <c r="D569" s="297">
        <v>2855.8637223060891</v>
      </c>
      <c r="E569" s="297">
        <v>19.746395426932615</v>
      </c>
      <c r="F569" s="297">
        <v>14.304914935637818</v>
      </c>
      <c r="G569" s="322">
        <v>-1021.4546139701069</v>
      </c>
      <c r="H569" s="322">
        <v>5.4414804912947972</v>
      </c>
      <c r="I569" s="322">
        <v>-187.71630544375111</v>
      </c>
      <c r="K569" s="223">
        <f t="shared" si="35"/>
        <v>1182949.3165076207</v>
      </c>
      <c r="L569" s="223">
        <f t="shared" si="35"/>
        <v>855439.03241596301</v>
      </c>
      <c r="M569" s="114">
        <f t="shared" si="36"/>
        <v>1</v>
      </c>
      <c r="N569" s="114">
        <f t="shared" si="37"/>
        <v>0</v>
      </c>
      <c r="Q569" s="320">
        <f t="shared" si="38"/>
        <v>55800</v>
      </c>
      <c r="R569" s="101">
        <v>1</v>
      </c>
      <c r="S569" s="101">
        <v>0</v>
      </c>
      <c r="T569" s="12"/>
      <c r="U569" s="210"/>
      <c r="V569" s="13"/>
      <c r="W569" s="13"/>
      <c r="X569" s="13"/>
      <c r="Y569" s="13"/>
      <c r="Z569" s="13"/>
      <c r="AA569" s="13"/>
      <c r="AB569" s="13"/>
      <c r="AC569" s="13"/>
      <c r="AD569" s="13"/>
      <c r="AE569" s="13"/>
    </row>
    <row r="570" spans="1:31" ht="21" x14ac:dyDescent="0.4">
      <c r="A570" s="210"/>
      <c r="B570" s="108">
        <v>560</v>
      </c>
      <c r="C570" s="297">
        <v>2208.774251927392</v>
      </c>
      <c r="D570" s="297">
        <v>3589.4138746938215</v>
      </c>
      <c r="E570" s="297">
        <v>19.838559880051726</v>
      </c>
      <c r="F570" s="297">
        <v>13.703351106141676</v>
      </c>
      <c r="G570" s="322">
        <v>-1380.6396227664295</v>
      </c>
      <c r="H570" s="322">
        <v>6.1352087739100494</v>
      </c>
      <c r="I570" s="322">
        <v>-225.03547534316908</v>
      </c>
      <c r="K570" s="223">
        <f t="shared" si="35"/>
        <v>1188104.8185511762</v>
      </c>
      <c r="L570" s="223">
        <f t="shared" si="35"/>
        <v>818611.65249380679</v>
      </c>
      <c r="M570" s="114">
        <f t="shared" si="36"/>
        <v>1</v>
      </c>
      <c r="N570" s="114">
        <f t="shared" si="37"/>
        <v>0</v>
      </c>
      <c r="Q570" s="320">
        <f t="shared" si="38"/>
        <v>55900</v>
      </c>
      <c r="R570" s="101">
        <v>1</v>
      </c>
      <c r="S570" s="101">
        <v>0</v>
      </c>
      <c r="T570" s="12"/>
      <c r="U570" s="210"/>
      <c r="V570" s="13"/>
      <c r="W570" s="13"/>
      <c r="X570" s="13"/>
      <c r="Y570" s="13"/>
      <c r="Z570" s="13"/>
      <c r="AA570" s="13"/>
      <c r="AB570" s="13"/>
      <c r="AC570" s="13"/>
      <c r="AD570" s="13"/>
      <c r="AE570" s="13"/>
    </row>
    <row r="571" spans="1:31" ht="21" x14ac:dyDescent="0.4">
      <c r="A571" s="210"/>
      <c r="B571" s="108">
        <v>561</v>
      </c>
      <c r="C571" s="297">
        <v>2054.4611409449285</v>
      </c>
      <c r="D571" s="297">
        <v>2945.1606458867145</v>
      </c>
      <c r="E571" s="297">
        <v>18.393155421865323</v>
      </c>
      <c r="F571" s="297">
        <v>12.730420471323354</v>
      </c>
      <c r="G571" s="322">
        <v>-890.69950494178602</v>
      </c>
      <c r="H571" s="322">
        <v>5.6627349505419691</v>
      </c>
      <c r="I571" s="322">
        <v>-157.29139942467887</v>
      </c>
      <c r="K571" s="223">
        <f t="shared" si="35"/>
        <v>1101534.8641709746</v>
      </c>
      <c r="L571" s="223">
        <f t="shared" si="35"/>
        <v>760880.06763351453</v>
      </c>
      <c r="M571" s="114">
        <f t="shared" si="36"/>
        <v>1</v>
      </c>
      <c r="N571" s="114">
        <f t="shared" si="37"/>
        <v>0</v>
      </c>
      <c r="Q571" s="320">
        <f t="shared" si="38"/>
        <v>56000</v>
      </c>
      <c r="R571" s="101">
        <v>1</v>
      </c>
      <c r="S571" s="101">
        <v>0</v>
      </c>
      <c r="T571" s="12"/>
      <c r="U571" s="210"/>
      <c r="V571" s="13"/>
      <c r="W571" s="13"/>
      <c r="X571" s="13"/>
      <c r="Y571" s="13"/>
      <c r="Z571" s="13"/>
      <c r="AA571" s="13"/>
      <c r="AB571" s="13"/>
      <c r="AC571" s="13"/>
      <c r="AD571" s="13"/>
      <c r="AE571" s="13"/>
    </row>
    <row r="572" spans="1:31" ht="21" x14ac:dyDescent="0.4">
      <c r="A572" s="210"/>
      <c r="B572" s="108">
        <v>562</v>
      </c>
      <c r="C572" s="297">
        <v>2030.0099270579838</v>
      </c>
      <c r="D572" s="297">
        <v>2956.4073501867697</v>
      </c>
      <c r="E572" s="297">
        <v>18.880233021724454</v>
      </c>
      <c r="F572" s="297">
        <v>14.529841060462452</v>
      </c>
      <c r="G572" s="322">
        <v>-926.39742312878593</v>
      </c>
      <c r="H572" s="322">
        <v>4.3503919612620017</v>
      </c>
      <c r="I572" s="322">
        <v>-212.9457371606691</v>
      </c>
      <c r="K572" s="223">
        <f t="shared" si="35"/>
        <v>1130783.9713764093</v>
      </c>
      <c r="L572" s="223">
        <f t="shared" si="35"/>
        <v>868834.05627756042</v>
      </c>
      <c r="M572" s="114">
        <f t="shared" si="36"/>
        <v>1</v>
      </c>
      <c r="N572" s="114">
        <f t="shared" si="37"/>
        <v>0</v>
      </c>
      <c r="Q572" s="320">
        <f t="shared" si="38"/>
        <v>56100</v>
      </c>
      <c r="R572" s="101">
        <v>1</v>
      </c>
      <c r="S572" s="101">
        <v>0</v>
      </c>
      <c r="T572" s="12"/>
      <c r="U572" s="210"/>
      <c r="V572" s="13"/>
      <c r="W572" s="13"/>
      <c r="X572" s="13"/>
      <c r="Y572" s="13"/>
      <c r="Z572" s="13"/>
      <c r="AA572" s="13"/>
      <c r="AB572" s="13"/>
      <c r="AC572" s="13"/>
      <c r="AD572" s="13"/>
      <c r="AE572" s="13"/>
    </row>
    <row r="573" spans="1:31" ht="21" x14ac:dyDescent="0.4">
      <c r="A573" s="210"/>
      <c r="B573" s="108">
        <v>563</v>
      </c>
      <c r="C573" s="297">
        <v>2077.0169958686583</v>
      </c>
      <c r="D573" s="297">
        <v>2921.1461529537028</v>
      </c>
      <c r="E573" s="297">
        <v>19.091770429416176</v>
      </c>
      <c r="F573" s="297">
        <v>13.429980892596998</v>
      </c>
      <c r="G573" s="322">
        <v>-844.12915708504443</v>
      </c>
      <c r="H573" s="322">
        <v>5.6617895368191782</v>
      </c>
      <c r="I573" s="322">
        <v>-149.09228815299278</v>
      </c>
      <c r="K573" s="223">
        <f t="shared" si="35"/>
        <v>1143429.2087691019</v>
      </c>
      <c r="L573" s="223">
        <f t="shared" si="35"/>
        <v>802877.7074028661</v>
      </c>
      <c r="M573" s="114">
        <f t="shared" si="36"/>
        <v>1</v>
      </c>
      <c r="N573" s="114">
        <f t="shared" si="37"/>
        <v>0</v>
      </c>
      <c r="Q573" s="320">
        <f t="shared" si="38"/>
        <v>56200</v>
      </c>
      <c r="R573" s="101">
        <v>1</v>
      </c>
      <c r="S573" s="101">
        <v>0</v>
      </c>
      <c r="T573" s="12"/>
      <c r="U573" s="210"/>
      <c r="V573" s="13"/>
      <c r="W573" s="13"/>
      <c r="X573" s="13"/>
      <c r="Y573" s="13"/>
      <c r="Z573" s="13"/>
      <c r="AA573" s="13"/>
      <c r="AB573" s="13"/>
      <c r="AC573" s="13"/>
      <c r="AD573" s="13"/>
      <c r="AE573" s="13"/>
    </row>
    <row r="574" spans="1:31" ht="21" x14ac:dyDescent="0.4">
      <c r="A574" s="210"/>
      <c r="B574" s="108">
        <v>564</v>
      </c>
      <c r="C574" s="297">
        <v>2015.707291593113</v>
      </c>
      <c r="D574" s="297">
        <v>3005.5454795336382</v>
      </c>
      <c r="E574" s="297">
        <v>19.112893789821616</v>
      </c>
      <c r="F574" s="297">
        <v>13.602064094800403</v>
      </c>
      <c r="G574" s="322">
        <v>-989.83818794052513</v>
      </c>
      <c r="H574" s="322">
        <v>5.5108296950212132</v>
      </c>
      <c r="I574" s="322">
        <v>-179.61690756562473</v>
      </c>
      <c r="K574" s="223">
        <f t="shared" si="35"/>
        <v>1144757.9200977038</v>
      </c>
      <c r="L574" s="223">
        <f t="shared" si="35"/>
        <v>813118.30020849057</v>
      </c>
      <c r="M574" s="114">
        <f t="shared" si="36"/>
        <v>1</v>
      </c>
      <c r="N574" s="114">
        <f t="shared" si="37"/>
        <v>0</v>
      </c>
      <c r="Q574" s="320">
        <f t="shared" si="38"/>
        <v>56300</v>
      </c>
      <c r="R574" s="101">
        <v>1</v>
      </c>
      <c r="S574" s="101">
        <v>0</v>
      </c>
      <c r="T574" s="12"/>
      <c r="U574" s="210"/>
      <c r="V574" s="13"/>
      <c r="W574" s="13"/>
      <c r="X574" s="13"/>
      <c r="Y574" s="13"/>
      <c r="Z574" s="13"/>
      <c r="AA574" s="13"/>
      <c r="AB574" s="13"/>
      <c r="AC574" s="13"/>
      <c r="AD574" s="13"/>
      <c r="AE574" s="13"/>
    </row>
    <row r="575" spans="1:31" ht="21" x14ac:dyDescent="0.4">
      <c r="A575" s="210"/>
      <c r="B575" s="108">
        <v>565</v>
      </c>
      <c r="C575" s="297">
        <v>1937.8460341985578</v>
      </c>
      <c r="D575" s="297">
        <v>3004.9551455030405</v>
      </c>
      <c r="E575" s="297">
        <v>18.943025343936789</v>
      </c>
      <c r="F575" s="297">
        <v>13.647238367244769</v>
      </c>
      <c r="G575" s="322">
        <v>-1067.1091113044827</v>
      </c>
      <c r="H575" s="322">
        <v>5.2957869766920194</v>
      </c>
      <c r="I575" s="322">
        <v>-201.5015173384194</v>
      </c>
      <c r="K575" s="223">
        <f t="shared" si="35"/>
        <v>1134643.6746020089</v>
      </c>
      <c r="L575" s="223">
        <f t="shared" si="35"/>
        <v>815829.34688918316</v>
      </c>
      <c r="M575" s="114">
        <f t="shared" si="36"/>
        <v>1</v>
      </c>
      <c r="N575" s="114">
        <f t="shared" si="37"/>
        <v>0</v>
      </c>
      <c r="Q575" s="320">
        <f t="shared" si="38"/>
        <v>56400</v>
      </c>
      <c r="R575" s="101">
        <v>1</v>
      </c>
      <c r="S575" s="101">
        <v>0</v>
      </c>
      <c r="T575" s="12"/>
      <c r="U575" s="210"/>
      <c r="V575" s="13"/>
      <c r="W575" s="13"/>
      <c r="X575" s="13"/>
      <c r="Y575" s="13"/>
      <c r="Z575" s="13"/>
      <c r="AA575" s="13"/>
      <c r="AB575" s="13"/>
      <c r="AC575" s="13"/>
      <c r="AD575" s="13"/>
      <c r="AE575" s="13"/>
    </row>
    <row r="576" spans="1:31" ht="21" x14ac:dyDescent="0.4">
      <c r="A576" s="210"/>
      <c r="B576" s="108">
        <v>566</v>
      </c>
      <c r="C576" s="297">
        <v>2120.5902668990484</v>
      </c>
      <c r="D576" s="297">
        <v>2659.4952689616553</v>
      </c>
      <c r="E576" s="297">
        <v>19.479862166836313</v>
      </c>
      <c r="F576" s="297">
        <v>13.725578253848548</v>
      </c>
      <c r="G576" s="322">
        <v>-538.90500206260685</v>
      </c>
      <c r="H576" s="322">
        <v>5.7542839129877645</v>
      </c>
      <c r="I576" s="322">
        <v>-93.652835037608398</v>
      </c>
      <c r="K576" s="223">
        <f t="shared" si="35"/>
        <v>1166671.1397432797</v>
      </c>
      <c r="L576" s="223">
        <f t="shared" si="35"/>
        <v>820875.19996195124</v>
      </c>
      <c r="M576" s="114">
        <f t="shared" si="36"/>
        <v>1</v>
      </c>
      <c r="N576" s="114">
        <f t="shared" si="37"/>
        <v>0</v>
      </c>
      <c r="Q576" s="320">
        <f t="shared" si="38"/>
        <v>56500</v>
      </c>
      <c r="R576" s="101">
        <v>1</v>
      </c>
      <c r="S576" s="101">
        <v>0</v>
      </c>
      <c r="T576" s="12"/>
      <c r="U576" s="210"/>
      <c r="V576" s="13"/>
      <c r="W576" s="13"/>
      <c r="X576" s="13"/>
      <c r="Y576" s="13"/>
      <c r="Z576" s="13"/>
      <c r="AA576" s="13"/>
      <c r="AB576" s="13"/>
      <c r="AC576" s="13"/>
      <c r="AD576" s="13"/>
      <c r="AE576" s="13"/>
    </row>
    <row r="577" spans="1:31" ht="21" x14ac:dyDescent="0.4">
      <c r="A577" s="210"/>
      <c r="B577" s="108">
        <v>567</v>
      </c>
      <c r="C577" s="297">
        <v>2154.8165117432982</v>
      </c>
      <c r="D577" s="297">
        <v>3215.9384771110394</v>
      </c>
      <c r="E577" s="297">
        <v>15.361402414349291</v>
      </c>
      <c r="F577" s="297">
        <v>11.512765603416012</v>
      </c>
      <c r="G577" s="322">
        <v>-1061.1219653677413</v>
      </c>
      <c r="H577" s="322">
        <v>3.8486368109332787</v>
      </c>
      <c r="I577" s="322">
        <v>-275.71371825818596</v>
      </c>
      <c r="K577" s="223">
        <f t="shared" si="35"/>
        <v>919529.32834921405</v>
      </c>
      <c r="L577" s="223">
        <f t="shared" si="35"/>
        <v>687549.99772784964</v>
      </c>
      <c r="M577" s="114">
        <f t="shared" si="36"/>
        <v>1</v>
      </c>
      <c r="N577" s="114">
        <f t="shared" si="37"/>
        <v>0</v>
      </c>
      <c r="Q577" s="320">
        <f t="shared" si="38"/>
        <v>56600</v>
      </c>
      <c r="R577" s="101">
        <v>1</v>
      </c>
      <c r="S577" s="101">
        <v>0</v>
      </c>
      <c r="T577" s="12"/>
      <c r="U577" s="210"/>
      <c r="V577" s="13"/>
      <c r="W577" s="13"/>
      <c r="X577" s="13"/>
      <c r="Y577" s="13"/>
      <c r="Z577" s="13"/>
      <c r="AA577" s="13"/>
      <c r="AB577" s="13"/>
      <c r="AC577" s="13"/>
      <c r="AD577" s="13"/>
      <c r="AE577" s="13"/>
    </row>
    <row r="578" spans="1:31" ht="21" x14ac:dyDescent="0.4">
      <c r="A578" s="210"/>
      <c r="B578" s="108">
        <v>568</v>
      </c>
      <c r="C578" s="297">
        <v>2251.4104732721044</v>
      </c>
      <c r="D578" s="297">
        <v>2679.3958873603096</v>
      </c>
      <c r="E578" s="297">
        <v>20.496242165754978</v>
      </c>
      <c r="F578" s="297">
        <v>15.126418167946285</v>
      </c>
      <c r="G578" s="322">
        <v>-427.98541408820529</v>
      </c>
      <c r="H578" s="322">
        <v>5.3698239978086928</v>
      </c>
      <c r="I578" s="322">
        <v>-79.701944470220383</v>
      </c>
      <c r="K578" s="223">
        <f t="shared" si="35"/>
        <v>1227523.1194720266</v>
      </c>
      <c r="L578" s="223">
        <f t="shared" si="35"/>
        <v>904905.69418941683</v>
      </c>
      <c r="M578" s="114">
        <f t="shared" si="36"/>
        <v>1</v>
      </c>
      <c r="N578" s="114">
        <f t="shared" si="37"/>
        <v>0</v>
      </c>
      <c r="Q578" s="320">
        <f t="shared" si="38"/>
        <v>56700</v>
      </c>
      <c r="R578" s="101">
        <v>1</v>
      </c>
      <c r="S578" s="101">
        <v>0</v>
      </c>
      <c r="T578" s="12"/>
      <c r="U578" s="210"/>
      <c r="V578" s="13"/>
      <c r="W578" s="13"/>
      <c r="X578" s="13"/>
      <c r="Y578" s="13"/>
      <c r="Z578" s="13"/>
      <c r="AA578" s="13"/>
      <c r="AB578" s="13"/>
      <c r="AC578" s="13"/>
      <c r="AD578" s="13"/>
      <c r="AE578" s="13"/>
    </row>
    <row r="579" spans="1:31" ht="21" x14ac:dyDescent="0.4">
      <c r="A579" s="210"/>
      <c r="B579" s="108">
        <v>569</v>
      </c>
      <c r="C579" s="297">
        <v>2007.7198188321108</v>
      </c>
      <c r="D579" s="297">
        <v>2557.2990291463821</v>
      </c>
      <c r="E579" s="297">
        <v>20.910019227129126</v>
      </c>
      <c r="F579" s="297">
        <v>15.812269102398297</v>
      </c>
      <c r="G579" s="322">
        <v>-549.57921031427122</v>
      </c>
      <c r="H579" s="322">
        <v>5.0977501247308297</v>
      </c>
      <c r="I579" s="322">
        <v>-107.80818927316292</v>
      </c>
      <c r="K579" s="223">
        <f t="shared" si="35"/>
        <v>1252593.4338089155</v>
      </c>
      <c r="L579" s="223">
        <f t="shared" si="35"/>
        <v>946178.84711475135</v>
      </c>
      <c r="M579" s="114">
        <f t="shared" si="36"/>
        <v>1</v>
      </c>
      <c r="N579" s="114">
        <f t="shared" si="37"/>
        <v>0</v>
      </c>
      <c r="Q579" s="320">
        <f t="shared" si="38"/>
        <v>56800</v>
      </c>
      <c r="R579" s="101">
        <v>1</v>
      </c>
      <c r="S579" s="101">
        <v>0</v>
      </c>
      <c r="T579" s="12"/>
      <c r="U579" s="210"/>
      <c r="V579" s="13"/>
      <c r="W579" s="13"/>
      <c r="X579" s="13"/>
      <c r="Y579" s="13"/>
      <c r="Z579" s="13"/>
      <c r="AA579" s="13"/>
      <c r="AB579" s="13"/>
      <c r="AC579" s="13"/>
      <c r="AD579" s="13"/>
      <c r="AE579" s="13"/>
    </row>
    <row r="580" spans="1:31" ht="21" x14ac:dyDescent="0.4">
      <c r="A580" s="210"/>
      <c r="B580" s="108">
        <v>570</v>
      </c>
      <c r="C580" s="297">
        <v>1873.1928222312436</v>
      </c>
      <c r="D580" s="297">
        <v>2662.1603927509645</v>
      </c>
      <c r="E580" s="297">
        <v>19.045137672580445</v>
      </c>
      <c r="F580" s="297">
        <v>14.040344582351361</v>
      </c>
      <c r="G580" s="322">
        <v>-788.96757051972099</v>
      </c>
      <c r="H580" s="322">
        <v>5.004793090229084</v>
      </c>
      <c r="I580" s="322">
        <v>-157.64239525906308</v>
      </c>
      <c r="K580" s="223">
        <f t="shared" si="35"/>
        <v>1140835.0675325955</v>
      </c>
      <c r="L580" s="223">
        <f t="shared" si="35"/>
        <v>839758.51454833068</v>
      </c>
      <c r="M580" s="114">
        <f t="shared" si="36"/>
        <v>1</v>
      </c>
      <c r="N580" s="114">
        <f t="shared" si="37"/>
        <v>0</v>
      </c>
      <c r="Q580" s="320">
        <f t="shared" si="38"/>
        <v>56900</v>
      </c>
      <c r="R580" s="101">
        <v>1</v>
      </c>
      <c r="S580" s="101">
        <v>0</v>
      </c>
      <c r="T580" s="12"/>
      <c r="U580" s="210"/>
      <c r="V580" s="13"/>
      <c r="W580" s="13"/>
      <c r="X580" s="13"/>
      <c r="Y580" s="13"/>
      <c r="Z580" s="13"/>
      <c r="AA580" s="13"/>
      <c r="AB580" s="13"/>
      <c r="AC580" s="13"/>
      <c r="AD580" s="13"/>
      <c r="AE580" s="13"/>
    </row>
    <row r="581" spans="1:31" ht="21" x14ac:dyDescent="0.4">
      <c r="A581" s="210"/>
      <c r="B581" s="108">
        <v>571</v>
      </c>
      <c r="C581" s="297">
        <v>2389.2095751880865</v>
      </c>
      <c r="D581" s="297">
        <v>3636.1794922972108</v>
      </c>
      <c r="E581" s="297">
        <v>18.477983115056272</v>
      </c>
      <c r="F581" s="297">
        <v>13.903018922726959</v>
      </c>
      <c r="G581" s="322">
        <v>-1246.9699171091243</v>
      </c>
      <c r="H581" s="322">
        <v>4.574964192329313</v>
      </c>
      <c r="I581" s="322">
        <v>-272.56386382212048</v>
      </c>
      <c r="K581" s="223">
        <f t="shared" si="35"/>
        <v>1106289.7773281883</v>
      </c>
      <c r="L581" s="223">
        <f t="shared" si="35"/>
        <v>830544.95587132033</v>
      </c>
      <c r="M581" s="114">
        <f t="shared" si="36"/>
        <v>1</v>
      </c>
      <c r="N581" s="114">
        <f t="shared" si="37"/>
        <v>0</v>
      </c>
      <c r="Q581" s="320">
        <f t="shared" si="38"/>
        <v>57000</v>
      </c>
      <c r="R581" s="101">
        <v>1</v>
      </c>
      <c r="S581" s="101">
        <v>0</v>
      </c>
      <c r="T581" s="12"/>
      <c r="U581" s="210"/>
      <c r="V581" s="13"/>
      <c r="W581" s="13"/>
      <c r="X581" s="13"/>
      <c r="Y581" s="13"/>
      <c r="Z581" s="13"/>
      <c r="AA581" s="13"/>
      <c r="AB581" s="13"/>
      <c r="AC581" s="13"/>
      <c r="AD581" s="13"/>
      <c r="AE581" s="13"/>
    </row>
    <row r="582" spans="1:31" ht="21" x14ac:dyDescent="0.4">
      <c r="A582" s="210"/>
      <c r="B582" s="108">
        <v>572</v>
      </c>
      <c r="C582" s="297">
        <v>1935.0595213814056</v>
      </c>
      <c r="D582" s="297">
        <v>2902.8396594428154</v>
      </c>
      <c r="E582" s="297">
        <v>19.544560671680937</v>
      </c>
      <c r="F582" s="297">
        <v>13.73911615222794</v>
      </c>
      <c r="G582" s="322">
        <v>-967.78013806140984</v>
      </c>
      <c r="H582" s="322">
        <v>5.8054445194529976</v>
      </c>
      <c r="I582" s="322">
        <v>-166.70215946747112</v>
      </c>
      <c r="K582" s="223">
        <f t="shared" si="35"/>
        <v>1170738.5807794747</v>
      </c>
      <c r="L582" s="223">
        <f t="shared" si="35"/>
        <v>821444.1294742336</v>
      </c>
      <c r="M582" s="114">
        <f t="shared" si="36"/>
        <v>1</v>
      </c>
      <c r="N582" s="114">
        <f t="shared" si="37"/>
        <v>0</v>
      </c>
      <c r="Q582" s="320">
        <f t="shared" si="38"/>
        <v>57100</v>
      </c>
      <c r="R582" s="101">
        <v>1</v>
      </c>
      <c r="S582" s="101">
        <v>0</v>
      </c>
      <c r="T582" s="12"/>
      <c r="U582" s="210"/>
      <c r="V582" s="13"/>
      <c r="W582" s="13"/>
      <c r="X582" s="13"/>
      <c r="Y582" s="13"/>
      <c r="Z582" s="13"/>
      <c r="AA582" s="13"/>
      <c r="AB582" s="13"/>
      <c r="AC582" s="13"/>
      <c r="AD582" s="13"/>
      <c r="AE582" s="13"/>
    </row>
    <row r="583" spans="1:31" ht="21" x14ac:dyDescent="0.4">
      <c r="A583" s="210"/>
      <c r="B583" s="108">
        <v>573</v>
      </c>
      <c r="C583" s="297">
        <v>2345.6688533823553</v>
      </c>
      <c r="D583" s="297">
        <v>3501.1553829395825</v>
      </c>
      <c r="E583" s="297">
        <v>20.366496492383668</v>
      </c>
      <c r="F583" s="297">
        <v>15.372692847295543</v>
      </c>
      <c r="G583" s="322">
        <v>-1155.4865295572272</v>
      </c>
      <c r="H583" s="322">
        <v>4.9938036450881249</v>
      </c>
      <c r="I583" s="322">
        <v>-231.38405345467612</v>
      </c>
      <c r="K583" s="223">
        <f t="shared" si="35"/>
        <v>1219644.1206896377</v>
      </c>
      <c r="L583" s="223">
        <f t="shared" si="35"/>
        <v>918860.41545479291</v>
      </c>
      <c r="M583" s="114">
        <f t="shared" si="36"/>
        <v>1</v>
      </c>
      <c r="N583" s="114">
        <f t="shared" si="37"/>
        <v>0</v>
      </c>
      <c r="Q583" s="320">
        <f t="shared" si="38"/>
        <v>57200</v>
      </c>
      <c r="R583" s="101">
        <v>1</v>
      </c>
      <c r="S583" s="101">
        <v>0</v>
      </c>
      <c r="T583" s="12"/>
      <c r="U583" s="210"/>
      <c r="V583" s="13"/>
      <c r="W583" s="13"/>
      <c r="X583" s="13"/>
      <c r="Y583" s="13"/>
      <c r="Z583" s="13"/>
      <c r="AA583" s="13"/>
      <c r="AB583" s="13"/>
      <c r="AC583" s="13"/>
      <c r="AD583" s="13"/>
      <c r="AE583" s="13"/>
    </row>
    <row r="584" spans="1:31" ht="21" x14ac:dyDescent="0.4">
      <c r="A584" s="210"/>
      <c r="B584" s="108">
        <v>574</v>
      </c>
      <c r="C584" s="297">
        <v>2058.9725322706345</v>
      </c>
      <c r="D584" s="297">
        <v>3099.6899752392442</v>
      </c>
      <c r="E584" s="297">
        <v>18.046889876013754</v>
      </c>
      <c r="F584" s="297">
        <v>13.164492330891926</v>
      </c>
      <c r="G584" s="322">
        <v>-1040.7174429686097</v>
      </c>
      <c r="H584" s="322">
        <v>4.8823975451218278</v>
      </c>
      <c r="I584" s="322">
        <v>-213.15704699393569</v>
      </c>
      <c r="K584" s="223">
        <f t="shared" si="35"/>
        <v>1080754.4200285545</v>
      </c>
      <c r="L584" s="223">
        <f t="shared" si="35"/>
        <v>786769.84987827635</v>
      </c>
      <c r="M584" s="114">
        <f t="shared" si="36"/>
        <v>1</v>
      </c>
      <c r="N584" s="114">
        <f t="shared" si="37"/>
        <v>0</v>
      </c>
      <c r="Q584" s="320">
        <f t="shared" si="38"/>
        <v>57300</v>
      </c>
      <c r="R584" s="101">
        <v>1</v>
      </c>
      <c r="S584" s="101">
        <v>0</v>
      </c>
      <c r="T584" s="12"/>
      <c r="U584" s="210"/>
      <c r="V584" s="13"/>
      <c r="W584" s="13"/>
      <c r="X584" s="13"/>
      <c r="Y584" s="13"/>
      <c r="Z584" s="13"/>
      <c r="AA584" s="13"/>
      <c r="AB584" s="13"/>
      <c r="AC584" s="13"/>
      <c r="AD584" s="13"/>
      <c r="AE584" s="13"/>
    </row>
    <row r="585" spans="1:31" ht="21" x14ac:dyDescent="0.4">
      <c r="A585" s="210"/>
      <c r="B585" s="108">
        <v>575</v>
      </c>
      <c r="C585" s="297">
        <v>2167.9469478324145</v>
      </c>
      <c r="D585" s="297">
        <v>3126.6845456646233</v>
      </c>
      <c r="E585" s="297">
        <v>16.850367873612761</v>
      </c>
      <c r="F585" s="297">
        <v>11.654647584572158</v>
      </c>
      <c r="G585" s="322">
        <v>-958.73759783220885</v>
      </c>
      <c r="H585" s="322">
        <v>5.1957202890406027</v>
      </c>
      <c r="I585" s="322">
        <v>-184.52448255432188</v>
      </c>
      <c r="K585" s="223">
        <f t="shared" si="35"/>
        <v>1008854.1254689333</v>
      </c>
      <c r="L585" s="223">
        <f t="shared" si="35"/>
        <v>696152.17052866495</v>
      </c>
      <c r="M585" s="114">
        <f t="shared" si="36"/>
        <v>1</v>
      </c>
      <c r="N585" s="114">
        <f t="shared" si="37"/>
        <v>0</v>
      </c>
      <c r="Q585" s="320">
        <f t="shared" si="38"/>
        <v>57400</v>
      </c>
      <c r="R585" s="101">
        <v>1</v>
      </c>
      <c r="S585" s="101">
        <v>0</v>
      </c>
      <c r="T585" s="12"/>
      <c r="U585" s="210"/>
      <c r="V585" s="13"/>
      <c r="W585" s="13"/>
      <c r="X585" s="13"/>
      <c r="Y585" s="13"/>
      <c r="Z585" s="13"/>
      <c r="AA585" s="13"/>
      <c r="AB585" s="13"/>
      <c r="AC585" s="13"/>
      <c r="AD585" s="13"/>
      <c r="AE585" s="13"/>
    </row>
    <row r="586" spans="1:31" ht="21" x14ac:dyDescent="0.4">
      <c r="A586" s="210"/>
      <c r="B586" s="108">
        <v>576</v>
      </c>
      <c r="C586" s="297">
        <v>1837.8505211606002</v>
      </c>
      <c r="D586" s="297">
        <v>2886.7260819829398</v>
      </c>
      <c r="E586" s="297">
        <v>16.527229986961416</v>
      </c>
      <c r="F586" s="297">
        <v>10.831160710532517</v>
      </c>
      <c r="G586" s="322">
        <v>-1048.8755608223396</v>
      </c>
      <c r="H586" s="322">
        <v>5.6960692764288989</v>
      </c>
      <c r="I586" s="322">
        <v>-184.140239509152</v>
      </c>
      <c r="K586" s="223">
        <f t="shared" si="35"/>
        <v>989795.94869652437</v>
      </c>
      <c r="L586" s="223">
        <f t="shared" si="35"/>
        <v>646982.91654996807</v>
      </c>
      <c r="M586" s="114">
        <f t="shared" si="36"/>
        <v>1</v>
      </c>
      <c r="N586" s="114">
        <f t="shared" si="37"/>
        <v>0</v>
      </c>
      <c r="Q586" s="320">
        <f t="shared" si="38"/>
        <v>57500</v>
      </c>
      <c r="R586" s="101">
        <v>1</v>
      </c>
      <c r="S586" s="101">
        <v>0</v>
      </c>
      <c r="T586" s="12"/>
      <c r="U586" s="210"/>
      <c r="V586" s="13"/>
      <c r="W586" s="13"/>
      <c r="X586" s="13"/>
      <c r="Y586" s="13"/>
      <c r="Z586" s="13"/>
      <c r="AA586" s="13"/>
      <c r="AB586" s="13"/>
      <c r="AC586" s="13"/>
      <c r="AD586" s="13"/>
      <c r="AE586" s="13"/>
    </row>
    <row r="587" spans="1:31" ht="21" x14ac:dyDescent="0.4">
      <c r="A587" s="210"/>
      <c r="B587" s="108">
        <v>577</v>
      </c>
      <c r="C587" s="297">
        <v>2051.2026864699483</v>
      </c>
      <c r="D587" s="297">
        <v>3108.3450456273531</v>
      </c>
      <c r="E587" s="297">
        <v>20.531614204243066</v>
      </c>
      <c r="F587" s="297">
        <v>14.949966369131648</v>
      </c>
      <c r="G587" s="322">
        <v>-1057.1423591574048</v>
      </c>
      <c r="H587" s="322">
        <v>5.5816478351114185</v>
      </c>
      <c r="I587" s="322">
        <v>-189.39610494725929</v>
      </c>
      <c r="K587" s="223">
        <f t="shared" si="35"/>
        <v>1229845.649568114</v>
      </c>
      <c r="L587" s="223">
        <f t="shared" si="35"/>
        <v>893889.63710227155</v>
      </c>
      <c r="M587" s="114">
        <f t="shared" si="36"/>
        <v>1</v>
      </c>
      <c r="N587" s="114">
        <f t="shared" si="37"/>
        <v>0</v>
      </c>
      <c r="Q587" s="320">
        <f t="shared" si="38"/>
        <v>57600</v>
      </c>
      <c r="R587" s="101">
        <v>1</v>
      </c>
      <c r="S587" s="101">
        <v>0</v>
      </c>
      <c r="T587" s="12"/>
      <c r="U587" s="210"/>
      <c r="V587" s="13"/>
      <c r="W587" s="13"/>
      <c r="X587" s="13"/>
      <c r="Y587" s="13"/>
      <c r="Z587" s="13"/>
      <c r="AA587" s="13"/>
      <c r="AB587" s="13"/>
      <c r="AC587" s="13"/>
      <c r="AD587" s="13"/>
      <c r="AE587" s="13"/>
    </row>
    <row r="588" spans="1:31" ht="21" x14ac:dyDescent="0.4">
      <c r="A588" s="210"/>
      <c r="B588" s="108">
        <v>578</v>
      </c>
      <c r="C588" s="297">
        <v>2291.9708940906821</v>
      </c>
      <c r="D588" s="297">
        <v>3457.8895007091978</v>
      </c>
      <c r="E588" s="297">
        <v>20.94192747473566</v>
      </c>
      <c r="F588" s="297">
        <v>14.877639202325536</v>
      </c>
      <c r="G588" s="322">
        <v>-1165.9186066185157</v>
      </c>
      <c r="H588" s="322">
        <v>6.0642882724101241</v>
      </c>
      <c r="I588" s="322">
        <v>-192.25975980115237</v>
      </c>
      <c r="K588" s="223">
        <f t="shared" ref="K588:L651" si="39">E588*$N$4-C588</f>
        <v>1254223.6775900491</v>
      </c>
      <c r="L588" s="223">
        <f t="shared" si="39"/>
        <v>889200.46263882297</v>
      </c>
      <c r="M588" s="114">
        <f t="shared" ref="M588:M651" si="40">IF(MAX(K588:L588)=K588,1,0)</f>
        <v>1</v>
      </c>
      <c r="N588" s="114">
        <f t="shared" ref="N588:N651" si="41">IF(MAX(K588:L588)=L588,1,0)</f>
        <v>0</v>
      </c>
      <c r="Q588" s="320">
        <f t="shared" si="38"/>
        <v>57700</v>
      </c>
      <c r="R588" s="101">
        <v>1</v>
      </c>
      <c r="S588" s="101">
        <v>0</v>
      </c>
      <c r="T588" s="12"/>
      <c r="U588" s="210"/>
      <c r="V588" s="13"/>
      <c r="W588" s="13"/>
      <c r="X588" s="13"/>
      <c r="Y588" s="13"/>
      <c r="Z588" s="13"/>
      <c r="AA588" s="13"/>
      <c r="AB588" s="13"/>
      <c r="AC588" s="13"/>
      <c r="AD588" s="13"/>
      <c r="AE588" s="13"/>
    </row>
    <row r="589" spans="1:31" ht="21" x14ac:dyDescent="0.4">
      <c r="A589" s="210"/>
      <c r="B589" s="108">
        <v>579</v>
      </c>
      <c r="C589" s="297">
        <v>2109.7045335525863</v>
      </c>
      <c r="D589" s="297">
        <v>2994.3637440201946</v>
      </c>
      <c r="E589" s="297">
        <v>20.188604190391096</v>
      </c>
      <c r="F589" s="297">
        <v>15.116968530870826</v>
      </c>
      <c r="G589" s="322">
        <v>-884.65921046760832</v>
      </c>
      <c r="H589" s="322">
        <v>5.0716356595202701</v>
      </c>
      <c r="I589" s="322">
        <v>-174.43272148443111</v>
      </c>
      <c r="K589" s="223">
        <f t="shared" si="39"/>
        <v>1209206.5468899133</v>
      </c>
      <c r="L589" s="223">
        <f t="shared" si="39"/>
        <v>904023.74810822937</v>
      </c>
      <c r="M589" s="114">
        <f t="shared" si="40"/>
        <v>1</v>
      </c>
      <c r="N589" s="114">
        <f t="shared" si="41"/>
        <v>0</v>
      </c>
      <c r="Q589" s="320">
        <f t="shared" ref="Q589:Q611" si="42">Q588+100</f>
        <v>57800</v>
      </c>
      <c r="R589" s="101">
        <v>1</v>
      </c>
      <c r="S589" s="101">
        <v>0</v>
      </c>
      <c r="T589" s="12"/>
      <c r="U589" s="210"/>
      <c r="V589" s="13"/>
      <c r="W589" s="13"/>
      <c r="X589" s="13"/>
      <c r="Y589" s="13"/>
      <c r="Z589" s="13"/>
      <c r="AA589" s="13"/>
      <c r="AB589" s="13"/>
      <c r="AC589" s="13"/>
      <c r="AD589" s="13"/>
      <c r="AE589" s="13"/>
    </row>
    <row r="590" spans="1:31" ht="21" x14ac:dyDescent="0.4">
      <c r="A590" s="210"/>
      <c r="B590" s="108">
        <v>580</v>
      </c>
      <c r="C590" s="297">
        <v>2380.7883958182865</v>
      </c>
      <c r="D590" s="297">
        <v>3227.9219236556696</v>
      </c>
      <c r="E590" s="297">
        <v>19.158803459436633</v>
      </c>
      <c r="F590" s="297">
        <v>13.746513957458331</v>
      </c>
      <c r="G590" s="322">
        <v>-847.1335278373831</v>
      </c>
      <c r="H590" s="322">
        <v>5.4122895019783019</v>
      </c>
      <c r="I590" s="322">
        <v>-156.52036490800032</v>
      </c>
      <c r="K590" s="223">
        <f t="shared" si="39"/>
        <v>1147147.4191703796</v>
      </c>
      <c r="L590" s="223">
        <f t="shared" si="39"/>
        <v>821562.91552384419</v>
      </c>
      <c r="M590" s="114">
        <f t="shared" si="40"/>
        <v>1</v>
      </c>
      <c r="N590" s="114">
        <f t="shared" si="41"/>
        <v>0</v>
      </c>
      <c r="Q590" s="320">
        <f t="shared" si="42"/>
        <v>57900</v>
      </c>
      <c r="R590" s="101">
        <v>1</v>
      </c>
      <c r="S590" s="101">
        <v>0</v>
      </c>
      <c r="T590" s="12"/>
      <c r="U590" s="210"/>
      <c r="V590" s="13"/>
      <c r="W590" s="13"/>
      <c r="X590" s="13"/>
      <c r="Y590" s="13"/>
      <c r="Z590" s="13"/>
      <c r="AA590" s="13"/>
      <c r="AB590" s="13"/>
      <c r="AC590" s="13"/>
      <c r="AD590" s="13"/>
      <c r="AE590" s="13"/>
    </row>
    <row r="591" spans="1:31" ht="21" x14ac:dyDescent="0.4">
      <c r="A591" s="210"/>
      <c r="B591" s="108">
        <v>581</v>
      </c>
      <c r="C591" s="297">
        <v>2491.5715691850532</v>
      </c>
      <c r="D591" s="297">
        <v>3499.1611066139103</v>
      </c>
      <c r="E591" s="297">
        <v>19.112343779812146</v>
      </c>
      <c r="F591" s="297">
        <v>15.196862352705569</v>
      </c>
      <c r="G591" s="322">
        <v>-1007.5895374288571</v>
      </c>
      <c r="H591" s="322">
        <v>3.9154814271065774</v>
      </c>
      <c r="I591" s="322">
        <v>-257.33477637089322</v>
      </c>
      <c r="K591" s="223">
        <f t="shared" si="39"/>
        <v>1144249.0552195439</v>
      </c>
      <c r="L591" s="223">
        <f t="shared" si="39"/>
        <v>908312.58005572017</v>
      </c>
      <c r="M591" s="114">
        <f t="shared" si="40"/>
        <v>1</v>
      </c>
      <c r="N591" s="114">
        <f t="shared" si="41"/>
        <v>0</v>
      </c>
      <c r="Q591" s="320">
        <f t="shared" si="42"/>
        <v>58000</v>
      </c>
      <c r="R591" s="101">
        <v>1</v>
      </c>
      <c r="S591" s="101">
        <v>0</v>
      </c>
      <c r="T591" s="12"/>
      <c r="U591" s="210"/>
      <c r="V591" s="13"/>
      <c r="W591" s="13"/>
      <c r="X591" s="13"/>
      <c r="Y591" s="13"/>
      <c r="Z591" s="13"/>
      <c r="AA591" s="13"/>
      <c r="AB591" s="13"/>
      <c r="AC591" s="13"/>
      <c r="AD591" s="13"/>
      <c r="AE591" s="13"/>
    </row>
    <row r="592" spans="1:31" ht="21" x14ac:dyDescent="0.4">
      <c r="A592" s="210"/>
      <c r="B592" s="108">
        <v>582</v>
      </c>
      <c r="C592" s="297">
        <v>2268.138768632431</v>
      </c>
      <c r="D592" s="297">
        <v>3107.7552741084937</v>
      </c>
      <c r="E592" s="297">
        <v>18.554373492543824</v>
      </c>
      <c r="F592" s="297">
        <v>13.284897855762903</v>
      </c>
      <c r="G592" s="322">
        <v>-839.61650547606268</v>
      </c>
      <c r="H592" s="322">
        <v>5.2694756367809212</v>
      </c>
      <c r="I592" s="322">
        <v>-159.33587388003892</v>
      </c>
      <c r="K592" s="223">
        <f t="shared" si="39"/>
        <v>1110994.2707839971</v>
      </c>
      <c r="L592" s="223">
        <f t="shared" si="39"/>
        <v>793986.11607166566</v>
      </c>
      <c r="M592" s="114">
        <f t="shared" si="40"/>
        <v>1</v>
      </c>
      <c r="N592" s="114">
        <f t="shared" si="41"/>
        <v>0</v>
      </c>
      <c r="Q592" s="320">
        <f t="shared" si="42"/>
        <v>58100</v>
      </c>
      <c r="R592" s="101">
        <v>1</v>
      </c>
      <c r="S592" s="101">
        <v>0</v>
      </c>
      <c r="T592" s="12"/>
      <c r="U592" s="210"/>
      <c r="V592" s="13"/>
      <c r="W592" s="13"/>
      <c r="X592" s="13"/>
      <c r="Y592" s="13"/>
      <c r="Z592" s="13"/>
      <c r="AA592" s="13"/>
      <c r="AB592" s="13"/>
      <c r="AC592" s="13"/>
      <c r="AD592" s="13"/>
      <c r="AE592" s="13"/>
    </row>
    <row r="593" spans="1:31" ht="21" x14ac:dyDescent="0.4">
      <c r="A593" s="210"/>
      <c r="B593" s="108">
        <v>583</v>
      </c>
      <c r="C593" s="297">
        <v>2504.6873141581032</v>
      </c>
      <c r="D593" s="297">
        <v>3586.5261345164154</v>
      </c>
      <c r="E593" s="297">
        <v>18.898065267858641</v>
      </c>
      <c r="F593" s="297">
        <v>14.604960882714899</v>
      </c>
      <c r="G593" s="322">
        <v>-1081.8388203583122</v>
      </c>
      <c r="H593" s="322">
        <v>4.2931043851437423</v>
      </c>
      <c r="I593" s="322">
        <v>-251.99452966995349</v>
      </c>
      <c r="K593" s="223">
        <f t="shared" si="39"/>
        <v>1131379.2287573605</v>
      </c>
      <c r="L593" s="223">
        <f t="shared" si="39"/>
        <v>872711.12682837748</v>
      </c>
      <c r="M593" s="114">
        <f t="shared" si="40"/>
        <v>1</v>
      </c>
      <c r="N593" s="114">
        <f t="shared" si="41"/>
        <v>0</v>
      </c>
      <c r="Q593" s="320">
        <f t="shared" si="42"/>
        <v>58200</v>
      </c>
      <c r="R593" s="101">
        <v>1</v>
      </c>
      <c r="S593" s="101">
        <v>0</v>
      </c>
      <c r="T593" s="12"/>
      <c r="U593" s="210"/>
      <c r="V593" s="13"/>
      <c r="W593" s="13"/>
      <c r="X593" s="13"/>
      <c r="Y593" s="13"/>
      <c r="Z593" s="13"/>
      <c r="AA593" s="13"/>
      <c r="AB593" s="13"/>
      <c r="AC593" s="13"/>
      <c r="AD593" s="13"/>
      <c r="AE593" s="13"/>
    </row>
    <row r="594" spans="1:31" ht="21" x14ac:dyDescent="0.4">
      <c r="A594" s="210"/>
      <c r="B594" s="108">
        <v>584</v>
      </c>
      <c r="C594" s="297">
        <v>2323.0157601669075</v>
      </c>
      <c r="D594" s="297">
        <v>3359.9872648444507</v>
      </c>
      <c r="E594" s="297">
        <v>18.441130110055774</v>
      </c>
      <c r="F594" s="297">
        <v>13.38883195182644</v>
      </c>
      <c r="G594" s="322">
        <v>-1036.9715046775432</v>
      </c>
      <c r="H594" s="322">
        <v>5.052298158229334</v>
      </c>
      <c r="I594" s="322">
        <v>-205.24748781670635</v>
      </c>
      <c r="K594" s="223">
        <f t="shared" si="39"/>
        <v>1104144.7908431797</v>
      </c>
      <c r="L594" s="223">
        <f t="shared" si="39"/>
        <v>799969.92984474194</v>
      </c>
      <c r="M594" s="114">
        <f t="shared" si="40"/>
        <v>1</v>
      </c>
      <c r="N594" s="114">
        <f t="shared" si="41"/>
        <v>0</v>
      </c>
      <c r="Q594" s="320">
        <f t="shared" si="42"/>
        <v>58300</v>
      </c>
      <c r="R594" s="101">
        <v>1</v>
      </c>
      <c r="S594" s="101">
        <v>0</v>
      </c>
      <c r="T594" s="12"/>
      <c r="U594" s="210"/>
      <c r="V594" s="13"/>
      <c r="W594" s="13"/>
      <c r="X594" s="13"/>
      <c r="Y594" s="13"/>
      <c r="Z594" s="13"/>
      <c r="AA594" s="13"/>
      <c r="AB594" s="13"/>
      <c r="AC594" s="13"/>
      <c r="AD594" s="13"/>
      <c r="AE594" s="13"/>
    </row>
    <row r="595" spans="1:31" ht="21" x14ac:dyDescent="0.4">
      <c r="A595" s="210"/>
      <c r="B595" s="108">
        <v>585</v>
      </c>
      <c r="C595" s="297">
        <v>2192.2903803698268</v>
      </c>
      <c r="D595" s="297">
        <v>3697.9918700426679</v>
      </c>
      <c r="E595" s="297">
        <v>20.204188367720818</v>
      </c>
      <c r="F595" s="297">
        <v>15.51521891123242</v>
      </c>
      <c r="G595" s="322">
        <v>-1505.701489672841</v>
      </c>
      <c r="H595" s="322">
        <v>4.6889694564883975</v>
      </c>
      <c r="I595" s="322">
        <v>-321.11565316112586</v>
      </c>
      <c r="K595" s="223">
        <f t="shared" si="39"/>
        <v>1210059.0116828792</v>
      </c>
      <c r="L595" s="223">
        <f t="shared" si="39"/>
        <v>927215.14280390262</v>
      </c>
      <c r="M595" s="114">
        <f t="shared" si="40"/>
        <v>1</v>
      </c>
      <c r="N595" s="114">
        <f t="shared" si="41"/>
        <v>0</v>
      </c>
      <c r="Q595" s="320">
        <f t="shared" si="42"/>
        <v>58400</v>
      </c>
      <c r="R595" s="101">
        <v>1</v>
      </c>
      <c r="S595" s="101">
        <v>0</v>
      </c>
      <c r="T595" s="12"/>
      <c r="U595" s="210"/>
      <c r="V595" s="13"/>
      <c r="W595" s="13"/>
      <c r="X595" s="13"/>
      <c r="Y595" s="13"/>
      <c r="Z595" s="13"/>
      <c r="AA595" s="13"/>
      <c r="AB595" s="13"/>
      <c r="AC595" s="13"/>
      <c r="AD595" s="13"/>
      <c r="AE595" s="13"/>
    </row>
    <row r="596" spans="1:31" ht="21" x14ac:dyDescent="0.4">
      <c r="A596" s="210"/>
      <c r="B596" s="108">
        <v>586</v>
      </c>
      <c r="C596" s="297">
        <v>2190.5025353052933</v>
      </c>
      <c r="D596" s="297">
        <v>2903.4704795596399</v>
      </c>
      <c r="E596" s="297">
        <v>18.476341984236846</v>
      </c>
      <c r="F596" s="297">
        <v>12.836061835598706</v>
      </c>
      <c r="G596" s="322">
        <v>-712.96794425434655</v>
      </c>
      <c r="H596" s="322">
        <v>5.6402801486381406</v>
      </c>
      <c r="I596" s="322">
        <v>-126.40647724324374</v>
      </c>
      <c r="K596" s="223">
        <f t="shared" si="39"/>
        <v>1106390.0165189055</v>
      </c>
      <c r="L596" s="223">
        <f t="shared" si="39"/>
        <v>767260.23965636268</v>
      </c>
      <c r="M596" s="114">
        <f t="shared" si="40"/>
        <v>1</v>
      </c>
      <c r="N596" s="114">
        <f t="shared" si="41"/>
        <v>0</v>
      </c>
      <c r="Q596" s="320">
        <f t="shared" si="42"/>
        <v>58500</v>
      </c>
      <c r="R596" s="101">
        <v>1</v>
      </c>
      <c r="S596" s="101">
        <v>0</v>
      </c>
      <c r="T596" s="12"/>
      <c r="U596" s="210"/>
      <c r="V596" s="13"/>
      <c r="W596" s="13"/>
      <c r="X596" s="13"/>
      <c r="Y596" s="13"/>
      <c r="Z596" s="13"/>
      <c r="AA596" s="13"/>
      <c r="AB596" s="13"/>
      <c r="AC596" s="13"/>
      <c r="AD596" s="13"/>
      <c r="AE596" s="13"/>
    </row>
    <row r="597" spans="1:31" ht="21" x14ac:dyDescent="0.4">
      <c r="A597" s="210"/>
      <c r="B597" s="108">
        <v>587</v>
      </c>
      <c r="C597" s="297">
        <v>2070.0935693620686</v>
      </c>
      <c r="D597" s="297">
        <v>3115.5151654247366</v>
      </c>
      <c r="E597" s="297">
        <v>20.448327109441763</v>
      </c>
      <c r="F597" s="297">
        <v>15.560237163025803</v>
      </c>
      <c r="G597" s="322">
        <v>-1045.421596062668</v>
      </c>
      <c r="H597" s="322">
        <v>4.8880899464159597</v>
      </c>
      <c r="I597" s="322">
        <v>-213.87118639852176</v>
      </c>
      <c r="K597" s="223">
        <f t="shared" si="39"/>
        <v>1224829.5329971437</v>
      </c>
      <c r="L597" s="223">
        <f t="shared" si="39"/>
        <v>930498.71461612347</v>
      </c>
      <c r="M597" s="114">
        <f t="shared" si="40"/>
        <v>1</v>
      </c>
      <c r="N597" s="114">
        <f t="shared" si="41"/>
        <v>0</v>
      </c>
      <c r="Q597" s="320">
        <f t="shared" si="42"/>
        <v>58600</v>
      </c>
      <c r="R597" s="101">
        <v>1</v>
      </c>
      <c r="S597" s="101">
        <v>0</v>
      </c>
      <c r="T597" s="12"/>
      <c r="U597" s="210"/>
      <c r="V597" s="13"/>
      <c r="W597" s="13"/>
      <c r="X597" s="13"/>
      <c r="Y597" s="13"/>
      <c r="Z597" s="13"/>
      <c r="AA597" s="13"/>
      <c r="AB597" s="13"/>
      <c r="AC597" s="13"/>
      <c r="AD597" s="13"/>
      <c r="AE597" s="13"/>
    </row>
    <row r="598" spans="1:31" ht="21" x14ac:dyDescent="0.4">
      <c r="A598" s="210"/>
      <c r="B598" s="108">
        <v>588</v>
      </c>
      <c r="C598" s="297">
        <v>1887.3048970559839</v>
      </c>
      <c r="D598" s="297">
        <v>2850.5617113658354</v>
      </c>
      <c r="E598" s="297">
        <v>17.975242248296095</v>
      </c>
      <c r="F598" s="297">
        <v>13.187581144308938</v>
      </c>
      <c r="G598" s="322">
        <v>-963.25681430985151</v>
      </c>
      <c r="H598" s="322">
        <v>4.7876611039871566</v>
      </c>
      <c r="I598" s="322">
        <v>-201.19569731191976</v>
      </c>
      <c r="K598" s="223">
        <f t="shared" si="39"/>
        <v>1076627.2300007096</v>
      </c>
      <c r="L598" s="223">
        <f t="shared" si="39"/>
        <v>788404.30694717041</v>
      </c>
      <c r="M598" s="114">
        <f t="shared" si="40"/>
        <v>1</v>
      </c>
      <c r="N598" s="114">
        <f t="shared" si="41"/>
        <v>0</v>
      </c>
      <c r="Q598" s="320">
        <f t="shared" si="42"/>
        <v>58700</v>
      </c>
      <c r="R598" s="101">
        <v>1</v>
      </c>
      <c r="S598" s="101">
        <v>0</v>
      </c>
      <c r="T598" s="12"/>
      <c r="U598" s="210"/>
      <c r="V598" s="13"/>
      <c r="W598" s="13"/>
      <c r="X598" s="13"/>
      <c r="Y598" s="13"/>
      <c r="Z598" s="13"/>
      <c r="AA598" s="13"/>
      <c r="AB598" s="13"/>
      <c r="AC598" s="13"/>
      <c r="AD598" s="13"/>
      <c r="AE598" s="13"/>
    </row>
    <row r="599" spans="1:31" ht="21" x14ac:dyDescent="0.4">
      <c r="A599" s="210"/>
      <c r="B599" s="108">
        <v>589</v>
      </c>
      <c r="C599" s="297">
        <v>2023.996001837543</v>
      </c>
      <c r="D599" s="297">
        <v>2450.1128187021031</v>
      </c>
      <c r="E599" s="297">
        <v>16.297091532187594</v>
      </c>
      <c r="F599" s="297">
        <v>11.958721030746799</v>
      </c>
      <c r="G599" s="322">
        <v>-426.11681686456018</v>
      </c>
      <c r="H599" s="322">
        <v>4.3383705014407941</v>
      </c>
      <c r="I599" s="322">
        <v>-98.220476264773765</v>
      </c>
      <c r="K599" s="223">
        <f t="shared" si="39"/>
        <v>975801.49592941802</v>
      </c>
      <c r="L599" s="223">
        <f t="shared" si="39"/>
        <v>715073.14902610588</v>
      </c>
      <c r="M599" s="114">
        <f t="shared" si="40"/>
        <v>1</v>
      </c>
      <c r="N599" s="114">
        <f t="shared" si="41"/>
        <v>0</v>
      </c>
      <c r="Q599" s="320">
        <f t="shared" si="42"/>
        <v>58800</v>
      </c>
      <c r="R599" s="101">
        <v>1</v>
      </c>
      <c r="S599" s="101">
        <v>0</v>
      </c>
      <c r="T599" s="12"/>
      <c r="U599" s="210"/>
      <c r="V599" s="13"/>
      <c r="W599" s="13"/>
      <c r="X599" s="13"/>
      <c r="Y599" s="13"/>
      <c r="Z599" s="13"/>
      <c r="AA599" s="13"/>
      <c r="AB599" s="13"/>
      <c r="AC599" s="13"/>
      <c r="AD599" s="13"/>
      <c r="AE599" s="13"/>
    </row>
    <row r="600" spans="1:31" ht="21" x14ac:dyDescent="0.4">
      <c r="A600" s="210"/>
      <c r="B600" s="108">
        <v>590</v>
      </c>
      <c r="C600" s="297">
        <v>2134.5247046490813</v>
      </c>
      <c r="D600" s="297">
        <v>2637.8506964044377</v>
      </c>
      <c r="E600" s="297">
        <v>19.45210821190517</v>
      </c>
      <c r="F600" s="297">
        <v>15.175192543871495</v>
      </c>
      <c r="G600" s="322">
        <v>-503.32599175535643</v>
      </c>
      <c r="H600" s="322">
        <v>4.2769156680336753</v>
      </c>
      <c r="I600" s="322">
        <v>-117.68433862685023</v>
      </c>
      <c r="K600" s="223">
        <f t="shared" si="39"/>
        <v>1164991.9680096612</v>
      </c>
      <c r="L600" s="223">
        <f t="shared" si="39"/>
        <v>907873.70193588524</v>
      </c>
      <c r="M600" s="114">
        <f t="shared" si="40"/>
        <v>1</v>
      </c>
      <c r="N600" s="114">
        <f t="shared" si="41"/>
        <v>0</v>
      </c>
      <c r="Q600" s="320">
        <f t="shared" si="42"/>
        <v>58900</v>
      </c>
      <c r="R600" s="101">
        <v>1</v>
      </c>
      <c r="S600" s="101">
        <v>0</v>
      </c>
      <c r="T600" s="12"/>
      <c r="U600" s="210"/>
      <c r="V600" s="13"/>
      <c r="W600" s="13"/>
      <c r="X600" s="13"/>
      <c r="Y600" s="13"/>
      <c r="Z600" s="13"/>
      <c r="AA600" s="13"/>
      <c r="AB600" s="13"/>
      <c r="AC600" s="13"/>
      <c r="AD600" s="13"/>
      <c r="AE600" s="13"/>
    </row>
    <row r="601" spans="1:31" ht="21" x14ac:dyDescent="0.4">
      <c r="A601" s="210"/>
      <c r="B601" s="108">
        <v>591</v>
      </c>
      <c r="C601" s="297">
        <v>2127.8925130895532</v>
      </c>
      <c r="D601" s="297">
        <v>3167.4266942274062</v>
      </c>
      <c r="E601" s="297">
        <v>19.000018653052379</v>
      </c>
      <c r="F601" s="297">
        <v>13.339023478879042</v>
      </c>
      <c r="G601" s="322">
        <v>-1039.534181137853</v>
      </c>
      <c r="H601" s="322">
        <v>5.6609951741733369</v>
      </c>
      <c r="I601" s="322">
        <v>-183.63099581508723</v>
      </c>
      <c r="K601" s="223">
        <f t="shared" si="39"/>
        <v>1137873.2266700531</v>
      </c>
      <c r="L601" s="223">
        <f t="shared" si="39"/>
        <v>797173.98203851515</v>
      </c>
      <c r="M601" s="114">
        <f t="shared" si="40"/>
        <v>1</v>
      </c>
      <c r="N601" s="114">
        <f t="shared" si="41"/>
        <v>0</v>
      </c>
      <c r="Q601" s="320">
        <f t="shared" si="42"/>
        <v>59000</v>
      </c>
      <c r="R601" s="101">
        <v>1</v>
      </c>
      <c r="S601" s="101">
        <v>0</v>
      </c>
      <c r="T601" s="12"/>
      <c r="U601" s="210"/>
      <c r="V601" s="13"/>
      <c r="W601" s="13"/>
      <c r="X601" s="13"/>
      <c r="Y601" s="13"/>
      <c r="Z601" s="13"/>
      <c r="AA601" s="13"/>
      <c r="AB601" s="13"/>
      <c r="AC601" s="13"/>
      <c r="AD601" s="13"/>
      <c r="AE601" s="13"/>
    </row>
    <row r="602" spans="1:31" ht="21" x14ac:dyDescent="0.4">
      <c r="A602" s="210"/>
      <c r="B602" s="108">
        <v>592</v>
      </c>
      <c r="C602" s="297">
        <v>2039.026852343314</v>
      </c>
      <c r="D602" s="297">
        <v>2533.2483328596836</v>
      </c>
      <c r="E602" s="297">
        <v>21.71601562660188</v>
      </c>
      <c r="F602" s="297">
        <v>15.988241563498594</v>
      </c>
      <c r="G602" s="322">
        <v>-494.22148051636964</v>
      </c>
      <c r="H602" s="322">
        <v>5.7277740631032863</v>
      </c>
      <c r="I602" s="322">
        <v>-86.285086505071106</v>
      </c>
      <c r="K602" s="223">
        <f t="shared" si="39"/>
        <v>1300921.9107437695</v>
      </c>
      <c r="L602" s="223">
        <f t="shared" si="39"/>
        <v>956761.2454770559</v>
      </c>
      <c r="M602" s="114">
        <f t="shared" si="40"/>
        <v>1</v>
      </c>
      <c r="N602" s="114">
        <f t="shared" si="41"/>
        <v>0</v>
      </c>
      <c r="Q602" s="320">
        <f t="shared" si="42"/>
        <v>59100</v>
      </c>
      <c r="R602" s="101">
        <v>1</v>
      </c>
      <c r="S602" s="101">
        <v>0</v>
      </c>
      <c r="T602" s="12"/>
      <c r="U602" s="210"/>
      <c r="V602" s="13"/>
      <c r="W602" s="13"/>
      <c r="X602" s="13"/>
      <c r="Y602" s="13"/>
      <c r="Z602" s="13"/>
      <c r="AA602" s="13"/>
      <c r="AB602" s="13"/>
      <c r="AC602" s="13"/>
      <c r="AD602" s="13"/>
      <c r="AE602" s="13"/>
    </row>
    <row r="603" spans="1:31" ht="21" x14ac:dyDescent="0.4">
      <c r="A603" s="210"/>
      <c r="B603" s="108">
        <v>593</v>
      </c>
      <c r="C603" s="297">
        <v>1959.9055726072502</v>
      </c>
      <c r="D603" s="297">
        <v>2955.7781777519963</v>
      </c>
      <c r="E603" s="297">
        <v>19.399834182872528</v>
      </c>
      <c r="F603" s="297">
        <v>13.919956596600271</v>
      </c>
      <c r="G603" s="322">
        <v>-995.8726051447461</v>
      </c>
      <c r="H603" s="322">
        <v>5.4798775862722575</v>
      </c>
      <c r="I603" s="322">
        <v>-181.73263717414508</v>
      </c>
      <c r="K603" s="223">
        <f t="shared" si="39"/>
        <v>1162030.1453997444</v>
      </c>
      <c r="L603" s="223">
        <f t="shared" si="39"/>
        <v>832241.61761826416</v>
      </c>
      <c r="M603" s="114">
        <f t="shared" si="40"/>
        <v>1</v>
      </c>
      <c r="N603" s="114">
        <f t="shared" si="41"/>
        <v>0</v>
      </c>
      <c r="Q603" s="320">
        <f t="shared" si="42"/>
        <v>59200</v>
      </c>
      <c r="R603" s="101">
        <v>1</v>
      </c>
      <c r="S603" s="101">
        <v>0</v>
      </c>
      <c r="T603" s="12"/>
      <c r="U603" s="210"/>
      <c r="V603" s="13"/>
      <c r="W603" s="13"/>
      <c r="X603" s="13"/>
      <c r="Y603" s="13"/>
      <c r="Z603" s="13"/>
      <c r="AA603" s="13"/>
      <c r="AB603" s="13"/>
      <c r="AC603" s="13"/>
      <c r="AD603" s="13"/>
      <c r="AE603" s="13"/>
    </row>
    <row r="604" spans="1:31" ht="21" x14ac:dyDescent="0.4">
      <c r="A604" s="210"/>
      <c r="B604" s="108">
        <v>594</v>
      </c>
      <c r="C604" s="297">
        <v>1866.3642121158432</v>
      </c>
      <c r="D604" s="297">
        <v>2581.9414707119936</v>
      </c>
      <c r="E604" s="297">
        <v>16.027769689828887</v>
      </c>
      <c r="F604" s="297">
        <v>10.615397609761743</v>
      </c>
      <c r="G604" s="322">
        <v>-715.57725859615039</v>
      </c>
      <c r="H604" s="322">
        <v>5.4123720800671435</v>
      </c>
      <c r="I604" s="322">
        <v>-132.21139419285328</v>
      </c>
      <c r="K604" s="223">
        <f t="shared" si="39"/>
        <v>959799.81717761734</v>
      </c>
      <c r="L604" s="223">
        <f t="shared" si="39"/>
        <v>634341.91511499265</v>
      </c>
      <c r="M604" s="114">
        <f t="shared" si="40"/>
        <v>1</v>
      </c>
      <c r="N604" s="114">
        <f t="shared" si="41"/>
        <v>0</v>
      </c>
      <c r="Q604" s="320">
        <f t="shared" si="42"/>
        <v>59300</v>
      </c>
      <c r="R604" s="101">
        <v>1</v>
      </c>
      <c r="S604" s="101">
        <v>0</v>
      </c>
      <c r="T604" s="12"/>
      <c r="U604" s="210"/>
      <c r="V604" s="13"/>
      <c r="W604" s="13"/>
      <c r="X604" s="13"/>
      <c r="Y604" s="13"/>
      <c r="Z604" s="13"/>
      <c r="AA604" s="13"/>
      <c r="AB604" s="13"/>
      <c r="AC604" s="13"/>
      <c r="AD604" s="13"/>
      <c r="AE604" s="13"/>
    </row>
    <row r="605" spans="1:31" ht="21" x14ac:dyDescent="0.4">
      <c r="A605" s="210"/>
      <c r="B605" s="108">
        <v>595</v>
      </c>
      <c r="C605" s="297">
        <v>2168.1025606852395</v>
      </c>
      <c r="D605" s="297">
        <v>3020.844267887268</v>
      </c>
      <c r="E605" s="297">
        <v>20.509732346587029</v>
      </c>
      <c r="F605" s="297">
        <v>14.122625472752533</v>
      </c>
      <c r="G605" s="322">
        <v>-852.74170720202846</v>
      </c>
      <c r="H605" s="322">
        <v>6.3871068738344956</v>
      </c>
      <c r="I605" s="322">
        <v>-133.50985415562423</v>
      </c>
      <c r="K605" s="223">
        <f t="shared" si="39"/>
        <v>1228415.8382345366</v>
      </c>
      <c r="L605" s="223">
        <f t="shared" si="39"/>
        <v>844336.68409726466</v>
      </c>
      <c r="M605" s="114">
        <f t="shared" si="40"/>
        <v>1</v>
      </c>
      <c r="N605" s="114">
        <f t="shared" si="41"/>
        <v>0</v>
      </c>
      <c r="Q605" s="320">
        <f t="shared" si="42"/>
        <v>59400</v>
      </c>
      <c r="R605" s="101">
        <v>1</v>
      </c>
      <c r="S605" s="101">
        <v>0</v>
      </c>
      <c r="T605" s="12"/>
      <c r="U605" s="210"/>
      <c r="V605" s="13"/>
      <c r="W605" s="13"/>
      <c r="X605" s="13"/>
      <c r="Y605" s="13"/>
      <c r="Z605" s="13"/>
      <c r="AA605" s="13"/>
      <c r="AB605" s="13"/>
      <c r="AC605" s="13"/>
      <c r="AD605" s="13"/>
      <c r="AE605" s="13"/>
    </row>
    <row r="606" spans="1:31" ht="21" x14ac:dyDescent="0.4">
      <c r="A606" s="210"/>
      <c r="B606" s="108">
        <v>596</v>
      </c>
      <c r="C606" s="297">
        <v>2152.7108983959606</v>
      </c>
      <c r="D606" s="297">
        <v>3238.1839529963299</v>
      </c>
      <c r="E606" s="297">
        <v>16.653995560909571</v>
      </c>
      <c r="F606" s="297">
        <v>11.218962225506086</v>
      </c>
      <c r="G606" s="322">
        <v>-1085.4730546003693</v>
      </c>
      <c r="H606" s="322">
        <v>5.4350333354034852</v>
      </c>
      <c r="I606" s="322">
        <v>-199.71782832124728</v>
      </c>
      <c r="K606" s="223">
        <f t="shared" si="39"/>
        <v>997087.02275617828</v>
      </c>
      <c r="L606" s="223">
        <f t="shared" si="39"/>
        <v>669899.54957736889</v>
      </c>
      <c r="M606" s="114">
        <f t="shared" si="40"/>
        <v>1</v>
      </c>
      <c r="N606" s="114">
        <f t="shared" si="41"/>
        <v>0</v>
      </c>
      <c r="Q606" s="320">
        <f t="shared" si="42"/>
        <v>59500</v>
      </c>
      <c r="R606" s="101">
        <v>1</v>
      </c>
      <c r="S606" s="101">
        <v>0</v>
      </c>
      <c r="T606" s="12"/>
      <c r="U606" s="210"/>
      <c r="V606" s="13"/>
      <c r="W606" s="13"/>
      <c r="X606" s="13"/>
      <c r="Y606" s="13"/>
      <c r="Z606" s="13"/>
      <c r="AA606" s="13"/>
      <c r="AB606" s="13"/>
      <c r="AC606" s="13"/>
      <c r="AD606" s="13"/>
      <c r="AE606" s="13"/>
    </row>
    <row r="607" spans="1:31" ht="21" x14ac:dyDescent="0.4">
      <c r="A607" s="210"/>
      <c r="B607" s="108">
        <v>597</v>
      </c>
      <c r="C607" s="297">
        <v>2068.8911273669801</v>
      </c>
      <c r="D607" s="297">
        <v>2608.7932349439252</v>
      </c>
      <c r="E607" s="297">
        <v>20.062978119764356</v>
      </c>
      <c r="F607" s="297">
        <v>14.449632442991602</v>
      </c>
      <c r="G607" s="322">
        <v>-539.90210757694513</v>
      </c>
      <c r="H607" s="322">
        <v>5.6133456767727541</v>
      </c>
      <c r="I607" s="322">
        <v>-96.181874173718739</v>
      </c>
      <c r="K607" s="223">
        <f t="shared" si="39"/>
        <v>1201709.7960584944</v>
      </c>
      <c r="L607" s="223">
        <f t="shared" si="39"/>
        <v>864369.15334455227</v>
      </c>
      <c r="M607" s="114">
        <f t="shared" si="40"/>
        <v>1</v>
      </c>
      <c r="N607" s="114">
        <f t="shared" si="41"/>
        <v>0</v>
      </c>
      <c r="Q607" s="320">
        <f t="shared" si="42"/>
        <v>59600</v>
      </c>
      <c r="R607" s="101">
        <v>1</v>
      </c>
      <c r="S607" s="101">
        <v>0</v>
      </c>
      <c r="T607" s="12"/>
      <c r="U607" s="210"/>
      <c r="V607" s="13"/>
      <c r="W607" s="13"/>
      <c r="X607" s="13"/>
      <c r="Y607" s="13"/>
      <c r="Z607" s="13"/>
      <c r="AA607" s="13"/>
      <c r="AB607" s="13"/>
      <c r="AC607" s="13"/>
      <c r="AD607" s="13"/>
      <c r="AE607" s="13"/>
    </row>
    <row r="608" spans="1:31" ht="21" x14ac:dyDescent="0.4">
      <c r="A608" s="210"/>
      <c r="B608" s="108">
        <v>598</v>
      </c>
      <c r="C608" s="297">
        <v>2257.7277908032611</v>
      </c>
      <c r="D608" s="297">
        <v>3501.3946611548004</v>
      </c>
      <c r="E608" s="297">
        <v>18.402312818155714</v>
      </c>
      <c r="F608" s="297">
        <v>13.794232424486099</v>
      </c>
      <c r="G608" s="322">
        <v>-1243.6668703515393</v>
      </c>
      <c r="H608" s="322">
        <v>4.6080803936696153</v>
      </c>
      <c r="I608" s="322">
        <v>-269.88827539989012</v>
      </c>
      <c r="K608" s="223">
        <f t="shared" si="39"/>
        <v>1101881.0412985396</v>
      </c>
      <c r="L608" s="223">
        <f t="shared" si="39"/>
        <v>824152.55080801109</v>
      </c>
      <c r="M608" s="114">
        <f t="shared" si="40"/>
        <v>1</v>
      </c>
      <c r="N608" s="114">
        <f t="shared" si="41"/>
        <v>0</v>
      </c>
      <c r="Q608" s="320">
        <f t="shared" si="42"/>
        <v>59700</v>
      </c>
      <c r="R608" s="101">
        <v>1</v>
      </c>
      <c r="S608" s="101">
        <v>0</v>
      </c>
      <c r="T608" s="12"/>
      <c r="U608" s="210"/>
      <c r="V608" s="13"/>
      <c r="W608" s="13"/>
      <c r="X608" s="13"/>
      <c r="Y608" s="13"/>
      <c r="Z608" s="13"/>
      <c r="AA608" s="13"/>
      <c r="AB608" s="13"/>
      <c r="AC608" s="13"/>
      <c r="AD608" s="13"/>
      <c r="AE608" s="13"/>
    </row>
    <row r="609" spans="1:31" ht="21" x14ac:dyDescent="0.4">
      <c r="A609" s="210"/>
      <c r="B609" s="108">
        <v>599</v>
      </c>
      <c r="C609" s="297">
        <v>2306.8887245667825</v>
      </c>
      <c r="D609" s="297">
        <v>2712.4257708487239</v>
      </c>
      <c r="E609" s="297">
        <v>20.724216900547518</v>
      </c>
      <c r="F609" s="297">
        <v>14.896836071929396</v>
      </c>
      <c r="G609" s="322">
        <v>-405.53704628194146</v>
      </c>
      <c r="H609" s="322">
        <v>5.8273808286181215</v>
      </c>
      <c r="I609" s="322">
        <v>-69.591649869587926</v>
      </c>
      <c r="K609" s="223">
        <f t="shared" si="39"/>
        <v>1241146.1253082843</v>
      </c>
      <c r="L609" s="223">
        <f t="shared" si="39"/>
        <v>891097.73854491499</v>
      </c>
      <c r="M609" s="114">
        <f t="shared" si="40"/>
        <v>1</v>
      </c>
      <c r="N609" s="114">
        <f t="shared" si="41"/>
        <v>0</v>
      </c>
      <c r="Q609" s="320">
        <f t="shared" si="42"/>
        <v>59800</v>
      </c>
      <c r="R609" s="101">
        <v>1</v>
      </c>
      <c r="S609" s="101">
        <v>0</v>
      </c>
      <c r="T609" s="12"/>
      <c r="U609" s="210"/>
      <c r="V609" s="13"/>
      <c r="W609" s="13"/>
      <c r="X609" s="13"/>
      <c r="Y609" s="13"/>
      <c r="Z609" s="13"/>
      <c r="AA609" s="13"/>
      <c r="AB609" s="13"/>
      <c r="AC609" s="13"/>
      <c r="AD609" s="13"/>
      <c r="AE609" s="13"/>
    </row>
    <row r="610" spans="1:31" ht="21" x14ac:dyDescent="0.4">
      <c r="A610" s="210"/>
      <c r="B610" s="108">
        <v>600</v>
      </c>
      <c r="C610" s="297">
        <v>1824.8627514669276</v>
      </c>
      <c r="D610" s="297">
        <v>2803.8738554597112</v>
      </c>
      <c r="E610" s="297">
        <v>19.94321080038883</v>
      </c>
      <c r="F610" s="297">
        <v>14.123483464954646</v>
      </c>
      <c r="G610" s="322">
        <v>-979.01110399278355</v>
      </c>
      <c r="H610" s="322">
        <v>5.8197273354341839</v>
      </c>
      <c r="I610" s="322">
        <v>-168.22284749183081</v>
      </c>
      <c r="K610" s="223">
        <f t="shared" si="39"/>
        <v>1194767.7852718628</v>
      </c>
      <c r="L610" s="223">
        <f t="shared" si="39"/>
        <v>844605.13404181902</v>
      </c>
      <c r="M610" s="114">
        <f t="shared" si="40"/>
        <v>1</v>
      </c>
      <c r="N610" s="114">
        <f t="shared" si="41"/>
        <v>0</v>
      </c>
      <c r="Q610" s="320">
        <f t="shared" si="42"/>
        <v>59900</v>
      </c>
      <c r="R610" s="101">
        <v>1</v>
      </c>
      <c r="S610" s="101">
        <v>0</v>
      </c>
      <c r="T610" s="12"/>
      <c r="U610" s="210"/>
      <c r="V610" s="13"/>
      <c r="W610" s="13"/>
      <c r="X610" s="13"/>
      <c r="Y610" s="13"/>
      <c r="Z610" s="13"/>
      <c r="AA610" s="13"/>
      <c r="AB610" s="13"/>
      <c r="AC610" s="13"/>
      <c r="AD610" s="13"/>
      <c r="AE610" s="13"/>
    </row>
    <row r="611" spans="1:31" ht="21" x14ac:dyDescent="0.4">
      <c r="A611" s="210"/>
      <c r="B611" s="108">
        <v>601</v>
      </c>
      <c r="C611" s="297">
        <v>2052.5213361465417</v>
      </c>
      <c r="D611" s="297">
        <v>2930.8332696621601</v>
      </c>
      <c r="E611" s="297">
        <v>18.773734823484503</v>
      </c>
      <c r="F611" s="297">
        <v>13.494501908078451</v>
      </c>
      <c r="G611" s="322">
        <v>-878.31193351561842</v>
      </c>
      <c r="H611" s="322">
        <v>5.2792329154060518</v>
      </c>
      <c r="I611" s="322">
        <v>-166.37112769783204</v>
      </c>
      <c r="K611" s="223">
        <f t="shared" si="39"/>
        <v>1124371.5680729235</v>
      </c>
      <c r="L611" s="223">
        <f t="shared" si="39"/>
        <v>806739.28121504502</v>
      </c>
      <c r="M611" s="114">
        <f t="shared" si="40"/>
        <v>1</v>
      </c>
      <c r="N611" s="114">
        <f t="shared" si="41"/>
        <v>0</v>
      </c>
      <c r="Q611" s="320">
        <f t="shared" si="42"/>
        <v>60000</v>
      </c>
      <c r="R611" s="101">
        <v>1</v>
      </c>
      <c r="S611" s="101">
        <v>0</v>
      </c>
      <c r="T611" s="12"/>
      <c r="U611" s="210"/>
      <c r="V611" s="13"/>
      <c r="W611" s="13"/>
      <c r="X611" s="13"/>
      <c r="Y611" s="13"/>
      <c r="Z611" s="13"/>
      <c r="AA611" s="13"/>
      <c r="AB611" s="13"/>
      <c r="AC611" s="13"/>
      <c r="AD611" s="13"/>
      <c r="AE611" s="13"/>
    </row>
    <row r="612" spans="1:31" ht="21" x14ac:dyDescent="0.4">
      <c r="A612" s="210"/>
      <c r="B612" s="108">
        <v>602</v>
      </c>
      <c r="C612" s="297">
        <v>2178.117909296614</v>
      </c>
      <c r="D612" s="297">
        <v>3218.0306661813488</v>
      </c>
      <c r="E612" s="297">
        <v>18.586561979410327</v>
      </c>
      <c r="F612" s="297">
        <v>13.794794631567516</v>
      </c>
      <c r="G612" s="322">
        <v>-1039.9127568847348</v>
      </c>
      <c r="H612" s="322">
        <v>4.7917673478428107</v>
      </c>
      <c r="I612" s="322">
        <v>-217.02071102281073</v>
      </c>
      <c r="K612" s="223">
        <f t="shared" si="39"/>
        <v>1113015.600855323</v>
      </c>
      <c r="L612" s="223">
        <f t="shared" si="39"/>
        <v>824469.6472278696</v>
      </c>
      <c r="M612" s="114">
        <f t="shared" si="40"/>
        <v>1</v>
      </c>
      <c r="N612" s="114">
        <f t="shared" si="41"/>
        <v>0</v>
      </c>
      <c r="T612" s="12"/>
      <c r="U612" s="210"/>
      <c r="V612" s="13"/>
      <c r="W612" s="13"/>
      <c r="X612" s="13"/>
      <c r="Y612" s="13"/>
      <c r="Z612" s="13"/>
      <c r="AA612" s="13"/>
      <c r="AB612" s="13"/>
      <c r="AC612" s="13"/>
      <c r="AD612" s="13"/>
      <c r="AE612" s="13"/>
    </row>
    <row r="613" spans="1:31" ht="21" x14ac:dyDescent="0.4">
      <c r="A613" s="210"/>
      <c r="B613" s="108">
        <v>603</v>
      </c>
      <c r="C613" s="297">
        <v>1993.1729322068713</v>
      </c>
      <c r="D613" s="297">
        <v>2952.0048614651541</v>
      </c>
      <c r="E613" s="297">
        <v>19.486217723218168</v>
      </c>
      <c r="F613" s="297">
        <v>14.107225012442925</v>
      </c>
      <c r="G613" s="322">
        <v>-958.8319292582828</v>
      </c>
      <c r="H613" s="322">
        <v>5.3789927107752433</v>
      </c>
      <c r="I613" s="322">
        <v>-178.25492258755855</v>
      </c>
      <c r="K613" s="223">
        <f t="shared" si="39"/>
        <v>1167179.8904608833</v>
      </c>
      <c r="L613" s="223">
        <f t="shared" si="39"/>
        <v>843481.49588511034</v>
      </c>
      <c r="M613" s="114">
        <f t="shared" si="40"/>
        <v>1</v>
      </c>
      <c r="N613" s="114">
        <f t="shared" si="41"/>
        <v>0</v>
      </c>
      <c r="T613" s="12"/>
      <c r="U613" s="210"/>
      <c r="V613" s="13"/>
      <c r="W613" s="13"/>
      <c r="X613" s="13"/>
      <c r="Y613" s="13"/>
      <c r="Z613" s="13"/>
      <c r="AA613" s="13"/>
      <c r="AB613" s="13"/>
      <c r="AC613" s="13"/>
      <c r="AD613" s="13"/>
      <c r="AE613" s="13"/>
    </row>
    <row r="614" spans="1:31" ht="21" x14ac:dyDescent="0.4">
      <c r="A614" s="210"/>
      <c r="B614" s="108">
        <v>604</v>
      </c>
      <c r="C614" s="297">
        <v>1990.9276643577641</v>
      </c>
      <c r="D614" s="297">
        <v>3226.699439256065</v>
      </c>
      <c r="E614" s="297">
        <v>20.638073459997798</v>
      </c>
      <c r="F614" s="297">
        <v>14.897729309811123</v>
      </c>
      <c r="G614" s="322">
        <v>-1235.7717748983009</v>
      </c>
      <c r="H614" s="322">
        <v>5.7403441501866759</v>
      </c>
      <c r="I614" s="322">
        <v>-215.27834265095649</v>
      </c>
      <c r="K614" s="223">
        <f t="shared" si="39"/>
        <v>1236293.4799355103</v>
      </c>
      <c r="L614" s="223">
        <f t="shared" si="39"/>
        <v>890637.05914941127</v>
      </c>
      <c r="M614" s="114">
        <f t="shared" si="40"/>
        <v>1</v>
      </c>
      <c r="N614" s="114">
        <f t="shared" si="41"/>
        <v>0</v>
      </c>
      <c r="T614" s="12"/>
      <c r="U614" s="210"/>
      <c r="V614" s="13"/>
      <c r="W614" s="13"/>
      <c r="X614" s="13"/>
      <c r="Y614" s="13"/>
      <c r="Z614" s="13"/>
      <c r="AA614" s="13"/>
      <c r="AB614" s="13"/>
      <c r="AC614" s="13"/>
      <c r="AD614" s="13"/>
      <c r="AE614" s="13"/>
    </row>
    <row r="615" spans="1:31" ht="21" x14ac:dyDescent="0.4">
      <c r="A615" s="210"/>
      <c r="B615" s="108">
        <v>605</v>
      </c>
      <c r="C615" s="297">
        <v>1580.0529766561435</v>
      </c>
      <c r="D615" s="297">
        <v>2763.7140336028961</v>
      </c>
      <c r="E615" s="297">
        <v>18.672639911370538</v>
      </c>
      <c r="F615" s="297">
        <v>13.390701381122375</v>
      </c>
      <c r="G615" s="322">
        <v>-1183.6610569467525</v>
      </c>
      <c r="H615" s="322">
        <v>5.2819385302481638</v>
      </c>
      <c r="I615" s="322">
        <v>-224.09595457581744</v>
      </c>
      <c r="K615" s="223">
        <f t="shared" si="39"/>
        <v>1118778.3417055761</v>
      </c>
      <c r="L615" s="223">
        <f t="shared" si="39"/>
        <v>800678.36883373966</v>
      </c>
      <c r="M615" s="114">
        <f t="shared" si="40"/>
        <v>1</v>
      </c>
      <c r="N615" s="114">
        <f t="shared" si="41"/>
        <v>0</v>
      </c>
      <c r="T615" s="12"/>
      <c r="U615" s="210"/>
      <c r="V615" s="13"/>
      <c r="W615" s="13"/>
      <c r="X615" s="13"/>
      <c r="Y615" s="13"/>
      <c r="Z615" s="13"/>
      <c r="AA615" s="13"/>
      <c r="AB615" s="13"/>
      <c r="AC615" s="13"/>
      <c r="AD615" s="13"/>
      <c r="AE615" s="13"/>
    </row>
    <row r="616" spans="1:31" ht="21" x14ac:dyDescent="0.4">
      <c r="A616" s="210"/>
      <c r="B616" s="108">
        <v>606</v>
      </c>
      <c r="C616" s="297">
        <v>1968.9424367205502</v>
      </c>
      <c r="D616" s="297">
        <v>2968.2341248931589</v>
      </c>
      <c r="E616" s="297">
        <v>19.659343490753095</v>
      </c>
      <c r="F616" s="297">
        <v>13.506624177325142</v>
      </c>
      <c r="G616" s="322">
        <v>-999.2916881726087</v>
      </c>
      <c r="H616" s="322">
        <v>6.1527193134279532</v>
      </c>
      <c r="I616" s="322">
        <v>-162.4146393273154</v>
      </c>
      <c r="K616" s="223">
        <f t="shared" si="39"/>
        <v>1177591.6670084652</v>
      </c>
      <c r="L616" s="223">
        <f t="shared" si="39"/>
        <v>807429.21651461534</v>
      </c>
      <c r="M616" s="114">
        <f t="shared" si="40"/>
        <v>1</v>
      </c>
      <c r="N616" s="114">
        <f t="shared" si="41"/>
        <v>0</v>
      </c>
      <c r="T616" s="12"/>
      <c r="U616" s="210"/>
      <c r="V616" s="13"/>
      <c r="W616" s="13"/>
      <c r="X616" s="13"/>
      <c r="Y616" s="13"/>
      <c r="Z616" s="13"/>
      <c r="AA616" s="13"/>
      <c r="AB616" s="13"/>
      <c r="AC616" s="13"/>
      <c r="AD616" s="13"/>
      <c r="AE616" s="13"/>
    </row>
    <row r="617" spans="1:31" ht="21" x14ac:dyDescent="0.4">
      <c r="A617" s="210"/>
      <c r="B617" s="108">
        <v>607</v>
      </c>
      <c r="C617" s="297">
        <v>2169.9275180552263</v>
      </c>
      <c r="D617" s="297">
        <v>3590.0627616475404</v>
      </c>
      <c r="E617" s="297">
        <v>20.668990379334584</v>
      </c>
      <c r="F617" s="297">
        <v>15.304504669755785</v>
      </c>
      <c r="G617" s="322">
        <v>-1420.1352435923141</v>
      </c>
      <c r="H617" s="322">
        <v>5.3644857095787994</v>
      </c>
      <c r="I617" s="322">
        <v>-264.72905707559767</v>
      </c>
      <c r="K617" s="223">
        <f t="shared" si="39"/>
        <v>1237969.4952420196</v>
      </c>
      <c r="L617" s="223">
        <f t="shared" si="39"/>
        <v>914680.21742369956</v>
      </c>
      <c r="M617" s="114">
        <f t="shared" si="40"/>
        <v>1</v>
      </c>
      <c r="N617" s="114">
        <f t="shared" si="41"/>
        <v>0</v>
      </c>
      <c r="T617" s="12"/>
      <c r="U617" s="210"/>
      <c r="V617" s="13"/>
      <c r="W617" s="13"/>
      <c r="X617" s="13"/>
      <c r="Y617" s="13"/>
      <c r="Z617" s="13"/>
      <c r="AA617" s="13"/>
      <c r="AB617" s="13"/>
      <c r="AC617" s="13"/>
      <c r="AD617" s="13"/>
      <c r="AE617" s="13"/>
    </row>
    <row r="618" spans="1:31" ht="21" x14ac:dyDescent="0.4">
      <c r="A618" s="210"/>
      <c r="B618" s="108">
        <v>608</v>
      </c>
      <c r="C618" s="297">
        <v>2000.1340134019033</v>
      </c>
      <c r="D618" s="297">
        <v>3155.9279690782982</v>
      </c>
      <c r="E618" s="297">
        <v>18.42896032946031</v>
      </c>
      <c r="F618" s="297">
        <v>13.412247747320082</v>
      </c>
      <c r="G618" s="322">
        <v>-1155.7939556763949</v>
      </c>
      <c r="H618" s="322">
        <v>5.0167125821402276</v>
      </c>
      <c r="I618" s="322">
        <v>-230.3887130769829</v>
      </c>
      <c r="K618" s="223">
        <f t="shared" si="39"/>
        <v>1103737.4857542168</v>
      </c>
      <c r="L618" s="223">
        <f t="shared" si="39"/>
        <v>801578.93687012664</v>
      </c>
      <c r="M618" s="114">
        <f t="shared" si="40"/>
        <v>1</v>
      </c>
      <c r="N618" s="114">
        <f t="shared" si="41"/>
        <v>0</v>
      </c>
      <c r="T618" s="12"/>
      <c r="U618" s="210"/>
      <c r="V618" s="13"/>
      <c r="W618" s="13"/>
      <c r="X618" s="13"/>
      <c r="Y618" s="13"/>
      <c r="Z618" s="13"/>
      <c r="AA618" s="13"/>
      <c r="AB618" s="13"/>
      <c r="AC618" s="13"/>
      <c r="AD618" s="13"/>
      <c r="AE618" s="13"/>
    </row>
    <row r="619" spans="1:31" ht="21" x14ac:dyDescent="0.4">
      <c r="A619" s="210"/>
      <c r="B619" s="108">
        <v>609</v>
      </c>
      <c r="C619" s="297">
        <v>2235.9129730897566</v>
      </c>
      <c r="D619" s="297">
        <v>3461.7281846574565</v>
      </c>
      <c r="E619" s="297">
        <v>20.569577343534032</v>
      </c>
      <c r="F619" s="297">
        <v>15.270453014292851</v>
      </c>
      <c r="G619" s="322">
        <v>-1225.8152115676999</v>
      </c>
      <c r="H619" s="322">
        <v>5.2991243292411809</v>
      </c>
      <c r="I619" s="322">
        <v>-231.32410855195636</v>
      </c>
      <c r="K619" s="223">
        <f t="shared" si="39"/>
        <v>1231938.727638952</v>
      </c>
      <c r="L619" s="223">
        <f t="shared" si="39"/>
        <v>912765.45267291367</v>
      </c>
      <c r="M619" s="114">
        <f t="shared" si="40"/>
        <v>1</v>
      </c>
      <c r="N619" s="114">
        <f t="shared" si="41"/>
        <v>0</v>
      </c>
      <c r="T619" s="12"/>
      <c r="U619" s="210"/>
      <c r="V619" s="13"/>
      <c r="W619" s="13"/>
      <c r="X619" s="13"/>
      <c r="Y619" s="13"/>
      <c r="Z619" s="13"/>
      <c r="AA619" s="13"/>
      <c r="AB619" s="13"/>
      <c r="AC619" s="13"/>
      <c r="AD619" s="13"/>
      <c r="AE619" s="13"/>
    </row>
    <row r="620" spans="1:31" ht="21" x14ac:dyDescent="0.4">
      <c r="A620" s="210"/>
      <c r="B620" s="108">
        <v>610</v>
      </c>
      <c r="C620" s="297">
        <v>1893.2743807131076</v>
      </c>
      <c r="D620" s="297">
        <v>3056.6108703492132</v>
      </c>
      <c r="E620" s="297">
        <v>18.097084901683367</v>
      </c>
      <c r="F620" s="297">
        <v>13.47017619943964</v>
      </c>
      <c r="G620" s="322">
        <v>-1163.3364896361056</v>
      </c>
      <c r="H620" s="322">
        <v>4.6269087022437265</v>
      </c>
      <c r="I620" s="322">
        <v>-251.42845137012731</v>
      </c>
      <c r="K620" s="223">
        <f t="shared" si="39"/>
        <v>1083931.819720289</v>
      </c>
      <c r="L620" s="223">
        <f t="shared" si="39"/>
        <v>805153.96109602915</v>
      </c>
      <c r="M620" s="114">
        <f t="shared" si="40"/>
        <v>1</v>
      </c>
      <c r="N620" s="114">
        <f t="shared" si="41"/>
        <v>0</v>
      </c>
      <c r="T620" s="12"/>
      <c r="U620" s="210"/>
      <c r="V620" s="13"/>
      <c r="W620" s="13"/>
      <c r="X620" s="13"/>
      <c r="Y620" s="13"/>
      <c r="Z620" s="13"/>
      <c r="AA620" s="13"/>
      <c r="AB620" s="13"/>
      <c r="AC620" s="13"/>
      <c r="AD620" s="13"/>
      <c r="AE620" s="13"/>
    </row>
    <row r="621" spans="1:31" ht="21" x14ac:dyDescent="0.4">
      <c r="A621" s="210"/>
      <c r="B621" s="108">
        <v>611</v>
      </c>
      <c r="C621" s="297">
        <v>2029.7359696665351</v>
      </c>
      <c r="D621" s="297">
        <v>2976.641714410227</v>
      </c>
      <c r="E621" s="297">
        <v>20.274711463501134</v>
      </c>
      <c r="F621" s="297">
        <v>15.134262622044995</v>
      </c>
      <c r="G621" s="322">
        <v>-946.90574474369191</v>
      </c>
      <c r="H621" s="322">
        <v>5.1404488414561396</v>
      </c>
      <c r="I621" s="322">
        <v>-184.20682200106501</v>
      </c>
      <c r="K621" s="223">
        <f t="shared" si="39"/>
        <v>1214452.9518404014</v>
      </c>
      <c r="L621" s="223">
        <f t="shared" si="39"/>
        <v>905079.11560828937</v>
      </c>
      <c r="M621" s="114">
        <f t="shared" si="40"/>
        <v>1</v>
      </c>
      <c r="N621" s="114">
        <f t="shared" si="41"/>
        <v>0</v>
      </c>
      <c r="T621" s="12"/>
      <c r="U621" s="210"/>
      <c r="V621" s="13"/>
      <c r="W621" s="13"/>
      <c r="X621" s="13"/>
      <c r="Y621" s="13"/>
      <c r="Z621" s="13"/>
      <c r="AA621" s="13"/>
      <c r="AB621" s="13"/>
      <c r="AC621" s="13"/>
      <c r="AD621" s="13"/>
      <c r="AE621" s="13"/>
    </row>
    <row r="622" spans="1:31" ht="21" x14ac:dyDescent="0.4">
      <c r="A622" s="210"/>
      <c r="B622" s="108">
        <v>612</v>
      </c>
      <c r="C622" s="297">
        <v>1834.8263775373634</v>
      </c>
      <c r="D622" s="297">
        <v>2685.5849763155225</v>
      </c>
      <c r="E622" s="297">
        <v>19.476710018682386</v>
      </c>
      <c r="F622" s="297">
        <v>14.382568662115707</v>
      </c>
      <c r="G622" s="322">
        <v>-850.75859877815901</v>
      </c>
      <c r="H622" s="322">
        <v>5.0941413565666789</v>
      </c>
      <c r="I622" s="322">
        <v>-167.00726172065797</v>
      </c>
      <c r="K622" s="223">
        <f t="shared" si="39"/>
        <v>1166767.7747434059</v>
      </c>
      <c r="L622" s="223">
        <f t="shared" si="39"/>
        <v>860268.53475062689</v>
      </c>
      <c r="M622" s="114">
        <f t="shared" si="40"/>
        <v>1</v>
      </c>
      <c r="N622" s="114">
        <f t="shared" si="41"/>
        <v>0</v>
      </c>
      <c r="T622" s="12"/>
      <c r="U622" s="210"/>
      <c r="V622" s="13"/>
      <c r="W622" s="13"/>
      <c r="X622" s="13"/>
      <c r="Y622" s="13"/>
      <c r="Z622" s="13"/>
      <c r="AA622" s="13"/>
      <c r="AB622" s="13"/>
      <c r="AC622" s="13"/>
      <c r="AD622" s="13"/>
      <c r="AE622" s="13"/>
    </row>
    <row r="623" spans="1:31" ht="21" x14ac:dyDescent="0.4">
      <c r="A623" s="210"/>
      <c r="B623" s="108">
        <v>613</v>
      </c>
      <c r="C623" s="297">
        <v>2038.2586673079645</v>
      </c>
      <c r="D623" s="297">
        <v>2855.6244652230716</v>
      </c>
      <c r="E623" s="297">
        <v>18.419292795321685</v>
      </c>
      <c r="F623" s="297">
        <v>12.838231074491427</v>
      </c>
      <c r="G623" s="322">
        <v>-817.36579791510712</v>
      </c>
      <c r="H623" s="322">
        <v>5.5810617208302578</v>
      </c>
      <c r="I623" s="322">
        <v>-146.45345971796797</v>
      </c>
      <c r="K623" s="223">
        <f t="shared" si="39"/>
        <v>1103119.3090519931</v>
      </c>
      <c r="L623" s="223">
        <f t="shared" si="39"/>
        <v>767438.24000426254</v>
      </c>
      <c r="M623" s="114">
        <f t="shared" si="40"/>
        <v>1</v>
      </c>
      <c r="N623" s="114">
        <f t="shared" si="41"/>
        <v>0</v>
      </c>
      <c r="T623" s="12"/>
      <c r="U623" s="210"/>
      <c r="V623" s="13"/>
      <c r="W623" s="13"/>
      <c r="X623" s="13"/>
      <c r="Y623" s="13"/>
      <c r="Z623" s="13"/>
      <c r="AA623" s="13"/>
      <c r="AB623" s="13"/>
      <c r="AC623" s="13"/>
      <c r="AD623" s="13"/>
      <c r="AE623" s="13"/>
    </row>
    <row r="624" spans="1:31" ht="21" x14ac:dyDescent="0.4">
      <c r="A624" s="210"/>
      <c r="B624" s="108">
        <v>614</v>
      </c>
      <c r="C624" s="297">
        <v>1911.6144141402576</v>
      </c>
      <c r="D624" s="297">
        <v>2901.6648398640982</v>
      </c>
      <c r="E624" s="297">
        <v>19.912083969669791</v>
      </c>
      <c r="F624" s="297">
        <v>15.352108859533235</v>
      </c>
      <c r="G624" s="322">
        <v>-990.05042572384059</v>
      </c>
      <c r="H624" s="322">
        <v>4.5599751101365555</v>
      </c>
      <c r="I624" s="322">
        <v>-217.11750652388801</v>
      </c>
      <c r="K624" s="223">
        <f t="shared" si="39"/>
        <v>1192813.423766047</v>
      </c>
      <c r="L624" s="223">
        <f t="shared" si="39"/>
        <v>918224.86673212994</v>
      </c>
      <c r="M624" s="114">
        <f t="shared" si="40"/>
        <v>1</v>
      </c>
      <c r="N624" s="114">
        <f t="shared" si="41"/>
        <v>0</v>
      </c>
      <c r="T624" s="12"/>
      <c r="U624" s="210"/>
      <c r="V624" s="13"/>
      <c r="W624" s="13"/>
      <c r="X624" s="13"/>
      <c r="Y624" s="13"/>
      <c r="Z624" s="13"/>
      <c r="AA624" s="13"/>
      <c r="AB624" s="13"/>
      <c r="AC624" s="13"/>
      <c r="AD624" s="13"/>
      <c r="AE624" s="13"/>
    </row>
    <row r="625" spans="1:31" ht="21" x14ac:dyDescent="0.4">
      <c r="A625" s="210"/>
      <c r="B625" s="108">
        <v>615</v>
      </c>
      <c r="C625" s="297">
        <v>2130.8168788172784</v>
      </c>
      <c r="D625" s="297">
        <v>2904.0009149419884</v>
      </c>
      <c r="E625" s="297">
        <v>20.135716770340181</v>
      </c>
      <c r="F625" s="297">
        <v>15.105654107678767</v>
      </c>
      <c r="G625" s="322">
        <v>-773.18403612471002</v>
      </c>
      <c r="H625" s="322">
        <v>5.0300626626614147</v>
      </c>
      <c r="I625" s="322">
        <v>-153.71260518564137</v>
      </c>
      <c r="K625" s="223">
        <f t="shared" si="39"/>
        <v>1206012.1893415935</v>
      </c>
      <c r="L625" s="223">
        <f t="shared" si="39"/>
        <v>903435.24554578401</v>
      </c>
      <c r="M625" s="114">
        <f t="shared" si="40"/>
        <v>1</v>
      </c>
      <c r="N625" s="114">
        <f t="shared" si="41"/>
        <v>0</v>
      </c>
      <c r="T625" s="12"/>
      <c r="U625" s="210"/>
      <c r="V625" s="13"/>
      <c r="W625" s="13"/>
      <c r="X625" s="13"/>
      <c r="Y625" s="13"/>
      <c r="Z625" s="13"/>
      <c r="AA625" s="13"/>
      <c r="AB625" s="13"/>
      <c r="AC625" s="13"/>
      <c r="AD625" s="13"/>
      <c r="AE625" s="13"/>
    </row>
    <row r="626" spans="1:31" ht="21" x14ac:dyDescent="0.4">
      <c r="A626" s="210"/>
      <c r="B626" s="108">
        <v>616</v>
      </c>
      <c r="C626" s="297">
        <v>1875.04880201072</v>
      </c>
      <c r="D626" s="297">
        <v>2762.2722478328128</v>
      </c>
      <c r="E626" s="297">
        <v>20.280093893046324</v>
      </c>
      <c r="F626" s="297">
        <v>15.662258696200464</v>
      </c>
      <c r="G626" s="322">
        <v>-887.2234458220928</v>
      </c>
      <c r="H626" s="322">
        <v>4.61783519684586</v>
      </c>
      <c r="I626" s="322">
        <v>-192.12973352277641</v>
      </c>
      <c r="K626" s="223">
        <f t="shared" si="39"/>
        <v>1214930.5847807687</v>
      </c>
      <c r="L626" s="223">
        <f t="shared" si="39"/>
        <v>936973.24952419498</v>
      </c>
      <c r="M626" s="114">
        <f t="shared" si="40"/>
        <v>1</v>
      </c>
      <c r="N626" s="114">
        <f t="shared" si="41"/>
        <v>0</v>
      </c>
      <c r="T626" s="12"/>
      <c r="U626" s="210"/>
      <c r="V626" s="13"/>
      <c r="W626" s="13"/>
      <c r="X626" s="13"/>
      <c r="Y626" s="13"/>
      <c r="Z626" s="13"/>
      <c r="AA626" s="13"/>
      <c r="AB626" s="13"/>
      <c r="AC626" s="13"/>
      <c r="AD626" s="13"/>
      <c r="AE626" s="13"/>
    </row>
    <row r="627" spans="1:31" ht="21" x14ac:dyDescent="0.4">
      <c r="A627" s="210"/>
      <c r="B627" s="108">
        <v>617</v>
      </c>
      <c r="C627" s="297">
        <v>2370.5314005402324</v>
      </c>
      <c r="D627" s="297">
        <v>2976.8749733910463</v>
      </c>
      <c r="E627" s="297">
        <v>19.128743371337016</v>
      </c>
      <c r="F627" s="297">
        <v>13.124094205617441</v>
      </c>
      <c r="G627" s="322">
        <v>-606.34357285081387</v>
      </c>
      <c r="H627" s="322">
        <v>6.0046491657195755</v>
      </c>
      <c r="I627" s="322">
        <v>-100.97901744408607</v>
      </c>
      <c r="K627" s="223">
        <f t="shared" si="39"/>
        <v>1145354.0708796808</v>
      </c>
      <c r="L627" s="223">
        <f t="shared" si="39"/>
        <v>784468.77736365539</v>
      </c>
      <c r="M627" s="114">
        <f t="shared" si="40"/>
        <v>1</v>
      </c>
      <c r="N627" s="114">
        <f t="shared" si="41"/>
        <v>0</v>
      </c>
      <c r="T627" s="12"/>
      <c r="U627" s="210"/>
      <c r="V627" s="13"/>
      <c r="W627" s="13"/>
      <c r="X627" s="13"/>
      <c r="Y627" s="13"/>
      <c r="Z627" s="13"/>
      <c r="AA627" s="13"/>
      <c r="AB627" s="13"/>
      <c r="AC627" s="13"/>
      <c r="AD627" s="13"/>
      <c r="AE627" s="13"/>
    </row>
    <row r="628" spans="1:31" ht="21" x14ac:dyDescent="0.4">
      <c r="A628" s="210"/>
      <c r="B628" s="108">
        <v>618</v>
      </c>
      <c r="C628" s="297">
        <v>2057.0706808585473</v>
      </c>
      <c r="D628" s="297">
        <v>3384.5035838644308</v>
      </c>
      <c r="E628" s="297">
        <v>20.030953920435358</v>
      </c>
      <c r="F628" s="297">
        <v>14.823380257424645</v>
      </c>
      <c r="G628" s="322">
        <v>-1327.4329030058834</v>
      </c>
      <c r="H628" s="322">
        <v>5.207573663010713</v>
      </c>
      <c r="I628" s="322">
        <v>-254.90429687718324</v>
      </c>
      <c r="K628" s="223">
        <f t="shared" si="39"/>
        <v>1199800.1645452629</v>
      </c>
      <c r="L628" s="223">
        <f t="shared" si="39"/>
        <v>886018.31186161435</v>
      </c>
      <c r="M628" s="114">
        <f t="shared" si="40"/>
        <v>1</v>
      </c>
      <c r="N628" s="114">
        <f t="shared" si="41"/>
        <v>0</v>
      </c>
      <c r="T628" s="12"/>
      <c r="U628" s="210"/>
      <c r="V628" s="13"/>
      <c r="W628" s="13"/>
      <c r="X628" s="13"/>
      <c r="Y628" s="13"/>
      <c r="Z628" s="13"/>
      <c r="AA628" s="13"/>
      <c r="AB628" s="13"/>
      <c r="AC628" s="13"/>
      <c r="AD628" s="13"/>
      <c r="AE628" s="13"/>
    </row>
    <row r="629" spans="1:31" ht="21" x14ac:dyDescent="0.4">
      <c r="A629" s="210"/>
      <c r="B629" s="108">
        <v>619</v>
      </c>
      <c r="C629" s="297">
        <v>1869.3549339745887</v>
      </c>
      <c r="D629" s="297">
        <v>2806.1650956975441</v>
      </c>
      <c r="E629" s="297">
        <v>18.746170114375655</v>
      </c>
      <c r="F629" s="297">
        <v>14.331970612827728</v>
      </c>
      <c r="G629" s="322">
        <v>-936.8101617229554</v>
      </c>
      <c r="H629" s="322">
        <v>4.4141995015479267</v>
      </c>
      <c r="I629" s="322">
        <v>-212.22651160067511</v>
      </c>
      <c r="K629" s="223">
        <f t="shared" si="39"/>
        <v>1122900.8519285647</v>
      </c>
      <c r="L629" s="223">
        <f t="shared" si="39"/>
        <v>857112.07167396613</v>
      </c>
      <c r="M629" s="114">
        <f t="shared" si="40"/>
        <v>1</v>
      </c>
      <c r="N629" s="114">
        <f t="shared" si="41"/>
        <v>0</v>
      </c>
      <c r="T629" s="12"/>
      <c r="U629" s="210"/>
      <c r="V629" s="13"/>
      <c r="W629" s="13"/>
      <c r="X629" s="13"/>
      <c r="Y629" s="13"/>
      <c r="Z629" s="13"/>
      <c r="AA629" s="13"/>
      <c r="AB629" s="13"/>
      <c r="AC629" s="13"/>
      <c r="AD629" s="13"/>
      <c r="AE629" s="13"/>
    </row>
    <row r="630" spans="1:31" ht="21" x14ac:dyDescent="0.4">
      <c r="A630" s="210"/>
      <c r="B630" s="108">
        <v>620</v>
      </c>
      <c r="C630" s="297">
        <v>2128.7491524745383</v>
      </c>
      <c r="D630" s="297">
        <v>3295.9961543473801</v>
      </c>
      <c r="E630" s="297">
        <v>20.108691570532063</v>
      </c>
      <c r="F630" s="297">
        <v>14.694988659446327</v>
      </c>
      <c r="G630" s="322">
        <v>-1167.2470018728418</v>
      </c>
      <c r="H630" s="322">
        <v>5.4137029110857355</v>
      </c>
      <c r="I630" s="322">
        <v>-215.60972610496401</v>
      </c>
      <c r="K630" s="223">
        <f t="shared" si="39"/>
        <v>1204392.7450794491</v>
      </c>
      <c r="L630" s="223">
        <f t="shared" si="39"/>
        <v>878403.32341243222</v>
      </c>
      <c r="M630" s="114">
        <f t="shared" si="40"/>
        <v>1</v>
      </c>
      <c r="N630" s="114">
        <f t="shared" si="41"/>
        <v>0</v>
      </c>
      <c r="T630" s="12"/>
      <c r="U630" s="210"/>
      <c r="V630" s="13"/>
      <c r="W630" s="13"/>
      <c r="X630" s="13"/>
      <c r="Y630" s="13"/>
      <c r="Z630" s="13"/>
      <c r="AA630" s="13"/>
      <c r="AB630" s="13"/>
      <c r="AC630" s="13"/>
      <c r="AD630" s="13"/>
      <c r="AE630" s="13"/>
    </row>
    <row r="631" spans="1:31" ht="21" x14ac:dyDescent="0.4">
      <c r="A631" s="210"/>
      <c r="B631" s="108">
        <v>621</v>
      </c>
      <c r="C631" s="297">
        <v>1952.3125067363085</v>
      </c>
      <c r="D631" s="297">
        <v>2889.1791827059642</v>
      </c>
      <c r="E631" s="297">
        <v>20.594719612434371</v>
      </c>
      <c r="F631" s="297">
        <v>15.487442323248295</v>
      </c>
      <c r="G631" s="322">
        <v>-936.86667596965572</v>
      </c>
      <c r="H631" s="322">
        <v>5.1072772891860758</v>
      </c>
      <c r="I631" s="322">
        <v>-183.43759755385437</v>
      </c>
      <c r="K631" s="223">
        <f t="shared" si="39"/>
        <v>1233730.864239326</v>
      </c>
      <c r="L631" s="223">
        <f t="shared" si="39"/>
        <v>926357.36021219182</v>
      </c>
      <c r="M631" s="114">
        <f t="shared" si="40"/>
        <v>1</v>
      </c>
      <c r="N631" s="114">
        <f t="shared" si="41"/>
        <v>0</v>
      </c>
      <c r="T631" s="12"/>
      <c r="U631" s="210"/>
      <c r="V631" s="13"/>
      <c r="W631" s="13"/>
      <c r="X631" s="13"/>
      <c r="Y631" s="13"/>
      <c r="Z631" s="13"/>
      <c r="AA631" s="13"/>
      <c r="AB631" s="13"/>
      <c r="AC631" s="13"/>
      <c r="AD631" s="13"/>
      <c r="AE631" s="13"/>
    </row>
    <row r="632" spans="1:31" ht="21" x14ac:dyDescent="0.4">
      <c r="A632" s="210"/>
      <c r="B632" s="108">
        <v>622</v>
      </c>
      <c r="C632" s="297">
        <v>2348.2703873488367</v>
      </c>
      <c r="D632" s="297">
        <v>3174.3163230415676</v>
      </c>
      <c r="E632" s="297">
        <v>20.783357228792806</v>
      </c>
      <c r="F632" s="297">
        <v>15.479370852391176</v>
      </c>
      <c r="G632" s="322">
        <v>-826.04593569273084</v>
      </c>
      <c r="H632" s="322">
        <v>5.30398637640163</v>
      </c>
      <c r="I632" s="322">
        <v>-155.74058398188103</v>
      </c>
      <c r="K632" s="223">
        <f t="shared" si="39"/>
        <v>1244653.1633402193</v>
      </c>
      <c r="L632" s="223">
        <f t="shared" si="39"/>
        <v>925587.93482042896</v>
      </c>
      <c r="M632" s="114">
        <f t="shared" si="40"/>
        <v>1</v>
      </c>
      <c r="N632" s="114">
        <f t="shared" si="41"/>
        <v>0</v>
      </c>
      <c r="T632" s="12"/>
      <c r="U632" s="210"/>
      <c r="V632" s="13"/>
      <c r="W632" s="13"/>
      <c r="X632" s="13"/>
      <c r="Y632" s="13"/>
      <c r="Z632" s="13"/>
      <c r="AA632" s="13"/>
      <c r="AB632" s="13"/>
      <c r="AC632" s="13"/>
      <c r="AD632" s="13"/>
      <c r="AE632" s="13"/>
    </row>
    <row r="633" spans="1:31" ht="21" x14ac:dyDescent="0.4">
      <c r="A633" s="210"/>
      <c r="B633" s="108">
        <v>623</v>
      </c>
      <c r="C633" s="297">
        <v>2190.1757971091115</v>
      </c>
      <c r="D633" s="297">
        <v>2843.2239109302163</v>
      </c>
      <c r="E633" s="297">
        <v>18.958673527828523</v>
      </c>
      <c r="F633" s="297">
        <v>14.68767574090316</v>
      </c>
      <c r="G633" s="322">
        <v>-653.04811382110483</v>
      </c>
      <c r="H633" s="322">
        <v>4.2709977869253635</v>
      </c>
      <c r="I633" s="322">
        <v>-152.90293893859069</v>
      </c>
      <c r="K633" s="223">
        <f t="shared" si="39"/>
        <v>1135330.2358726023</v>
      </c>
      <c r="L633" s="223">
        <f t="shared" si="39"/>
        <v>878417.32054325938</v>
      </c>
      <c r="M633" s="114">
        <f t="shared" si="40"/>
        <v>1</v>
      </c>
      <c r="N633" s="114">
        <f t="shared" si="41"/>
        <v>0</v>
      </c>
      <c r="T633" s="12"/>
      <c r="U633" s="210"/>
      <c r="V633" s="13"/>
      <c r="W633" s="13"/>
      <c r="X633" s="13"/>
      <c r="Y633" s="13"/>
      <c r="Z633" s="13"/>
      <c r="AA633" s="13"/>
      <c r="AB633" s="13"/>
      <c r="AC633" s="13"/>
      <c r="AD633" s="13"/>
      <c r="AE633" s="13"/>
    </row>
    <row r="634" spans="1:31" ht="21" x14ac:dyDescent="0.4">
      <c r="A634" s="210"/>
      <c r="B634" s="108">
        <v>624</v>
      </c>
      <c r="C634" s="297">
        <v>2253.546629741988</v>
      </c>
      <c r="D634" s="297">
        <v>3066.1087478653535</v>
      </c>
      <c r="E634" s="297">
        <v>17.780726642662707</v>
      </c>
      <c r="F634" s="297">
        <v>12.635722772098788</v>
      </c>
      <c r="G634" s="322">
        <v>-812.56211812336551</v>
      </c>
      <c r="H634" s="322">
        <v>5.1450038705639187</v>
      </c>
      <c r="I634" s="322">
        <v>-157.93226566305859</v>
      </c>
      <c r="K634" s="223">
        <f t="shared" si="39"/>
        <v>1064590.0519300203</v>
      </c>
      <c r="L634" s="223">
        <f t="shared" si="39"/>
        <v>755077.25757806201</v>
      </c>
      <c r="M634" s="114">
        <f t="shared" si="40"/>
        <v>1</v>
      </c>
      <c r="N634" s="114">
        <f t="shared" si="41"/>
        <v>0</v>
      </c>
      <c r="T634" s="12"/>
      <c r="U634" s="210"/>
      <c r="V634" s="13"/>
      <c r="W634" s="13"/>
      <c r="X634" s="13"/>
      <c r="Y634" s="13"/>
      <c r="Z634" s="13"/>
      <c r="AA634" s="13"/>
      <c r="AB634" s="13"/>
      <c r="AC634" s="13"/>
      <c r="AD634" s="13"/>
      <c r="AE634" s="13"/>
    </row>
    <row r="635" spans="1:31" ht="21" x14ac:dyDescent="0.4">
      <c r="A635" s="210"/>
      <c r="B635" s="108">
        <v>625</v>
      </c>
      <c r="C635" s="297">
        <v>2129.1361488770067</v>
      </c>
      <c r="D635" s="297">
        <v>3144.8664251864484</v>
      </c>
      <c r="E635" s="297">
        <v>20.107988236424113</v>
      </c>
      <c r="F635" s="297">
        <v>14.894674662869271</v>
      </c>
      <c r="G635" s="322">
        <v>-1015.7302763094417</v>
      </c>
      <c r="H635" s="322">
        <v>5.2133135735548422</v>
      </c>
      <c r="I635" s="322">
        <v>-194.83391167219546</v>
      </c>
      <c r="K635" s="223">
        <f t="shared" si="39"/>
        <v>1204350.1580365698</v>
      </c>
      <c r="L635" s="223">
        <f t="shared" si="39"/>
        <v>890535.61334696983</v>
      </c>
      <c r="M635" s="114">
        <f t="shared" si="40"/>
        <v>1</v>
      </c>
      <c r="N635" s="114">
        <f t="shared" si="41"/>
        <v>0</v>
      </c>
      <c r="T635" s="12"/>
      <c r="U635" s="210"/>
      <c r="V635" s="13"/>
      <c r="W635" s="13"/>
      <c r="X635" s="13"/>
      <c r="Y635" s="13"/>
      <c r="Z635" s="13"/>
      <c r="AA635" s="13"/>
      <c r="AB635" s="13"/>
      <c r="AC635" s="13"/>
      <c r="AD635" s="13"/>
      <c r="AE635" s="13"/>
    </row>
    <row r="636" spans="1:31" ht="21" x14ac:dyDescent="0.4">
      <c r="A636" s="210"/>
      <c r="B636" s="108">
        <v>626</v>
      </c>
      <c r="C636" s="297">
        <v>1995.4755948577454</v>
      </c>
      <c r="D636" s="297">
        <v>2949.7061164787124</v>
      </c>
      <c r="E636" s="297">
        <v>20.752351915243157</v>
      </c>
      <c r="F636" s="297">
        <v>15.25193518134526</v>
      </c>
      <c r="G636" s="322">
        <v>-954.23052162096701</v>
      </c>
      <c r="H636" s="322">
        <v>5.5004167338978966</v>
      </c>
      <c r="I636" s="322">
        <v>-173.48331368062489</v>
      </c>
      <c r="K636" s="223">
        <f t="shared" si="39"/>
        <v>1243145.6393197316</v>
      </c>
      <c r="L636" s="223">
        <f t="shared" si="39"/>
        <v>912166.404764237</v>
      </c>
      <c r="M636" s="114">
        <f t="shared" si="40"/>
        <v>1</v>
      </c>
      <c r="N636" s="114">
        <f t="shared" si="41"/>
        <v>0</v>
      </c>
      <c r="T636" s="12"/>
      <c r="U636" s="210"/>
      <c r="V636" s="13"/>
      <c r="W636" s="13"/>
      <c r="X636" s="13"/>
      <c r="Y636" s="13"/>
      <c r="Z636" s="13"/>
      <c r="AA636" s="13"/>
      <c r="AB636" s="13"/>
      <c r="AC636" s="13"/>
      <c r="AD636" s="13"/>
      <c r="AE636" s="13"/>
    </row>
    <row r="637" spans="1:31" ht="21" x14ac:dyDescent="0.4">
      <c r="A637" s="210"/>
      <c r="B637" s="108">
        <v>627</v>
      </c>
      <c r="C637" s="297">
        <v>2735.8744486375249</v>
      </c>
      <c r="D637" s="297">
        <v>4369.1296238101404</v>
      </c>
      <c r="E637" s="297">
        <v>18.56667973455869</v>
      </c>
      <c r="F637" s="297">
        <v>12.304305313876059</v>
      </c>
      <c r="G637" s="322">
        <v>-1633.2551751726155</v>
      </c>
      <c r="H637" s="322">
        <v>6.2623744206826313</v>
      </c>
      <c r="I637" s="322">
        <v>-260.80445937222999</v>
      </c>
      <c r="K637" s="223">
        <f t="shared" si="39"/>
        <v>1111264.9096248839</v>
      </c>
      <c r="L637" s="223">
        <f t="shared" si="39"/>
        <v>733889.18920875329</v>
      </c>
      <c r="M637" s="114">
        <f t="shared" si="40"/>
        <v>1</v>
      </c>
      <c r="N637" s="114">
        <f t="shared" si="41"/>
        <v>0</v>
      </c>
      <c r="T637" s="12"/>
      <c r="U637" s="210"/>
      <c r="V637" s="13"/>
      <c r="W637" s="13"/>
      <c r="X637" s="13"/>
      <c r="Y637" s="13"/>
      <c r="Z637" s="13"/>
      <c r="AA637" s="13"/>
      <c r="AB637" s="13"/>
      <c r="AC637" s="13"/>
      <c r="AD637" s="13"/>
      <c r="AE637" s="13"/>
    </row>
    <row r="638" spans="1:31" ht="21" x14ac:dyDescent="0.4">
      <c r="A638" s="210"/>
      <c r="B638" s="108">
        <v>628</v>
      </c>
      <c r="C638" s="297">
        <v>1867.0154543867243</v>
      </c>
      <c r="D638" s="297">
        <v>3055.3563132120153</v>
      </c>
      <c r="E638" s="297">
        <v>17.79894990653931</v>
      </c>
      <c r="F638" s="297">
        <v>12.284633650783725</v>
      </c>
      <c r="G638" s="322">
        <v>-1188.340858825291</v>
      </c>
      <c r="H638" s="322">
        <v>5.5143162557555847</v>
      </c>
      <c r="I638" s="322">
        <v>-215.50103470851104</v>
      </c>
      <c r="K638" s="223">
        <f t="shared" si="39"/>
        <v>1066069.9789379719</v>
      </c>
      <c r="L638" s="223">
        <f t="shared" si="39"/>
        <v>734022.66273381154</v>
      </c>
      <c r="M638" s="114">
        <f t="shared" si="40"/>
        <v>1</v>
      </c>
      <c r="N638" s="114">
        <f t="shared" si="41"/>
        <v>0</v>
      </c>
      <c r="T638" s="12"/>
      <c r="U638" s="210"/>
      <c r="V638" s="13"/>
      <c r="W638" s="13"/>
      <c r="X638" s="13"/>
      <c r="Y638" s="13"/>
      <c r="Z638" s="13"/>
      <c r="AA638" s="13"/>
      <c r="AB638" s="13"/>
      <c r="AC638" s="13"/>
      <c r="AD638" s="13"/>
      <c r="AE638" s="13"/>
    </row>
    <row r="639" spans="1:31" ht="21" x14ac:dyDescent="0.4">
      <c r="A639" s="210"/>
      <c r="B639" s="108">
        <v>629</v>
      </c>
      <c r="C639" s="297">
        <v>2119.2610179405992</v>
      </c>
      <c r="D639" s="297">
        <v>2975.8621008561176</v>
      </c>
      <c r="E639" s="297">
        <v>17.81731737285584</v>
      </c>
      <c r="F639" s="297">
        <v>12.602033322574462</v>
      </c>
      <c r="G639" s="322">
        <v>-856.60108291551842</v>
      </c>
      <c r="H639" s="322">
        <v>5.2152840502813778</v>
      </c>
      <c r="I639" s="322">
        <v>-164.24821249559793</v>
      </c>
      <c r="K639" s="223">
        <f t="shared" si="39"/>
        <v>1066919.7813534096</v>
      </c>
      <c r="L639" s="223">
        <f t="shared" si="39"/>
        <v>753146.13725361158</v>
      </c>
      <c r="M639" s="114">
        <f t="shared" si="40"/>
        <v>1</v>
      </c>
      <c r="N639" s="114">
        <f t="shared" si="41"/>
        <v>0</v>
      </c>
      <c r="T639" s="12"/>
      <c r="U639" s="210"/>
      <c r="V639" s="13"/>
      <c r="W639" s="13"/>
      <c r="X639" s="13"/>
      <c r="Y639" s="13"/>
      <c r="Z639" s="13"/>
      <c r="AA639" s="13"/>
      <c r="AB639" s="13"/>
      <c r="AC639" s="13"/>
      <c r="AD639" s="13"/>
      <c r="AE639" s="13"/>
    </row>
    <row r="640" spans="1:31" ht="21" x14ac:dyDescent="0.4">
      <c r="A640" s="210"/>
      <c r="B640" s="108">
        <v>630</v>
      </c>
      <c r="C640" s="297">
        <v>2114.9524949803986</v>
      </c>
      <c r="D640" s="297">
        <v>2775.2175015991934</v>
      </c>
      <c r="E640" s="297">
        <v>16.38745370063279</v>
      </c>
      <c r="F640" s="297">
        <v>11.92187397940239</v>
      </c>
      <c r="G640" s="322">
        <v>-660.26500661879481</v>
      </c>
      <c r="H640" s="322">
        <v>4.4655797212303998</v>
      </c>
      <c r="I640" s="322">
        <v>-147.85650415773389</v>
      </c>
      <c r="K640" s="223">
        <f t="shared" si="39"/>
        <v>981132.26954298699</v>
      </c>
      <c r="L640" s="223">
        <f t="shared" si="39"/>
        <v>712537.22126254416</v>
      </c>
      <c r="M640" s="114">
        <f t="shared" si="40"/>
        <v>1</v>
      </c>
      <c r="N640" s="114">
        <f t="shared" si="41"/>
        <v>0</v>
      </c>
      <c r="T640" s="12"/>
      <c r="U640" s="210"/>
      <c r="V640" s="13"/>
      <c r="W640" s="13"/>
      <c r="X640" s="13"/>
      <c r="Y640" s="13"/>
      <c r="Z640" s="13"/>
      <c r="AA640" s="13"/>
      <c r="AB640" s="13"/>
      <c r="AC640" s="13"/>
      <c r="AD640" s="13"/>
      <c r="AE640" s="13"/>
    </row>
    <row r="641" spans="1:31" ht="21" x14ac:dyDescent="0.4">
      <c r="A641" s="210"/>
      <c r="B641" s="108">
        <v>631</v>
      </c>
      <c r="C641" s="297">
        <v>1869.5703040295202</v>
      </c>
      <c r="D641" s="297">
        <v>3097.1006740287612</v>
      </c>
      <c r="E641" s="297">
        <v>21.121206877576618</v>
      </c>
      <c r="F641" s="297">
        <v>15.931556570053647</v>
      </c>
      <c r="G641" s="322">
        <v>-1227.530369999241</v>
      </c>
      <c r="H641" s="322">
        <v>5.189650307522971</v>
      </c>
      <c r="I641" s="322">
        <v>-236.53431296127991</v>
      </c>
      <c r="K641" s="223">
        <f t="shared" si="39"/>
        <v>1265402.8423505675</v>
      </c>
      <c r="L641" s="223">
        <f t="shared" si="39"/>
        <v>952796.29352919012</v>
      </c>
      <c r="M641" s="114">
        <f t="shared" si="40"/>
        <v>1</v>
      </c>
      <c r="N641" s="114">
        <f t="shared" si="41"/>
        <v>0</v>
      </c>
      <c r="T641" s="12"/>
      <c r="U641" s="210"/>
      <c r="V641" s="13"/>
      <c r="W641" s="13"/>
      <c r="X641" s="13"/>
      <c r="Y641" s="13"/>
      <c r="Z641" s="13"/>
      <c r="AA641" s="13"/>
      <c r="AB641" s="13"/>
      <c r="AC641" s="13"/>
      <c r="AD641" s="13"/>
      <c r="AE641" s="13"/>
    </row>
    <row r="642" spans="1:31" ht="21" x14ac:dyDescent="0.4">
      <c r="A642" s="210"/>
      <c r="B642" s="108">
        <v>632</v>
      </c>
      <c r="C642" s="297">
        <v>2102.3891618499592</v>
      </c>
      <c r="D642" s="297">
        <v>3017.8679276414141</v>
      </c>
      <c r="E642" s="297">
        <v>18.253575515317152</v>
      </c>
      <c r="F642" s="297">
        <v>12.416547602185728</v>
      </c>
      <c r="G642" s="322">
        <v>-915.47876579145486</v>
      </c>
      <c r="H642" s="322">
        <v>5.8370279131314238</v>
      </c>
      <c r="I642" s="322">
        <v>-156.83988142868461</v>
      </c>
      <c r="K642" s="223">
        <f t="shared" si="39"/>
        <v>1093112.1417571793</v>
      </c>
      <c r="L642" s="223">
        <f t="shared" si="39"/>
        <v>741974.98820350238</v>
      </c>
      <c r="M642" s="114">
        <f t="shared" si="40"/>
        <v>1</v>
      </c>
      <c r="N642" s="114">
        <f t="shared" si="41"/>
        <v>0</v>
      </c>
      <c r="T642" s="12"/>
      <c r="U642" s="210"/>
      <c r="V642" s="13"/>
      <c r="W642" s="13"/>
      <c r="X642" s="13"/>
      <c r="Y642" s="13"/>
      <c r="Z642" s="13"/>
      <c r="AA642" s="13"/>
      <c r="AB642" s="13"/>
      <c r="AC642" s="13"/>
      <c r="AD642" s="13"/>
      <c r="AE642" s="13"/>
    </row>
    <row r="643" spans="1:31" ht="21" x14ac:dyDescent="0.4">
      <c r="A643" s="210"/>
      <c r="B643" s="108">
        <v>633</v>
      </c>
      <c r="C643" s="297">
        <v>2314.5036034300151</v>
      </c>
      <c r="D643" s="297">
        <v>2876.7750238465337</v>
      </c>
      <c r="E643" s="297">
        <v>20.287823721168525</v>
      </c>
      <c r="F643" s="297">
        <v>15.043174837578416</v>
      </c>
      <c r="G643" s="322">
        <v>-562.27142041651859</v>
      </c>
      <c r="H643" s="322">
        <v>5.2446488835901093</v>
      </c>
      <c r="I643" s="322">
        <v>-107.20859163247322</v>
      </c>
      <c r="K643" s="223">
        <f t="shared" si="39"/>
        <v>1214954.9196666814</v>
      </c>
      <c r="L643" s="223">
        <f t="shared" si="39"/>
        <v>899713.71523085842</v>
      </c>
      <c r="M643" s="114">
        <f t="shared" si="40"/>
        <v>1</v>
      </c>
      <c r="N643" s="114">
        <f t="shared" si="41"/>
        <v>0</v>
      </c>
      <c r="T643" s="12"/>
      <c r="U643" s="210"/>
      <c r="V643" s="13"/>
      <c r="W643" s="13"/>
      <c r="X643" s="13"/>
      <c r="Y643" s="13"/>
      <c r="Z643" s="13"/>
      <c r="AA643" s="13"/>
      <c r="AB643" s="13"/>
      <c r="AC643" s="13"/>
      <c r="AD643" s="13"/>
      <c r="AE643" s="13"/>
    </row>
    <row r="644" spans="1:31" ht="21" x14ac:dyDescent="0.4">
      <c r="A644" s="210"/>
      <c r="B644" s="108">
        <v>634</v>
      </c>
      <c r="C644" s="297">
        <v>1908.0600339100877</v>
      </c>
      <c r="D644" s="297">
        <v>3036.5309428164642</v>
      </c>
      <c r="E644" s="297">
        <v>18.870140038031359</v>
      </c>
      <c r="F644" s="297">
        <v>13.670771203582557</v>
      </c>
      <c r="G644" s="322">
        <v>-1128.4709089063765</v>
      </c>
      <c r="H644" s="322">
        <v>5.1993688344488014</v>
      </c>
      <c r="I644" s="322">
        <v>-217.03998020482973</v>
      </c>
      <c r="K644" s="223">
        <f t="shared" si="39"/>
        <v>1130300.3422479716</v>
      </c>
      <c r="L644" s="223">
        <f t="shared" si="39"/>
        <v>817209.74127213692</v>
      </c>
      <c r="M644" s="114">
        <f t="shared" si="40"/>
        <v>1</v>
      </c>
      <c r="N644" s="114">
        <f t="shared" si="41"/>
        <v>0</v>
      </c>
      <c r="T644" s="12"/>
      <c r="U644" s="210"/>
      <c r="V644" s="13"/>
      <c r="W644" s="13"/>
      <c r="X644" s="13"/>
      <c r="Y644" s="13"/>
      <c r="Z644" s="13"/>
      <c r="AA644" s="13"/>
      <c r="AB644" s="13"/>
      <c r="AC644" s="13"/>
      <c r="AD644" s="13"/>
      <c r="AE644" s="13"/>
    </row>
    <row r="645" spans="1:31" ht="21" x14ac:dyDescent="0.4">
      <c r="A645" s="210"/>
      <c r="B645" s="108">
        <v>635</v>
      </c>
      <c r="C645" s="297">
        <v>2128.7343935980289</v>
      </c>
      <c r="D645" s="297">
        <v>2740.73095745624</v>
      </c>
      <c r="E645" s="297">
        <v>18.575249756283547</v>
      </c>
      <c r="F645" s="297">
        <v>13.920245889928021</v>
      </c>
      <c r="G645" s="322">
        <v>-611.99656385821118</v>
      </c>
      <c r="H645" s="322">
        <v>4.6550038663555267</v>
      </c>
      <c r="I645" s="322">
        <v>-131.47068862422935</v>
      </c>
      <c r="K645" s="223">
        <f t="shared" si="39"/>
        <v>1112386.2509834147</v>
      </c>
      <c r="L645" s="223">
        <f t="shared" si="39"/>
        <v>832474.02243822499</v>
      </c>
      <c r="M645" s="114">
        <f t="shared" si="40"/>
        <v>1</v>
      </c>
      <c r="N645" s="114">
        <f t="shared" si="41"/>
        <v>0</v>
      </c>
      <c r="T645" s="12"/>
      <c r="U645" s="210"/>
      <c r="V645" s="13"/>
      <c r="W645" s="13"/>
      <c r="X645" s="13"/>
      <c r="Y645" s="13"/>
      <c r="Z645" s="13"/>
      <c r="AA645" s="13"/>
      <c r="AB645" s="13"/>
      <c r="AC645" s="13"/>
      <c r="AD645" s="13"/>
      <c r="AE645" s="13"/>
    </row>
    <row r="646" spans="1:31" ht="21" x14ac:dyDescent="0.4">
      <c r="A646" s="210"/>
      <c r="B646" s="108">
        <v>636</v>
      </c>
      <c r="C646" s="297">
        <v>2163.9815816961518</v>
      </c>
      <c r="D646" s="297">
        <v>3305.9225620215534</v>
      </c>
      <c r="E646" s="297">
        <v>20.426937407617849</v>
      </c>
      <c r="F646" s="297">
        <v>14.504236332375919</v>
      </c>
      <c r="G646" s="322">
        <v>-1141.9409803254016</v>
      </c>
      <c r="H646" s="322">
        <v>5.92270107524193</v>
      </c>
      <c r="I646" s="322">
        <v>-192.80746500932528</v>
      </c>
      <c r="K646" s="223">
        <f t="shared" si="39"/>
        <v>1223452.2628753749</v>
      </c>
      <c r="L646" s="223">
        <f t="shared" si="39"/>
        <v>866948.25738053361</v>
      </c>
      <c r="M646" s="114">
        <f t="shared" si="40"/>
        <v>1</v>
      </c>
      <c r="N646" s="114">
        <f t="shared" si="41"/>
        <v>0</v>
      </c>
      <c r="T646" s="12"/>
      <c r="U646" s="210"/>
      <c r="V646" s="13"/>
      <c r="W646" s="13"/>
      <c r="X646" s="13"/>
      <c r="Y646" s="13"/>
      <c r="Z646" s="13"/>
      <c r="AA646" s="13"/>
      <c r="AB646" s="13"/>
      <c r="AC646" s="13"/>
      <c r="AD646" s="13"/>
      <c r="AE646" s="13"/>
    </row>
    <row r="647" spans="1:31" ht="21" x14ac:dyDescent="0.4">
      <c r="A647" s="210"/>
      <c r="B647" s="108">
        <v>637</v>
      </c>
      <c r="C647" s="297">
        <v>2103.2072357238699</v>
      </c>
      <c r="D647" s="297">
        <v>3216.9363463730833</v>
      </c>
      <c r="E647" s="297">
        <v>18.488531746477243</v>
      </c>
      <c r="F647" s="297">
        <v>12.673493191645303</v>
      </c>
      <c r="G647" s="322">
        <v>-1113.7291106492135</v>
      </c>
      <c r="H647" s="322">
        <v>5.8150385548319399</v>
      </c>
      <c r="I647" s="322">
        <v>-191.52566232321416</v>
      </c>
      <c r="K647" s="223">
        <f t="shared" si="39"/>
        <v>1107208.6975529105</v>
      </c>
      <c r="L647" s="223">
        <f t="shared" si="39"/>
        <v>757192.65515234508</v>
      </c>
      <c r="M647" s="114">
        <f t="shared" si="40"/>
        <v>1</v>
      </c>
      <c r="N647" s="114">
        <f t="shared" si="41"/>
        <v>0</v>
      </c>
      <c r="T647" s="12"/>
      <c r="U647" s="210"/>
      <c r="V647" s="13"/>
      <c r="W647" s="13"/>
      <c r="X647" s="13"/>
      <c r="Y647" s="13"/>
      <c r="Z647" s="13"/>
      <c r="AA647" s="13"/>
      <c r="AB647" s="13"/>
      <c r="AC647" s="13"/>
      <c r="AD647" s="13"/>
      <c r="AE647" s="13"/>
    </row>
    <row r="648" spans="1:31" ht="21" x14ac:dyDescent="0.4">
      <c r="A648" s="210"/>
      <c r="B648" s="108">
        <v>638</v>
      </c>
      <c r="C648" s="297">
        <v>1749.4443317019038</v>
      </c>
      <c r="D648" s="297">
        <v>3136.7642194251684</v>
      </c>
      <c r="E648" s="297">
        <v>15.420867582119911</v>
      </c>
      <c r="F648" s="297">
        <v>11.11128041030598</v>
      </c>
      <c r="G648" s="322">
        <v>-1387.3198877232646</v>
      </c>
      <c r="H648" s="322">
        <v>4.3095871718139307</v>
      </c>
      <c r="I648" s="322">
        <v>-321.91479889228776</v>
      </c>
      <c r="K648" s="223">
        <f t="shared" si="39"/>
        <v>923502.61059549265</v>
      </c>
      <c r="L648" s="223">
        <f t="shared" si="39"/>
        <v>663540.06039893371</v>
      </c>
      <c r="M648" s="114">
        <f t="shared" si="40"/>
        <v>1</v>
      </c>
      <c r="N648" s="114">
        <f t="shared" si="41"/>
        <v>0</v>
      </c>
      <c r="T648" s="12"/>
      <c r="U648" s="210"/>
      <c r="V648" s="13"/>
      <c r="W648" s="13"/>
      <c r="X648" s="13"/>
      <c r="Y648" s="13"/>
      <c r="Z648" s="13"/>
      <c r="AA648" s="13"/>
      <c r="AB648" s="13"/>
      <c r="AC648" s="13"/>
      <c r="AD648" s="13"/>
      <c r="AE648" s="13"/>
    </row>
    <row r="649" spans="1:31" ht="21" x14ac:dyDescent="0.4">
      <c r="A649" s="210"/>
      <c r="B649" s="108">
        <v>639</v>
      </c>
      <c r="C649" s="297">
        <v>2195.6583608856586</v>
      </c>
      <c r="D649" s="297">
        <v>3087.1458425202181</v>
      </c>
      <c r="E649" s="297">
        <v>18.489251063671624</v>
      </c>
      <c r="F649" s="297">
        <v>12.943729601077319</v>
      </c>
      <c r="G649" s="322">
        <v>-891.48748163455957</v>
      </c>
      <c r="H649" s="322">
        <v>5.545521462594305</v>
      </c>
      <c r="I649" s="322">
        <v>-160.75809779978817</v>
      </c>
      <c r="K649" s="223">
        <f t="shared" si="39"/>
        <v>1107159.4054594117</v>
      </c>
      <c r="L649" s="223">
        <f t="shared" si="39"/>
        <v>773536.63022211893</v>
      </c>
      <c r="M649" s="114">
        <f t="shared" si="40"/>
        <v>1</v>
      </c>
      <c r="N649" s="114">
        <f t="shared" si="41"/>
        <v>0</v>
      </c>
      <c r="T649" s="12"/>
      <c r="U649" s="210"/>
      <c r="V649" s="13"/>
      <c r="W649" s="13"/>
      <c r="X649" s="13"/>
      <c r="Y649" s="13"/>
      <c r="Z649" s="13"/>
      <c r="AA649" s="13"/>
      <c r="AB649" s="13"/>
      <c r="AC649" s="13"/>
      <c r="AD649" s="13"/>
      <c r="AE649" s="13"/>
    </row>
    <row r="650" spans="1:31" ht="21" x14ac:dyDescent="0.4">
      <c r="A650" s="210"/>
      <c r="B650" s="108">
        <v>640</v>
      </c>
      <c r="C650" s="297">
        <v>1862.1849455335205</v>
      </c>
      <c r="D650" s="297">
        <v>3075.3541813607103</v>
      </c>
      <c r="E650" s="297">
        <v>20.148235952489411</v>
      </c>
      <c r="F650" s="297">
        <v>14.970992969606469</v>
      </c>
      <c r="G650" s="322">
        <v>-1213.1692358271898</v>
      </c>
      <c r="H650" s="322">
        <v>5.1772429828829427</v>
      </c>
      <c r="I650" s="322">
        <v>-234.32727415695635</v>
      </c>
      <c r="K650" s="223">
        <f t="shared" si="39"/>
        <v>1207031.9722038312</v>
      </c>
      <c r="L650" s="223">
        <f t="shared" si="39"/>
        <v>895184.22399502748</v>
      </c>
      <c r="M650" s="114">
        <f t="shared" si="40"/>
        <v>1</v>
      </c>
      <c r="N650" s="114">
        <f t="shared" si="41"/>
        <v>0</v>
      </c>
      <c r="T650" s="12"/>
      <c r="U650" s="210"/>
      <c r="V650" s="13"/>
      <c r="W650" s="13"/>
      <c r="X650" s="13"/>
      <c r="Y650" s="13"/>
      <c r="Z650" s="13"/>
      <c r="AA650" s="13"/>
      <c r="AB650" s="13"/>
      <c r="AC650" s="13"/>
      <c r="AD650" s="13"/>
      <c r="AE650" s="13"/>
    </row>
    <row r="651" spans="1:31" ht="21" x14ac:dyDescent="0.4">
      <c r="A651" s="210"/>
      <c r="B651" s="108">
        <v>641</v>
      </c>
      <c r="C651" s="297">
        <v>2109.4010725426806</v>
      </c>
      <c r="D651" s="297">
        <v>3132.2845277231254</v>
      </c>
      <c r="E651" s="297">
        <v>19.828230140854988</v>
      </c>
      <c r="F651" s="297">
        <v>14.790020543649215</v>
      </c>
      <c r="G651" s="322">
        <v>-1022.8834551804448</v>
      </c>
      <c r="H651" s="322">
        <v>5.038209597205773</v>
      </c>
      <c r="I651" s="322">
        <v>-203.02518889800521</v>
      </c>
      <c r="K651" s="223">
        <f t="shared" si="39"/>
        <v>1187584.4073787567</v>
      </c>
      <c r="L651" s="223">
        <f t="shared" si="39"/>
        <v>884268.94809122977</v>
      </c>
      <c r="M651" s="114">
        <f t="shared" si="40"/>
        <v>1</v>
      </c>
      <c r="N651" s="114">
        <f t="shared" si="41"/>
        <v>0</v>
      </c>
      <c r="T651" s="12"/>
      <c r="U651" s="210"/>
      <c r="V651" s="13"/>
      <c r="W651" s="13"/>
      <c r="X651" s="13"/>
      <c r="Y651" s="13"/>
      <c r="Z651" s="13"/>
      <c r="AA651" s="13"/>
      <c r="AB651" s="13"/>
      <c r="AC651" s="13"/>
      <c r="AD651" s="13"/>
      <c r="AE651" s="13"/>
    </row>
    <row r="652" spans="1:31" ht="21" x14ac:dyDescent="0.4">
      <c r="A652" s="210"/>
      <c r="B652" s="108">
        <v>642</v>
      </c>
      <c r="C652" s="297">
        <v>2061.5923007327392</v>
      </c>
      <c r="D652" s="297">
        <v>3392.7138012422897</v>
      </c>
      <c r="E652" s="297">
        <v>20.407143830002216</v>
      </c>
      <c r="F652" s="297">
        <v>15.138768233638725</v>
      </c>
      <c r="G652" s="322">
        <v>-1331.1215005095505</v>
      </c>
      <c r="H652" s="322">
        <v>5.2683755963634908</v>
      </c>
      <c r="I652" s="322">
        <v>-252.66260466098134</v>
      </c>
      <c r="K652" s="223">
        <f t="shared" ref="K652:L715" si="43">E652*$N$4-C652</f>
        <v>1222367.0374994001</v>
      </c>
      <c r="L652" s="223">
        <f t="shared" si="43"/>
        <v>904933.38021708117</v>
      </c>
      <c r="M652" s="114">
        <f t="shared" ref="M652:M715" si="44">IF(MAX(K652:L652)=K652,1,0)</f>
        <v>1</v>
      </c>
      <c r="N652" s="114">
        <f t="shared" ref="N652:N715" si="45">IF(MAX(K652:L652)=L652,1,0)</f>
        <v>0</v>
      </c>
      <c r="T652" s="12"/>
      <c r="U652" s="210"/>
      <c r="V652" s="13"/>
      <c r="W652" s="13"/>
      <c r="X652" s="13"/>
      <c r="Y652" s="13"/>
      <c r="Z652" s="13"/>
      <c r="AA652" s="13"/>
      <c r="AB652" s="13"/>
      <c r="AC652" s="13"/>
      <c r="AD652" s="13"/>
      <c r="AE652" s="13"/>
    </row>
    <row r="653" spans="1:31" ht="21" x14ac:dyDescent="0.4">
      <c r="A653" s="210"/>
      <c r="B653" s="108">
        <v>643</v>
      </c>
      <c r="C653" s="297">
        <v>2050.5327474563242</v>
      </c>
      <c r="D653" s="297">
        <v>2604.0756420916887</v>
      </c>
      <c r="E653" s="297">
        <v>19.236744027817672</v>
      </c>
      <c r="F653" s="297">
        <v>13.80280137453493</v>
      </c>
      <c r="G653" s="322">
        <v>-553.54289463536452</v>
      </c>
      <c r="H653" s="322">
        <v>5.4339426532827417</v>
      </c>
      <c r="I653" s="322">
        <v>-101.86763643907051</v>
      </c>
      <c r="K653" s="223">
        <f t="shared" si="43"/>
        <v>1152154.108921604</v>
      </c>
      <c r="L653" s="223">
        <f t="shared" si="43"/>
        <v>825564.00683000416</v>
      </c>
      <c r="M653" s="114">
        <f t="shared" si="44"/>
        <v>1</v>
      </c>
      <c r="N653" s="114">
        <f t="shared" si="45"/>
        <v>0</v>
      </c>
      <c r="T653" s="12"/>
      <c r="U653" s="210"/>
      <c r="V653" s="13"/>
      <c r="W653" s="13"/>
      <c r="X653" s="13"/>
      <c r="Y653" s="13"/>
      <c r="Z653" s="13"/>
      <c r="AA653" s="13"/>
      <c r="AB653" s="13"/>
      <c r="AC653" s="13"/>
      <c r="AD653" s="13"/>
      <c r="AE653" s="13"/>
    </row>
    <row r="654" spans="1:31" ht="21" x14ac:dyDescent="0.4">
      <c r="A654" s="210"/>
      <c r="B654" s="108">
        <v>644</v>
      </c>
      <c r="C654" s="297">
        <v>2097.5366685184472</v>
      </c>
      <c r="D654" s="297">
        <v>2894.5909657630345</v>
      </c>
      <c r="E654" s="297">
        <v>19.866231528310763</v>
      </c>
      <c r="F654" s="297">
        <v>14.615223094520957</v>
      </c>
      <c r="G654" s="322">
        <v>-797.05429724458736</v>
      </c>
      <c r="H654" s="322">
        <v>5.2510084337898064</v>
      </c>
      <c r="I654" s="322">
        <v>-151.79070978359292</v>
      </c>
      <c r="K654" s="223">
        <f t="shared" si="43"/>
        <v>1189876.3550301273</v>
      </c>
      <c r="L654" s="223">
        <f t="shared" si="43"/>
        <v>874018.79470549431</v>
      </c>
      <c r="M654" s="114">
        <f t="shared" si="44"/>
        <v>1</v>
      </c>
      <c r="N654" s="114">
        <f t="shared" si="45"/>
        <v>0</v>
      </c>
      <c r="T654" s="12"/>
      <c r="U654" s="210"/>
      <c r="V654" s="13"/>
      <c r="W654" s="13"/>
      <c r="X654" s="13"/>
      <c r="Y654" s="13"/>
      <c r="Z654" s="13"/>
      <c r="AA654" s="13"/>
      <c r="AB654" s="13"/>
      <c r="AC654" s="13"/>
      <c r="AD654" s="13"/>
      <c r="AE654" s="13"/>
    </row>
    <row r="655" spans="1:31" ht="21" x14ac:dyDescent="0.4">
      <c r="A655" s="210"/>
      <c r="B655" s="108">
        <v>645</v>
      </c>
      <c r="C655" s="297">
        <v>2096.7293483527947</v>
      </c>
      <c r="D655" s="297">
        <v>3063.0635139564065</v>
      </c>
      <c r="E655" s="297">
        <v>18.449738688265427</v>
      </c>
      <c r="F655" s="297">
        <v>13.623200556503852</v>
      </c>
      <c r="G655" s="322">
        <v>-966.33416560361184</v>
      </c>
      <c r="H655" s="322">
        <v>4.8265381317615752</v>
      </c>
      <c r="I655" s="322">
        <v>-200.21268644798258</v>
      </c>
      <c r="K655" s="223">
        <f t="shared" si="43"/>
        <v>1104887.5919475728</v>
      </c>
      <c r="L655" s="223">
        <f t="shared" si="43"/>
        <v>814328.9698762747</v>
      </c>
      <c r="M655" s="114">
        <f t="shared" si="44"/>
        <v>1</v>
      </c>
      <c r="N655" s="114">
        <f t="shared" si="45"/>
        <v>0</v>
      </c>
      <c r="T655" s="12"/>
      <c r="U655" s="210"/>
      <c r="V655" s="13"/>
      <c r="W655" s="13"/>
      <c r="X655" s="13"/>
      <c r="Y655" s="13"/>
      <c r="Z655" s="13"/>
      <c r="AA655" s="13"/>
      <c r="AB655" s="13"/>
      <c r="AC655" s="13"/>
      <c r="AD655" s="13"/>
      <c r="AE655" s="13"/>
    </row>
    <row r="656" spans="1:31" ht="21" x14ac:dyDescent="0.4">
      <c r="A656" s="210"/>
      <c r="B656" s="108">
        <v>646</v>
      </c>
      <c r="C656" s="297">
        <v>2066.9015084594521</v>
      </c>
      <c r="D656" s="297">
        <v>2704.6576125241909</v>
      </c>
      <c r="E656" s="297">
        <v>18.816720622537236</v>
      </c>
      <c r="F656" s="297">
        <v>15.049573446980059</v>
      </c>
      <c r="G656" s="322">
        <v>-637.75610406473879</v>
      </c>
      <c r="H656" s="322">
        <v>3.7671471755571773</v>
      </c>
      <c r="I656" s="322">
        <v>-169.29418319591187</v>
      </c>
      <c r="K656" s="223">
        <f t="shared" si="43"/>
        <v>1126936.3358437747</v>
      </c>
      <c r="L656" s="223">
        <f t="shared" si="43"/>
        <v>900269.74920627929</v>
      </c>
      <c r="M656" s="114">
        <f t="shared" si="44"/>
        <v>1</v>
      </c>
      <c r="N656" s="114">
        <f t="shared" si="45"/>
        <v>0</v>
      </c>
      <c r="T656" s="12"/>
      <c r="U656" s="210"/>
      <c r="V656" s="13"/>
      <c r="W656" s="13"/>
      <c r="X656" s="13"/>
      <c r="Y656" s="13"/>
      <c r="Z656" s="13"/>
      <c r="AA656" s="13"/>
      <c r="AB656" s="13"/>
      <c r="AC656" s="13"/>
      <c r="AD656" s="13"/>
      <c r="AE656" s="13"/>
    </row>
    <row r="657" spans="1:31" ht="21" x14ac:dyDescent="0.4">
      <c r="A657" s="210"/>
      <c r="B657" s="108">
        <v>647</v>
      </c>
      <c r="C657" s="297">
        <v>1926.44798470158</v>
      </c>
      <c r="D657" s="297">
        <v>2868.2861270074345</v>
      </c>
      <c r="E657" s="297">
        <v>17.252206460596565</v>
      </c>
      <c r="F657" s="297">
        <v>11.734838983512214</v>
      </c>
      <c r="G657" s="322">
        <v>-941.83814230585449</v>
      </c>
      <c r="H657" s="322">
        <v>5.5173674770843508</v>
      </c>
      <c r="I657" s="322">
        <v>-170.7042618092149</v>
      </c>
      <c r="K657" s="223">
        <f t="shared" si="43"/>
        <v>1033205.9396510923</v>
      </c>
      <c r="L657" s="223">
        <f t="shared" si="43"/>
        <v>701222.05288372538</v>
      </c>
      <c r="M657" s="114">
        <f t="shared" si="44"/>
        <v>1</v>
      </c>
      <c r="N657" s="114">
        <f t="shared" si="45"/>
        <v>0</v>
      </c>
      <c r="T657" s="12"/>
      <c r="U657" s="210"/>
      <c r="V657" s="13"/>
      <c r="W657" s="13"/>
      <c r="X657" s="13"/>
      <c r="Y657" s="13"/>
      <c r="Z657" s="13"/>
      <c r="AA657" s="13"/>
      <c r="AB657" s="13"/>
      <c r="AC657" s="13"/>
      <c r="AD657" s="13"/>
      <c r="AE657" s="13"/>
    </row>
    <row r="658" spans="1:31" ht="21" x14ac:dyDescent="0.4">
      <c r="A658" s="210"/>
      <c r="B658" s="108">
        <v>648</v>
      </c>
      <c r="C658" s="297">
        <v>1920.6702626850888</v>
      </c>
      <c r="D658" s="297">
        <v>2690.6585848174823</v>
      </c>
      <c r="E658" s="297">
        <v>19.481586302094485</v>
      </c>
      <c r="F658" s="297">
        <v>14.148608864406389</v>
      </c>
      <c r="G658" s="322">
        <v>-769.98832213239348</v>
      </c>
      <c r="H658" s="322">
        <v>5.3329774376880952</v>
      </c>
      <c r="I658" s="322">
        <v>-144.38244510297272</v>
      </c>
      <c r="K658" s="223">
        <f t="shared" si="43"/>
        <v>1166974.507862984</v>
      </c>
      <c r="L658" s="223">
        <f t="shared" si="43"/>
        <v>846225.87327956595</v>
      </c>
      <c r="M658" s="114">
        <f t="shared" si="44"/>
        <v>1</v>
      </c>
      <c r="N658" s="114">
        <f t="shared" si="45"/>
        <v>0</v>
      </c>
      <c r="T658" s="12"/>
      <c r="U658" s="210"/>
      <c r="V658" s="13"/>
      <c r="W658" s="13"/>
      <c r="X658" s="13"/>
      <c r="Y658" s="13"/>
      <c r="Z658" s="13"/>
      <c r="AA658" s="13"/>
      <c r="AB658" s="13"/>
      <c r="AC658" s="13"/>
      <c r="AD658" s="13"/>
      <c r="AE658" s="13"/>
    </row>
    <row r="659" spans="1:31" ht="21" x14ac:dyDescent="0.4">
      <c r="A659" s="210"/>
      <c r="B659" s="108">
        <v>649</v>
      </c>
      <c r="C659" s="297">
        <v>2090.7637261119721</v>
      </c>
      <c r="D659" s="297">
        <v>2827.9515828463927</v>
      </c>
      <c r="E659" s="297">
        <v>19.487912150767162</v>
      </c>
      <c r="F659" s="297">
        <v>15.229440244221893</v>
      </c>
      <c r="G659" s="322">
        <v>-737.18785673442062</v>
      </c>
      <c r="H659" s="322">
        <v>4.2584719065452692</v>
      </c>
      <c r="I659" s="322">
        <v>-173.11088881468567</v>
      </c>
      <c r="K659" s="223">
        <f t="shared" si="43"/>
        <v>1167183.9653199178</v>
      </c>
      <c r="L659" s="223">
        <f t="shared" si="43"/>
        <v>910938.46307046723</v>
      </c>
      <c r="M659" s="114">
        <f t="shared" si="44"/>
        <v>1</v>
      </c>
      <c r="N659" s="114">
        <f t="shared" si="45"/>
        <v>0</v>
      </c>
      <c r="T659" s="12"/>
      <c r="U659" s="210"/>
      <c r="V659" s="13"/>
      <c r="W659" s="13"/>
      <c r="X659" s="13"/>
      <c r="Y659" s="13"/>
      <c r="Z659" s="13"/>
      <c r="AA659" s="13"/>
      <c r="AB659" s="13"/>
      <c r="AC659" s="13"/>
      <c r="AD659" s="13"/>
      <c r="AE659" s="13"/>
    </row>
    <row r="660" spans="1:31" ht="21" x14ac:dyDescent="0.4">
      <c r="A660" s="210"/>
      <c r="B660" s="108">
        <v>650</v>
      </c>
      <c r="C660" s="297">
        <v>1889.8776570850007</v>
      </c>
      <c r="D660" s="297">
        <v>3261.7278103220028</v>
      </c>
      <c r="E660" s="297">
        <v>18.799238011590621</v>
      </c>
      <c r="F660" s="297">
        <v>13.522285831541291</v>
      </c>
      <c r="G660" s="322">
        <v>-1371.8501532370021</v>
      </c>
      <c r="H660" s="322">
        <v>5.2769521800493298</v>
      </c>
      <c r="I660" s="322">
        <v>-259.97016960350356</v>
      </c>
      <c r="K660" s="223">
        <f t="shared" si="43"/>
        <v>1126064.4030383523</v>
      </c>
      <c r="L660" s="223">
        <f t="shared" si="43"/>
        <v>808075.42208215548</v>
      </c>
      <c r="M660" s="114">
        <f t="shared" si="44"/>
        <v>1</v>
      </c>
      <c r="N660" s="114">
        <f t="shared" si="45"/>
        <v>0</v>
      </c>
      <c r="T660" s="12"/>
      <c r="U660" s="210"/>
      <c r="V660" s="13"/>
      <c r="W660" s="13"/>
      <c r="X660" s="13"/>
      <c r="Y660" s="13"/>
      <c r="Z660" s="13"/>
      <c r="AA660" s="13"/>
      <c r="AB660" s="13"/>
      <c r="AC660" s="13"/>
      <c r="AD660" s="13"/>
      <c r="AE660" s="13"/>
    </row>
    <row r="661" spans="1:31" ht="21" x14ac:dyDescent="0.4">
      <c r="A661" s="210"/>
      <c r="B661" s="108">
        <v>651</v>
      </c>
      <c r="C661" s="297">
        <v>2062.1670689650446</v>
      </c>
      <c r="D661" s="297">
        <v>2800.8860745935694</v>
      </c>
      <c r="E661" s="297">
        <v>18.789293527793646</v>
      </c>
      <c r="F661" s="297">
        <v>14.035299170547518</v>
      </c>
      <c r="G661" s="322">
        <v>-738.71900562852488</v>
      </c>
      <c r="H661" s="322">
        <v>4.7539943572461283</v>
      </c>
      <c r="I661" s="322">
        <v>-155.38912125601399</v>
      </c>
      <c r="K661" s="223">
        <f t="shared" si="43"/>
        <v>1125295.4445986538</v>
      </c>
      <c r="L661" s="223">
        <f t="shared" si="43"/>
        <v>839317.06415825756</v>
      </c>
      <c r="M661" s="114">
        <f t="shared" si="44"/>
        <v>1</v>
      </c>
      <c r="N661" s="114">
        <f t="shared" si="45"/>
        <v>0</v>
      </c>
      <c r="T661" s="12"/>
      <c r="U661" s="210"/>
      <c r="V661" s="13"/>
      <c r="W661" s="13"/>
      <c r="X661" s="13"/>
      <c r="Y661" s="13"/>
      <c r="Z661" s="13"/>
      <c r="AA661" s="13"/>
      <c r="AB661" s="13"/>
      <c r="AC661" s="13"/>
      <c r="AD661" s="13"/>
      <c r="AE661" s="13"/>
    </row>
    <row r="662" spans="1:31" ht="21" x14ac:dyDescent="0.4">
      <c r="A662" s="210"/>
      <c r="B662" s="108">
        <v>652</v>
      </c>
      <c r="C662" s="297">
        <v>2039.0123834677336</v>
      </c>
      <c r="D662" s="297">
        <v>2518.7314291790208</v>
      </c>
      <c r="E662" s="297">
        <v>19.373493889293766</v>
      </c>
      <c r="F662" s="297">
        <v>14.096984623717024</v>
      </c>
      <c r="G662" s="322">
        <v>-479.71904571128721</v>
      </c>
      <c r="H662" s="322">
        <v>5.2765092655767418</v>
      </c>
      <c r="I662" s="322">
        <v>-90.915986605180763</v>
      </c>
      <c r="K662" s="223">
        <f t="shared" si="43"/>
        <v>1160370.6209741582</v>
      </c>
      <c r="L662" s="223">
        <f t="shared" si="43"/>
        <v>843300.34599384246</v>
      </c>
      <c r="M662" s="114">
        <f t="shared" si="44"/>
        <v>1</v>
      </c>
      <c r="N662" s="114">
        <f t="shared" si="45"/>
        <v>0</v>
      </c>
      <c r="T662" s="12"/>
      <c r="U662" s="210"/>
      <c r="V662" s="13"/>
      <c r="W662" s="13"/>
      <c r="X662" s="13"/>
      <c r="Y662" s="13"/>
      <c r="Z662" s="13"/>
      <c r="AA662" s="13"/>
      <c r="AB662" s="13"/>
      <c r="AC662" s="13"/>
      <c r="AD662" s="13"/>
      <c r="AE662" s="13"/>
    </row>
    <row r="663" spans="1:31" ht="21" x14ac:dyDescent="0.4">
      <c r="A663" s="210"/>
      <c r="B663" s="108">
        <v>653</v>
      </c>
      <c r="C663" s="297">
        <v>1993.05516238516</v>
      </c>
      <c r="D663" s="297">
        <v>2519.2498214295792</v>
      </c>
      <c r="E663" s="297">
        <v>19.567030007375273</v>
      </c>
      <c r="F663" s="297">
        <v>14.496144380130993</v>
      </c>
      <c r="G663" s="322">
        <v>-526.19465904441927</v>
      </c>
      <c r="H663" s="322">
        <v>5.0708856272442802</v>
      </c>
      <c r="I663" s="322">
        <v>-103.76780265311845</v>
      </c>
      <c r="K663" s="223">
        <f t="shared" si="43"/>
        <v>1172028.7452801312</v>
      </c>
      <c r="L663" s="223">
        <f t="shared" si="43"/>
        <v>867249.41298642999</v>
      </c>
      <c r="M663" s="114">
        <f t="shared" si="44"/>
        <v>1</v>
      </c>
      <c r="N663" s="114">
        <f t="shared" si="45"/>
        <v>0</v>
      </c>
      <c r="T663" s="12"/>
      <c r="U663" s="210"/>
      <c r="V663" s="13"/>
      <c r="W663" s="13"/>
      <c r="X663" s="13"/>
      <c r="Y663" s="13"/>
      <c r="Z663" s="13"/>
      <c r="AA663" s="13"/>
      <c r="AB663" s="13"/>
      <c r="AC663" s="13"/>
      <c r="AD663" s="13"/>
      <c r="AE663" s="13"/>
    </row>
    <row r="664" spans="1:31" ht="21" x14ac:dyDescent="0.4">
      <c r="A664" s="210"/>
      <c r="B664" s="108">
        <v>654</v>
      </c>
      <c r="C664" s="297">
        <v>1882.8641190684791</v>
      </c>
      <c r="D664" s="297">
        <v>2701.0278984853712</v>
      </c>
      <c r="E664" s="297">
        <v>17.450989300620826</v>
      </c>
      <c r="F664" s="297">
        <v>12.697243679912381</v>
      </c>
      <c r="G664" s="322">
        <v>-818.16377941689211</v>
      </c>
      <c r="H664" s="322">
        <v>4.753745620708445</v>
      </c>
      <c r="I664" s="322">
        <v>-172.10928911567677</v>
      </c>
      <c r="K664" s="223">
        <f t="shared" si="43"/>
        <v>1045176.493918181</v>
      </c>
      <c r="L664" s="223">
        <f t="shared" si="43"/>
        <v>759133.59289625741</v>
      </c>
      <c r="M664" s="114">
        <f t="shared" si="44"/>
        <v>1</v>
      </c>
      <c r="N664" s="114">
        <f t="shared" si="45"/>
        <v>0</v>
      </c>
      <c r="T664" s="12"/>
      <c r="U664" s="210"/>
      <c r="V664" s="13"/>
      <c r="W664" s="13"/>
      <c r="X664" s="13"/>
      <c r="Y664" s="13"/>
      <c r="Z664" s="13"/>
      <c r="AA664" s="13"/>
      <c r="AB664" s="13"/>
      <c r="AC664" s="13"/>
      <c r="AD664" s="13"/>
      <c r="AE664" s="13"/>
    </row>
    <row r="665" spans="1:31" ht="21" x14ac:dyDescent="0.4">
      <c r="A665" s="210"/>
      <c r="B665" s="108">
        <v>655</v>
      </c>
      <c r="C665" s="297">
        <v>2024.7543973729723</v>
      </c>
      <c r="D665" s="297">
        <v>2903.6338870023023</v>
      </c>
      <c r="E665" s="297">
        <v>20.483492785349981</v>
      </c>
      <c r="F665" s="297">
        <v>15.306944577445019</v>
      </c>
      <c r="G665" s="322">
        <v>-878.87948962933001</v>
      </c>
      <c r="H665" s="322">
        <v>5.1765482079049612</v>
      </c>
      <c r="I665" s="322">
        <v>-169.7809919527491</v>
      </c>
      <c r="K665" s="223">
        <f t="shared" si="43"/>
        <v>1226984.8127236259</v>
      </c>
      <c r="L665" s="223">
        <f t="shared" si="43"/>
        <v>915513.04075969895</v>
      </c>
      <c r="M665" s="114">
        <f t="shared" si="44"/>
        <v>1</v>
      </c>
      <c r="N665" s="114">
        <f t="shared" si="45"/>
        <v>0</v>
      </c>
      <c r="T665" s="12"/>
      <c r="U665" s="210"/>
      <c r="V665" s="13"/>
      <c r="W665" s="13"/>
      <c r="X665" s="13"/>
      <c r="Y665" s="13"/>
      <c r="Z665" s="13"/>
      <c r="AA665" s="13"/>
      <c r="AB665" s="13"/>
      <c r="AC665" s="13"/>
      <c r="AD665" s="13"/>
      <c r="AE665" s="13"/>
    </row>
    <row r="666" spans="1:31" ht="21" x14ac:dyDescent="0.4">
      <c r="A666" s="210"/>
      <c r="B666" s="108">
        <v>656</v>
      </c>
      <c r="C666" s="297">
        <v>2065.2677704071034</v>
      </c>
      <c r="D666" s="297">
        <v>3380.3910058047336</v>
      </c>
      <c r="E666" s="297">
        <v>21.233956229465939</v>
      </c>
      <c r="F666" s="297">
        <v>15.309890729716995</v>
      </c>
      <c r="G666" s="322">
        <v>-1315.1232353976302</v>
      </c>
      <c r="H666" s="322">
        <v>5.9240654997489433</v>
      </c>
      <c r="I666" s="322">
        <v>-221.99674116590438</v>
      </c>
      <c r="K666" s="223">
        <f t="shared" si="43"/>
        <v>1271972.1059975494</v>
      </c>
      <c r="L666" s="223">
        <f t="shared" si="43"/>
        <v>915213.05277721502</v>
      </c>
      <c r="M666" s="114">
        <f t="shared" si="44"/>
        <v>1</v>
      </c>
      <c r="N666" s="114">
        <f t="shared" si="45"/>
        <v>0</v>
      </c>
      <c r="T666" s="12"/>
      <c r="U666" s="210"/>
      <c r="V666" s="13"/>
      <c r="W666" s="13"/>
      <c r="X666" s="13"/>
      <c r="Y666" s="13"/>
      <c r="Z666" s="13"/>
      <c r="AA666" s="13"/>
      <c r="AB666" s="13"/>
      <c r="AC666" s="13"/>
      <c r="AD666" s="13"/>
      <c r="AE666" s="13"/>
    </row>
    <row r="667" spans="1:31" ht="21" x14ac:dyDescent="0.4">
      <c r="A667" s="210"/>
      <c r="B667" s="108">
        <v>657</v>
      </c>
      <c r="C667" s="297">
        <v>2385.5215190249082</v>
      </c>
      <c r="D667" s="297">
        <v>3591.2267901267696</v>
      </c>
      <c r="E667" s="297">
        <v>17.660047133381326</v>
      </c>
      <c r="F667" s="297">
        <v>13.192368944223182</v>
      </c>
      <c r="G667" s="322">
        <v>-1205.7052711018614</v>
      </c>
      <c r="H667" s="322">
        <v>4.4676781891581445</v>
      </c>
      <c r="I667" s="322">
        <v>-269.87290043132123</v>
      </c>
      <c r="K667" s="223">
        <f t="shared" si="43"/>
        <v>1057217.3064838548</v>
      </c>
      <c r="L667" s="223">
        <f t="shared" si="43"/>
        <v>787950.90986326418</v>
      </c>
      <c r="M667" s="114">
        <f t="shared" si="44"/>
        <v>1</v>
      </c>
      <c r="N667" s="114">
        <f t="shared" si="45"/>
        <v>0</v>
      </c>
      <c r="T667" s="12"/>
      <c r="U667" s="210"/>
      <c r="V667" s="13"/>
      <c r="W667" s="13"/>
      <c r="X667" s="13"/>
      <c r="Y667" s="13"/>
      <c r="Z667" s="13"/>
      <c r="AA667" s="13"/>
      <c r="AB667" s="13"/>
      <c r="AC667" s="13"/>
      <c r="AD667" s="13"/>
      <c r="AE667" s="13"/>
    </row>
    <row r="668" spans="1:31" ht="21" x14ac:dyDescent="0.4">
      <c r="A668" s="210"/>
      <c r="B668" s="108">
        <v>658</v>
      </c>
      <c r="C668" s="297">
        <v>2437.228656141745</v>
      </c>
      <c r="D668" s="297">
        <v>3562.3773961260331</v>
      </c>
      <c r="E668" s="297">
        <v>20.483599222916244</v>
      </c>
      <c r="F668" s="297">
        <v>14.437443356402007</v>
      </c>
      <c r="G668" s="322">
        <v>-1125.1487399842881</v>
      </c>
      <c r="H668" s="322">
        <v>6.046155866514237</v>
      </c>
      <c r="I668" s="322">
        <v>-186.09324086660786</v>
      </c>
      <c r="K668" s="223">
        <f t="shared" si="43"/>
        <v>1226578.7247188329</v>
      </c>
      <c r="L668" s="223">
        <f t="shared" si="43"/>
        <v>862684.22398799437</v>
      </c>
      <c r="M668" s="114">
        <f t="shared" si="44"/>
        <v>1</v>
      </c>
      <c r="N668" s="114">
        <f t="shared" si="45"/>
        <v>0</v>
      </c>
      <c r="T668" s="12"/>
      <c r="U668" s="210"/>
      <c r="V668" s="13"/>
      <c r="W668" s="13"/>
      <c r="X668" s="13"/>
      <c r="Y668" s="13"/>
      <c r="Z668" s="13"/>
      <c r="AA668" s="13"/>
      <c r="AB668" s="13"/>
      <c r="AC668" s="13"/>
      <c r="AD668" s="13"/>
      <c r="AE668" s="13"/>
    </row>
    <row r="669" spans="1:31" ht="21" x14ac:dyDescent="0.4">
      <c r="A669" s="210"/>
      <c r="B669" s="108">
        <v>659</v>
      </c>
      <c r="C669" s="297">
        <v>2110.8638617984775</v>
      </c>
      <c r="D669" s="297">
        <v>2896.3974360388775</v>
      </c>
      <c r="E669" s="297">
        <v>17.713921433149832</v>
      </c>
      <c r="F669" s="297">
        <v>11.553001708272214</v>
      </c>
      <c r="G669" s="322">
        <v>-785.53357424039996</v>
      </c>
      <c r="H669" s="322">
        <v>6.1609197248776173</v>
      </c>
      <c r="I669" s="322">
        <v>-127.50264722139421</v>
      </c>
      <c r="K669" s="223">
        <f t="shared" si="43"/>
        <v>1060724.4221271914</v>
      </c>
      <c r="L669" s="223">
        <f t="shared" si="43"/>
        <v>690283.70506029401</v>
      </c>
      <c r="M669" s="114">
        <f t="shared" si="44"/>
        <v>1</v>
      </c>
      <c r="N669" s="114">
        <f t="shared" si="45"/>
        <v>0</v>
      </c>
      <c r="T669" s="12"/>
      <c r="U669" s="210"/>
      <c r="V669" s="13"/>
      <c r="W669" s="13"/>
      <c r="X669" s="13"/>
      <c r="Y669" s="13"/>
      <c r="Z669" s="13"/>
      <c r="AA669" s="13"/>
      <c r="AB669" s="13"/>
      <c r="AC669" s="13"/>
      <c r="AD669" s="13"/>
      <c r="AE669" s="13"/>
    </row>
    <row r="670" spans="1:31" ht="21" x14ac:dyDescent="0.4">
      <c r="A670" s="210"/>
      <c r="B670" s="108">
        <v>660</v>
      </c>
      <c r="C670" s="297">
        <v>1981.0981839182627</v>
      </c>
      <c r="D670" s="297">
        <v>2918.332660177145</v>
      </c>
      <c r="E670" s="297">
        <v>19.102494304034153</v>
      </c>
      <c r="F670" s="297">
        <v>14.318687530027034</v>
      </c>
      <c r="G670" s="322">
        <v>-937.2344762588823</v>
      </c>
      <c r="H670" s="322">
        <v>4.7838067740071182</v>
      </c>
      <c r="I670" s="322">
        <v>-195.91812975209598</v>
      </c>
      <c r="K670" s="223">
        <f t="shared" si="43"/>
        <v>1144168.5600581309</v>
      </c>
      <c r="L670" s="223">
        <f t="shared" si="43"/>
        <v>856202.91914144496</v>
      </c>
      <c r="M670" s="114">
        <f t="shared" si="44"/>
        <v>1</v>
      </c>
      <c r="N670" s="114">
        <f t="shared" si="45"/>
        <v>0</v>
      </c>
      <c r="T670" s="12"/>
      <c r="U670" s="210"/>
      <c r="V670" s="13"/>
      <c r="W670" s="13"/>
      <c r="X670" s="13"/>
      <c r="Y670" s="13"/>
      <c r="Z670" s="13"/>
      <c r="AA670" s="13"/>
      <c r="AB670" s="13"/>
      <c r="AC670" s="13"/>
      <c r="AD670" s="13"/>
      <c r="AE670" s="13"/>
    </row>
    <row r="671" spans="1:31" ht="21" x14ac:dyDescent="0.4">
      <c r="A671" s="210"/>
      <c r="B671" s="108">
        <v>661</v>
      </c>
      <c r="C671" s="297">
        <v>1914.3577001185577</v>
      </c>
      <c r="D671" s="297">
        <v>2946.3092236074749</v>
      </c>
      <c r="E671" s="297">
        <v>19.318628170591218</v>
      </c>
      <c r="F671" s="297">
        <v>13.990531423942913</v>
      </c>
      <c r="G671" s="322">
        <v>-1031.9515234889172</v>
      </c>
      <c r="H671" s="322">
        <v>5.3280967466483045</v>
      </c>
      <c r="I671" s="322">
        <v>-193.68107835843583</v>
      </c>
      <c r="K671" s="223">
        <f t="shared" si="43"/>
        <v>1157203.3325353544</v>
      </c>
      <c r="L671" s="223">
        <f t="shared" si="43"/>
        <v>836485.57621296728</v>
      </c>
      <c r="M671" s="114">
        <f t="shared" si="44"/>
        <v>1</v>
      </c>
      <c r="N671" s="114">
        <f t="shared" si="45"/>
        <v>0</v>
      </c>
      <c r="T671" s="12"/>
      <c r="U671" s="210"/>
      <c r="V671" s="13"/>
      <c r="W671" s="13"/>
      <c r="X671" s="13"/>
      <c r="Y671" s="13"/>
      <c r="Z671" s="13"/>
      <c r="AA671" s="13"/>
      <c r="AB671" s="13"/>
      <c r="AC671" s="13"/>
      <c r="AD671" s="13"/>
      <c r="AE671" s="13"/>
    </row>
    <row r="672" spans="1:31" ht="21" x14ac:dyDescent="0.4">
      <c r="A672" s="210"/>
      <c r="B672" s="108">
        <v>662</v>
      </c>
      <c r="C672" s="297">
        <v>2265.3473610010178</v>
      </c>
      <c r="D672" s="297">
        <v>3254.7586051698654</v>
      </c>
      <c r="E672" s="297">
        <v>15.546438117879257</v>
      </c>
      <c r="F672" s="297">
        <v>11.142980288050159</v>
      </c>
      <c r="G672" s="322">
        <v>-989.41124416884759</v>
      </c>
      <c r="H672" s="322">
        <v>4.4034578298290974</v>
      </c>
      <c r="I672" s="322">
        <v>-224.68961493546257</v>
      </c>
      <c r="K672" s="223">
        <f t="shared" si="43"/>
        <v>930520.93971175433</v>
      </c>
      <c r="L672" s="223">
        <f t="shared" si="43"/>
        <v>665324.0586778397</v>
      </c>
      <c r="M672" s="114">
        <f t="shared" si="44"/>
        <v>1</v>
      </c>
      <c r="N672" s="114">
        <f t="shared" si="45"/>
        <v>0</v>
      </c>
      <c r="T672" s="12"/>
      <c r="U672" s="210"/>
      <c r="V672" s="13"/>
      <c r="W672" s="13"/>
      <c r="X672" s="13"/>
      <c r="Y672" s="13"/>
      <c r="Z672" s="13"/>
      <c r="AA672" s="13"/>
      <c r="AB672" s="13"/>
      <c r="AC672" s="13"/>
      <c r="AD672" s="13"/>
      <c r="AE672" s="13"/>
    </row>
    <row r="673" spans="1:31" ht="21" x14ac:dyDescent="0.4">
      <c r="A673" s="210"/>
      <c r="B673" s="108">
        <v>663</v>
      </c>
      <c r="C673" s="297">
        <v>2422.7833205505158</v>
      </c>
      <c r="D673" s="297">
        <v>3487.8852471707246</v>
      </c>
      <c r="E673" s="297">
        <v>19.387338610738226</v>
      </c>
      <c r="F673" s="297">
        <v>14.79003070858665</v>
      </c>
      <c r="G673" s="322">
        <v>-1065.1019266202088</v>
      </c>
      <c r="H673" s="322">
        <v>4.5973079021515755</v>
      </c>
      <c r="I673" s="322">
        <v>-231.67948488325808</v>
      </c>
      <c r="K673" s="223">
        <f t="shared" si="43"/>
        <v>1160817.5333237429</v>
      </c>
      <c r="L673" s="223">
        <f t="shared" si="43"/>
        <v>883913.95726802829</v>
      </c>
      <c r="M673" s="114">
        <f t="shared" si="44"/>
        <v>1</v>
      </c>
      <c r="N673" s="114">
        <f t="shared" si="45"/>
        <v>0</v>
      </c>
      <c r="T673" s="12"/>
      <c r="U673" s="210"/>
      <c r="V673" s="13"/>
      <c r="W673" s="13"/>
      <c r="X673" s="13"/>
      <c r="Y673" s="13"/>
      <c r="Z673" s="13"/>
      <c r="AA673" s="13"/>
      <c r="AB673" s="13"/>
      <c r="AC673" s="13"/>
      <c r="AD673" s="13"/>
      <c r="AE673" s="13"/>
    </row>
    <row r="674" spans="1:31" ht="21" x14ac:dyDescent="0.4">
      <c r="A674" s="210"/>
      <c r="B674" s="108">
        <v>664</v>
      </c>
      <c r="C674" s="297">
        <v>2067.8817945818214</v>
      </c>
      <c r="D674" s="297">
        <v>2793.742231226398</v>
      </c>
      <c r="E674" s="297">
        <v>18.866504523170811</v>
      </c>
      <c r="F674" s="297">
        <v>13.997255758909516</v>
      </c>
      <c r="G674" s="322">
        <v>-725.86043664457657</v>
      </c>
      <c r="H674" s="322">
        <v>4.8692487642612949</v>
      </c>
      <c r="I674" s="322">
        <v>-149.07031285239657</v>
      </c>
      <c r="K674" s="223">
        <f t="shared" si="43"/>
        <v>1129922.3895956667</v>
      </c>
      <c r="L674" s="223">
        <f t="shared" si="43"/>
        <v>837041.60330334457</v>
      </c>
      <c r="M674" s="114">
        <f t="shared" si="44"/>
        <v>1</v>
      </c>
      <c r="N674" s="114">
        <f t="shared" si="45"/>
        <v>0</v>
      </c>
      <c r="T674" s="12"/>
      <c r="U674" s="210"/>
      <c r="V674" s="13"/>
      <c r="W674" s="13"/>
      <c r="X674" s="13"/>
      <c r="Y674" s="13"/>
      <c r="Z674" s="13"/>
      <c r="AA674" s="13"/>
      <c r="AB674" s="13"/>
      <c r="AC674" s="13"/>
      <c r="AD674" s="13"/>
      <c r="AE674" s="13"/>
    </row>
    <row r="675" spans="1:31" ht="21" x14ac:dyDescent="0.4">
      <c r="A675" s="210"/>
      <c r="B675" s="108">
        <v>665</v>
      </c>
      <c r="C675" s="297">
        <v>1868.3968008670079</v>
      </c>
      <c r="D675" s="297">
        <v>2930.4713985936123</v>
      </c>
      <c r="E675" s="297">
        <v>17.380165313544868</v>
      </c>
      <c r="F675" s="297">
        <v>12.783852223812834</v>
      </c>
      <c r="G675" s="322">
        <v>-1062.0745977266045</v>
      </c>
      <c r="H675" s="322">
        <v>4.5963130897320337</v>
      </c>
      <c r="I675" s="322">
        <v>-231.07098602556766</v>
      </c>
      <c r="K675" s="223">
        <f t="shared" si="43"/>
        <v>1040941.522011825</v>
      </c>
      <c r="L675" s="223">
        <f t="shared" si="43"/>
        <v>764100.66203017649</v>
      </c>
      <c r="M675" s="114">
        <f t="shared" si="44"/>
        <v>1</v>
      </c>
      <c r="N675" s="114">
        <f t="shared" si="45"/>
        <v>0</v>
      </c>
      <c r="T675" s="12"/>
      <c r="U675" s="210"/>
      <c r="V675" s="13"/>
      <c r="W675" s="13"/>
      <c r="X675" s="13"/>
      <c r="Y675" s="13"/>
      <c r="Z675" s="13"/>
      <c r="AA675" s="13"/>
      <c r="AB675" s="13"/>
      <c r="AC675" s="13"/>
      <c r="AD675" s="13"/>
      <c r="AE675" s="13"/>
    </row>
    <row r="676" spans="1:31" ht="21" x14ac:dyDescent="0.4">
      <c r="A676" s="210"/>
      <c r="B676" s="108">
        <v>666</v>
      </c>
      <c r="C676" s="297">
        <v>1971.2692196188798</v>
      </c>
      <c r="D676" s="297">
        <v>2953.7350219570935</v>
      </c>
      <c r="E676" s="297">
        <v>19.274082442084158</v>
      </c>
      <c r="F676" s="297">
        <v>14.131183997352263</v>
      </c>
      <c r="G676" s="322">
        <v>-982.46580233821373</v>
      </c>
      <c r="H676" s="322">
        <v>5.1428984447318946</v>
      </c>
      <c r="I676" s="322">
        <v>-191.03348294668316</v>
      </c>
      <c r="K676" s="223">
        <f t="shared" si="43"/>
        <v>1154473.6773054304</v>
      </c>
      <c r="L676" s="223">
        <f t="shared" si="43"/>
        <v>844917.30481917865</v>
      </c>
      <c r="M676" s="114">
        <f t="shared" si="44"/>
        <v>1</v>
      </c>
      <c r="N676" s="114">
        <f t="shared" si="45"/>
        <v>0</v>
      </c>
      <c r="T676" s="12"/>
      <c r="U676" s="210"/>
      <c r="V676" s="13"/>
      <c r="W676" s="13"/>
      <c r="X676" s="13"/>
      <c r="Y676" s="13"/>
      <c r="Z676" s="13"/>
      <c r="AA676" s="13"/>
      <c r="AB676" s="13"/>
      <c r="AC676" s="13"/>
      <c r="AD676" s="13"/>
      <c r="AE676" s="13"/>
    </row>
    <row r="677" spans="1:31" ht="21" x14ac:dyDescent="0.4">
      <c r="A677" s="210"/>
      <c r="B677" s="108">
        <v>667</v>
      </c>
      <c r="C677" s="297">
        <v>2132.9411390652804</v>
      </c>
      <c r="D677" s="297">
        <v>3201.8678739417574</v>
      </c>
      <c r="E677" s="297">
        <v>20.881913112160355</v>
      </c>
      <c r="F677" s="297">
        <v>15.823723169485289</v>
      </c>
      <c r="G677" s="322">
        <v>-1068.926734876477</v>
      </c>
      <c r="H677" s="322">
        <v>5.0581899426750656</v>
      </c>
      <c r="I677" s="322">
        <v>-211.32593813018542</v>
      </c>
      <c r="K677" s="223">
        <f t="shared" si="43"/>
        <v>1250781.845590556</v>
      </c>
      <c r="L677" s="223">
        <f t="shared" si="43"/>
        <v>946221.52229517559</v>
      </c>
      <c r="M677" s="114">
        <f t="shared" si="44"/>
        <v>1</v>
      </c>
      <c r="N677" s="114">
        <f t="shared" si="45"/>
        <v>0</v>
      </c>
      <c r="T677" s="12"/>
      <c r="U677" s="210"/>
      <c r="V677" s="13"/>
      <c r="W677" s="13"/>
      <c r="X677" s="13"/>
      <c r="Y677" s="13"/>
      <c r="Z677" s="13"/>
      <c r="AA677" s="13"/>
      <c r="AB677" s="13"/>
      <c r="AC677" s="13"/>
      <c r="AD677" s="13"/>
      <c r="AE677" s="13"/>
    </row>
    <row r="678" spans="1:31" ht="21" x14ac:dyDescent="0.4">
      <c r="A678" s="210"/>
      <c r="B678" s="108">
        <v>668</v>
      </c>
      <c r="C678" s="297">
        <v>2055.5140395188241</v>
      </c>
      <c r="D678" s="297">
        <v>3267.2567948178844</v>
      </c>
      <c r="E678" s="297">
        <v>17.051613174229949</v>
      </c>
      <c r="F678" s="297">
        <v>11.615873312267514</v>
      </c>
      <c r="G678" s="322">
        <v>-1211.7427552990603</v>
      </c>
      <c r="H678" s="322">
        <v>5.4357398619624355</v>
      </c>
      <c r="I678" s="322">
        <v>-222.92140280267043</v>
      </c>
      <c r="K678" s="223">
        <f t="shared" si="43"/>
        <v>1021041.2764142782</v>
      </c>
      <c r="L678" s="223">
        <f t="shared" si="43"/>
        <v>693685.14194123296</v>
      </c>
      <c r="M678" s="114">
        <f t="shared" si="44"/>
        <v>1</v>
      </c>
      <c r="N678" s="114">
        <f t="shared" si="45"/>
        <v>0</v>
      </c>
      <c r="T678" s="12"/>
      <c r="U678" s="210"/>
      <c r="V678" s="13"/>
      <c r="W678" s="13"/>
      <c r="X678" s="13"/>
      <c r="Y678" s="13"/>
      <c r="Z678" s="13"/>
      <c r="AA678" s="13"/>
      <c r="AB678" s="13"/>
      <c r="AC678" s="13"/>
      <c r="AD678" s="13"/>
      <c r="AE678" s="13"/>
    </row>
    <row r="679" spans="1:31" ht="21" x14ac:dyDescent="0.4">
      <c r="A679" s="210"/>
      <c r="B679" s="108">
        <v>669</v>
      </c>
      <c r="C679" s="297">
        <v>2338.5700076525436</v>
      </c>
      <c r="D679" s="297">
        <v>3432.7864956603385</v>
      </c>
      <c r="E679" s="297">
        <v>19.031591599671202</v>
      </c>
      <c r="F679" s="297">
        <v>13.87171860268616</v>
      </c>
      <c r="G679" s="322">
        <v>-1094.2164880077949</v>
      </c>
      <c r="H679" s="322">
        <v>5.1598729969850421</v>
      </c>
      <c r="I679" s="322">
        <v>-212.06267841227</v>
      </c>
      <c r="K679" s="223">
        <f t="shared" si="43"/>
        <v>1139556.9259726196</v>
      </c>
      <c r="L679" s="223">
        <f t="shared" si="43"/>
        <v>828870.32966550929</v>
      </c>
      <c r="M679" s="114">
        <f t="shared" si="44"/>
        <v>1</v>
      </c>
      <c r="N679" s="114">
        <f t="shared" si="45"/>
        <v>0</v>
      </c>
      <c r="T679" s="12"/>
      <c r="U679" s="210"/>
      <c r="V679" s="13"/>
      <c r="W679" s="13"/>
      <c r="X679" s="13"/>
      <c r="Y679" s="13"/>
      <c r="Z679" s="13"/>
      <c r="AA679" s="13"/>
      <c r="AB679" s="13"/>
      <c r="AC679" s="13"/>
      <c r="AD679" s="13"/>
      <c r="AE679" s="13"/>
    </row>
    <row r="680" spans="1:31" ht="21" x14ac:dyDescent="0.4">
      <c r="A680" s="210"/>
      <c r="B680" s="108">
        <v>670</v>
      </c>
      <c r="C680" s="297">
        <v>2306.4913573091576</v>
      </c>
      <c r="D680" s="297">
        <v>3405.3703048445991</v>
      </c>
      <c r="E680" s="297">
        <v>19.383469446379856</v>
      </c>
      <c r="F680" s="297">
        <v>14.268371699977582</v>
      </c>
      <c r="G680" s="322">
        <v>-1098.8789475354415</v>
      </c>
      <c r="H680" s="322">
        <v>5.1150977464022738</v>
      </c>
      <c r="I680" s="322">
        <v>-214.83048849034074</v>
      </c>
      <c r="K680" s="223">
        <f t="shared" si="43"/>
        <v>1160701.6754254822</v>
      </c>
      <c r="L680" s="223">
        <f t="shared" si="43"/>
        <v>852696.93169381039</v>
      </c>
      <c r="M680" s="114">
        <f t="shared" si="44"/>
        <v>1</v>
      </c>
      <c r="N680" s="114">
        <f t="shared" si="45"/>
        <v>0</v>
      </c>
      <c r="T680" s="12"/>
      <c r="U680" s="210"/>
      <c r="V680" s="13"/>
      <c r="W680" s="13"/>
      <c r="X680" s="13"/>
      <c r="Y680" s="13"/>
      <c r="Z680" s="13"/>
      <c r="AA680" s="13"/>
      <c r="AB680" s="13"/>
      <c r="AC680" s="13"/>
      <c r="AD680" s="13"/>
      <c r="AE680" s="13"/>
    </row>
    <row r="681" spans="1:31" ht="21" x14ac:dyDescent="0.4">
      <c r="A681" s="210"/>
      <c r="B681" s="108">
        <v>671</v>
      </c>
      <c r="C681" s="297">
        <v>2257.4759562593395</v>
      </c>
      <c r="D681" s="297">
        <v>2844.963515266144</v>
      </c>
      <c r="E681" s="297">
        <v>18.934117154711888</v>
      </c>
      <c r="F681" s="297">
        <v>14.237023584058264</v>
      </c>
      <c r="G681" s="322">
        <v>-587.48755900680453</v>
      </c>
      <c r="H681" s="322">
        <v>4.6970935706536245</v>
      </c>
      <c r="I681" s="322">
        <v>-125.07469782533045</v>
      </c>
      <c r="K681" s="223">
        <f t="shared" si="43"/>
        <v>1133789.553326454</v>
      </c>
      <c r="L681" s="223">
        <f t="shared" si="43"/>
        <v>851376.45152822963</v>
      </c>
      <c r="M681" s="114">
        <f t="shared" si="44"/>
        <v>1</v>
      </c>
      <c r="N681" s="114">
        <f t="shared" si="45"/>
        <v>0</v>
      </c>
      <c r="T681" s="12"/>
      <c r="U681" s="210"/>
      <c r="V681" s="13"/>
      <c r="W681" s="13"/>
      <c r="X681" s="13"/>
      <c r="Y681" s="13"/>
      <c r="Z681" s="13"/>
      <c r="AA681" s="13"/>
      <c r="AB681" s="13"/>
      <c r="AC681" s="13"/>
      <c r="AD681" s="13"/>
      <c r="AE681" s="13"/>
    </row>
    <row r="682" spans="1:31" ht="21" x14ac:dyDescent="0.4">
      <c r="A682" s="210"/>
      <c r="B682" s="108">
        <v>672</v>
      </c>
      <c r="C682" s="297">
        <v>2000.0993515492491</v>
      </c>
      <c r="D682" s="297">
        <v>2726.5086376071713</v>
      </c>
      <c r="E682" s="297">
        <v>17.562198700100033</v>
      </c>
      <c r="F682" s="297">
        <v>12.057422128479654</v>
      </c>
      <c r="G682" s="322">
        <v>-726.40928605792215</v>
      </c>
      <c r="H682" s="322">
        <v>5.5047765716203791</v>
      </c>
      <c r="I682" s="322">
        <v>-131.95981282926024</v>
      </c>
      <c r="K682" s="223">
        <f t="shared" si="43"/>
        <v>1051731.8226544526</v>
      </c>
      <c r="L682" s="223">
        <f t="shared" si="43"/>
        <v>720718.81907117204</v>
      </c>
      <c r="M682" s="114">
        <f t="shared" si="44"/>
        <v>1</v>
      </c>
      <c r="N682" s="114">
        <f t="shared" si="45"/>
        <v>0</v>
      </c>
      <c r="T682" s="12"/>
      <c r="U682" s="210"/>
      <c r="V682" s="13"/>
      <c r="W682" s="13"/>
      <c r="X682" s="13"/>
      <c r="Y682" s="13"/>
      <c r="Z682" s="13"/>
      <c r="AA682" s="13"/>
      <c r="AB682" s="13"/>
      <c r="AC682" s="13"/>
      <c r="AD682" s="13"/>
      <c r="AE682" s="13"/>
    </row>
    <row r="683" spans="1:31" ht="21" x14ac:dyDescent="0.4">
      <c r="A683" s="210"/>
      <c r="B683" s="108">
        <v>673</v>
      </c>
      <c r="C683" s="297">
        <v>1741.8145101690141</v>
      </c>
      <c r="D683" s="297">
        <v>2664.6776523140798</v>
      </c>
      <c r="E683" s="297">
        <v>18.752272410019309</v>
      </c>
      <c r="F683" s="297">
        <v>13.485952702278629</v>
      </c>
      <c r="G683" s="322">
        <v>-922.86314214506569</v>
      </c>
      <c r="H683" s="322">
        <v>5.2663197077406796</v>
      </c>
      <c r="I683" s="322">
        <v>-175.23872331347428</v>
      </c>
      <c r="K683" s="223">
        <f t="shared" si="43"/>
        <v>1123394.5300909895</v>
      </c>
      <c r="L683" s="223">
        <f t="shared" si="43"/>
        <v>806492.48448440363</v>
      </c>
      <c r="M683" s="114">
        <f t="shared" si="44"/>
        <v>1</v>
      </c>
      <c r="N683" s="114">
        <f t="shared" si="45"/>
        <v>0</v>
      </c>
      <c r="T683" s="12"/>
      <c r="U683" s="210"/>
      <c r="V683" s="13"/>
      <c r="W683" s="13"/>
      <c r="X683" s="13"/>
      <c r="Y683" s="13"/>
      <c r="Z683" s="13"/>
      <c r="AA683" s="13"/>
      <c r="AB683" s="13"/>
      <c r="AC683" s="13"/>
      <c r="AD683" s="13"/>
      <c r="AE683" s="13"/>
    </row>
    <row r="684" spans="1:31" ht="21" x14ac:dyDescent="0.4">
      <c r="A684" s="210"/>
      <c r="B684" s="108">
        <v>674</v>
      </c>
      <c r="C684" s="297">
        <v>2129.202882310628</v>
      </c>
      <c r="D684" s="297">
        <v>2903.5896162644985</v>
      </c>
      <c r="E684" s="297">
        <v>20.309550994042677</v>
      </c>
      <c r="F684" s="297">
        <v>14.751834605656011</v>
      </c>
      <c r="G684" s="322">
        <v>-774.38673395387059</v>
      </c>
      <c r="H684" s="322">
        <v>5.557716388386666</v>
      </c>
      <c r="I684" s="322">
        <v>-139.33541761361184</v>
      </c>
      <c r="K684" s="223">
        <f t="shared" si="43"/>
        <v>1216443.8567602499</v>
      </c>
      <c r="L684" s="223">
        <f t="shared" si="43"/>
        <v>882206.48672309623</v>
      </c>
      <c r="M684" s="114">
        <f t="shared" si="44"/>
        <v>1</v>
      </c>
      <c r="N684" s="114">
        <f t="shared" si="45"/>
        <v>0</v>
      </c>
      <c r="T684" s="12"/>
      <c r="U684" s="210"/>
      <c r="V684" s="13"/>
      <c r="W684" s="13"/>
      <c r="X684" s="13"/>
      <c r="Y684" s="13"/>
      <c r="Z684" s="13"/>
      <c r="AA684" s="13"/>
      <c r="AB684" s="13"/>
      <c r="AC684" s="13"/>
      <c r="AD684" s="13"/>
      <c r="AE684" s="13"/>
    </row>
    <row r="685" spans="1:31" ht="21" x14ac:dyDescent="0.4">
      <c r="A685" s="210"/>
      <c r="B685" s="108">
        <v>675</v>
      </c>
      <c r="C685" s="297">
        <v>1786.3670032792181</v>
      </c>
      <c r="D685" s="297">
        <v>2799.4984048419124</v>
      </c>
      <c r="E685" s="297">
        <v>17.084884095506432</v>
      </c>
      <c r="F685" s="297">
        <v>13.068776096954236</v>
      </c>
      <c r="G685" s="322">
        <v>-1013.1314015626942</v>
      </c>
      <c r="H685" s="322">
        <v>4.0161079985521955</v>
      </c>
      <c r="I685" s="322">
        <v>-252.2669713882016</v>
      </c>
      <c r="K685" s="223">
        <f t="shared" si="43"/>
        <v>1023306.6787271067</v>
      </c>
      <c r="L685" s="223">
        <f t="shared" si="43"/>
        <v>781327.06741241226</v>
      </c>
      <c r="M685" s="114">
        <f t="shared" si="44"/>
        <v>1</v>
      </c>
      <c r="N685" s="114">
        <f t="shared" si="45"/>
        <v>0</v>
      </c>
      <c r="T685" s="12"/>
      <c r="U685" s="210"/>
      <c r="V685" s="13"/>
      <c r="W685" s="13"/>
      <c r="X685" s="13"/>
      <c r="Y685" s="13"/>
      <c r="Z685" s="13"/>
      <c r="AA685" s="13"/>
      <c r="AB685" s="13"/>
      <c r="AC685" s="13"/>
      <c r="AD685" s="13"/>
      <c r="AE685" s="13"/>
    </row>
    <row r="686" spans="1:31" ht="21" x14ac:dyDescent="0.4">
      <c r="A686" s="210"/>
      <c r="B686" s="108">
        <v>676</v>
      </c>
      <c r="C686" s="297">
        <v>1941.7454188502575</v>
      </c>
      <c r="D686" s="297">
        <v>2856.7300212768973</v>
      </c>
      <c r="E686" s="297">
        <v>16.872981052587953</v>
      </c>
      <c r="F686" s="297">
        <v>11.673287746554886</v>
      </c>
      <c r="G686" s="322">
        <v>-914.98460242663987</v>
      </c>
      <c r="H686" s="322">
        <v>5.1996933060330672</v>
      </c>
      <c r="I686" s="322">
        <v>-175.96895596996217</v>
      </c>
      <c r="K686" s="223">
        <f t="shared" si="43"/>
        <v>1010437.117736427</v>
      </c>
      <c r="L686" s="223">
        <f t="shared" si="43"/>
        <v>697540.53477201622</v>
      </c>
      <c r="M686" s="114">
        <f t="shared" si="44"/>
        <v>1</v>
      </c>
      <c r="N686" s="114">
        <f t="shared" si="45"/>
        <v>0</v>
      </c>
      <c r="T686" s="12"/>
      <c r="U686" s="210"/>
      <c r="V686" s="13"/>
      <c r="W686" s="13"/>
      <c r="X686" s="13"/>
      <c r="Y686" s="13"/>
      <c r="Z686" s="13"/>
      <c r="AA686" s="13"/>
      <c r="AB686" s="13"/>
      <c r="AC686" s="13"/>
      <c r="AD686" s="13"/>
      <c r="AE686" s="13"/>
    </row>
    <row r="687" spans="1:31" ht="21" x14ac:dyDescent="0.4">
      <c r="A687" s="210"/>
      <c r="B687" s="108">
        <v>677</v>
      </c>
      <c r="C687" s="297">
        <v>2144.0020746401606</v>
      </c>
      <c r="D687" s="297">
        <v>2798.5796879992217</v>
      </c>
      <c r="E687" s="297">
        <v>20.059931453614023</v>
      </c>
      <c r="F687" s="297">
        <v>14.457141806841587</v>
      </c>
      <c r="G687" s="322">
        <v>-654.57761335906116</v>
      </c>
      <c r="H687" s="322">
        <v>5.6027896467724361</v>
      </c>
      <c r="I687" s="322">
        <v>-116.83066019373753</v>
      </c>
      <c r="K687" s="223">
        <f t="shared" si="43"/>
        <v>1201451.8851422011</v>
      </c>
      <c r="L687" s="223">
        <f t="shared" si="43"/>
        <v>864629.92872249603</v>
      </c>
      <c r="M687" s="114">
        <f t="shared" si="44"/>
        <v>1</v>
      </c>
      <c r="N687" s="114">
        <f t="shared" si="45"/>
        <v>0</v>
      </c>
      <c r="T687" s="12"/>
      <c r="U687" s="210"/>
      <c r="V687" s="13"/>
      <c r="W687" s="13"/>
      <c r="X687" s="13"/>
      <c r="Y687" s="13"/>
      <c r="Z687" s="13"/>
      <c r="AA687" s="13"/>
      <c r="AB687" s="13"/>
      <c r="AC687" s="13"/>
      <c r="AD687" s="13"/>
      <c r="AE687" s="13"/>
    </row>
    <row r="688" spans="1:31" ht="21" x14ac:dyDescent="0.4">
      <c r="A688" s="210"/>
      <c r="B688" s="108">
        <v>678</v>
      </c>
      <c r="C688" s="297">
        <v>2379.8329049730564</v>
      </c>
      <c r="D688" s="297">
        <v>3156.1048479900555</v>
      </c>
      <c r="E688" s="297">
        <v>20.289792174982718</v>
      </c>
      <c r="F688" s="297">
        <v>15.268283299345587</v>
      </c>
      <c r="G688" s="322">
        <v>-776.2719430169991</v>
      </c>
      <c r="H688" s="322">
        <v>5.0215088756371316</v>
      </c>
      <c r="I688" s="322">
        <v>-154.58937985417884</v>
      </c>
      <c r="K688" s="223">
        <f t="shared" si="43"/>
        <v>1215007.69759399</v>
      </c>
      <c r="L688" s="223">
        <f t="shared" si="43"/>
        <v>912940.89311274514</v>
      </c>
      <c r="M688" s="114">
        <f t="shared" si="44"/>
        <v>1</v>
      </c>
      <c r="N688" s="114">
        <f t="shared" si="45"/>
        <v>0</v>
      </c>
      <c r="T688" s="12"/>
      <c r="U688" s="210"/>
      <c r="V688" s="13"/>
      <c r="W688" s="13"/>
      <c r="X688" s="13"/>
      <c r="Y688" s="13"/>
      <c r="Z688" s="13"/>
      <c r="AA688" s="13"/>
      <c r="AB688" s="13"/>
      <c r="AC688" s="13"/>
      <c r="AD688" s="13"/>
      <c r="AE688" s="13"/>
    </row>
    <row r="689" spans="1:31" ht="21" x14ac:dyDescent="0.4">
      <c r="A689" s="210"/>
      <c r="B689" s="108">
        <v>679</v>
      </c>
      <c r="C689" s="297">
        <v>2125.1285175243856</v>
      </c>
      <c r="D689" s="297">
        <v>3153.2023636946515</v>
      </c>
      <c r="E689" s="297">
        <v>18.429378878182163</v>
      </c>
      <c r="F689" s="297">
        <v>12.795610329968214</v>
      </c>
      <c r="G689" s="322">
        <v>-1028.0738461702658</v>
      </c>
      <c r="H689" s="322">
        <v>5.6337685482139488</v>
      </c>
      <c r="I689" s="322">
        <v>-182.48421769051765</v>
      </c>
      <c r="K689" s="223">
        <f t="shared" si="43"/>
        <v>1103637.6041734056</v>
      </c>
      <c r="L689" s="223">
        <f t="shared" si="43"/>
        <v>764583.4174343982</v>
      </c>
      <c r="M689" s="114">
        <f t="shared" si="44"/>
        <v>1</v>
      </c>
      <c r="N689" s="114">
        <f t="shared" si="45"/>
        <v>0</v>
      </c>
      <c r="T689" s="12"/>
      <c r="U689" s="210"/>
      <c r="V689" s="13"/>
      <c r="W689" s="13"/>
      <c r="X689" s="13"/>
      <c r="Y689" s="13"/>
      <c r="Z689" s="13"/>
      <c r="AA689" s="13"/>
      <c r="AB689" s="13"/>
      <c r="AC689" s="13"/>
      <c r="AD689" s="13"/>
      <c r="AE689" s="13"/>
    </row>
    <row r="690" spans="1:31" ht="21" x14ac:dyDescent="0.4">
      <c r="A690" s="210"/>
      <c r="B690" s="108">
        <v>680</v>
      </c>
      <c r="C690" s="297">
        <v>2236.1208945460821</v>
      </c>
      <c r="D690" s="297">
        <v>2805.2188729555501</v>
      </c>
      <c r="E690" s="297">
        <v>19.102571521756548</v>
      </c>
      <c r="F690" s="297">
        <v>13.911310558090118</v>
      </c>
      <c r="G690" s="322">
        <v>-569.09797840946794</v>
      </c>
      <c r="H690" s="322">
        <v>5.19126096366643</v>
      </c>
      <c r="I690" s="322">
        <v>-109.62615487693212</v>
      </c>
      <c r="K690" s="223">
        <f t="shared" si="43"/>
        <v>1143918.1704108468</v>
      </c>
      <c r="L690" s="223">
        <f t="shared" si="43"/>
        <v>831873.41461245157</v>
      </c>
      <c r="M690" s="114">
        <f t="shared" si="44"/>
        <v>1</v>
      </c>
      <c r="N690" s="114">
        <f t="shared" si="45"/>
        <v>0</v>
      </c>
      <c r="T690" s="12"/>
      <c r="U690" s="210"/>
      <c r="V690" s="13"/>
      <c r="W690" s="13"/>
      <c r="X690" s="13"/>
      <c r="Y690" s="13"/>
      <c r="Z690" s="13"/>
      <c r="AA690" s="13"/>
      <c r="AB690" s="13"/>
      <c r="AC690" s="13"/>
      <c r="AD690" s="13"/>
      <c r="AE690" s="13"/>
    </row>
    <row r="691" spans="1:31" ht="21" x14ac:dyDescent="0.4">
      <c r="A691" s="210"/>
      <c r="B691" s="108">
        <v>681</v>
      </c>
      <c r="C691" s="297">
        <v>1871.8888513653339</v>
      </c>
      <c r="D691" s="297">
        <v>3044.7230982563669</v>
      </c>
      <c r="E691" s="297">
        <v>19.437998527109748</v>
      </c>
      <c r="F691" s="297">
        <v>13.888550290220413</v>
      </c>
      <c r="G691" s="322">
        <v>-1172.834246891033</v>
      </c>
      <c r="H691" s="322">
        <v>5.5494482368893348</v>
      </c>
      <c r="I691" s="322">
        <v>-211.34249691613462</v>
      </c>
      <c r="K691" s="223">
        <f t="shared" si="43"/>
        <v>1164408.0227752195</v>
      </c>
      <c r="L691" s="223">
        <f t="shared" si="43"/>
        <v>830268.2943149684</v>
      </c>
      <c r="M691" s="114">
        <f t="shared" si="44"/>
        <v>1</v>
      </c>
      <c r="N691" s="114">
        <f t="shared" si="45"/>
        <v>0</v>
      </c>
      <c r="T691" s="12"/>
      <c r="U691" s="210"/>
      <c r="V691" s="13"/>
      <c r="W691" s="13"/>
      <c r="X691" s="13"/>
      <c r="Y691" s="13"/>
      <c r="Z691" s="13"/>
      <c r="AA691" s="13"/>
      <c r="AB691" s="13"/>
      <c r="AC691" s="13"/>
      <c r="AD691" s="13"/>
      <c r="AE691" s="13"/>
    </row>
    <row r="692" spans="1:31" ht="21" x14ac:dyDescent="0.4">
      <c r="A692" s="210"/>
      <c r="B692" s="108">
        <v>682</v>
      </c>
      <c r="C692" s="297">
        <v>1728.730877784348</v>
      </c>
      <c r="D692" s="297">
        <v>2682.0303172838157</v>
      </c>
      <c r="E692" s="297">
        <v>17.809024545676792</v>
      </c>
      <c r="F692" s="297">
        <v>12.587245540047553</v>
      </c>
      <c r="G692" s="322">
        <v>-953.29943949946778</v>
      </c>
      <c r="H692" s="322">
        <v>5.221779005629239</v>
      </c>
      <c r="I692" s="322">
        <v>-182.56219546476049</v>
      </c>
      <c r="K692" s="223">
        <f t="shared" si="43"/>
        <v>1066812.7418628233</v>
      </c>
      <c r="L692" s="223">
        <f t="shared" si="43"/>
        <v>752552.70208556938</v>
      </c>
      <c r="M692" s="114">
        <f t="shared" si="44"/>
        <v>1</v>
      </c>
      <c r="N692" s="114">
        <f t="shared" si="45"/>
        <v>0</v>
      </c>
      <c r="T692" s="12"/>
      <c r="U692" s="210"/>
      <c r="V692" s="13"/>
      <c r="W692" s="13"/>
      <c r="X692" s="13"/>
      <c r="Y692" s="13"/>
      <c r="Z692" s="13"/>
      <c r="AA692" s="13"/>
      <c r="AB692" s="13"/>
      <c r="AC692" s="13"/>
      <c r="AD692" s="13"/>
      <c r="AE692" s="13"/>
    </row>
    <row r="693" spans="1:31" ht="21" x14ac:dyDescent="0.4">
      <c r="A693" s="210"/>
      <c r="B693" s="108">
        <v>683</v>
      </c>
      <c r="C693" s="297">
        <v>2208.6205408640567</v>
      </c>
      <c r="D693" s="297">
        <v>2639.9288190030411</v>
      </c>
      <c r="E693" s="297">
        <v>18.721263589867078</v>
      </c>
      <c r="F693" s="297">
        <v>14.768341431093537</v>
      </c>
      <c r="G693" s="322">
        <v>-431.30827813898441</v>
      </c>
      <c r="H693" s="322">
        <v>3.952922158773541</v>
      </c>
      <c r="I693" s="322">
        <v>-109.11125006134826</v>
      </c>
      <c r="K693" s="223">
        <f t="shared" si="43"/>
        <v>1121067.1948511605</v>
      </c>
      <c r="L693" s="223">
        <f t="shared" si="43"/>
        <v>883460.55704660923</v>
      </c>
      <c r="M693" s="114">
        <f t="shared" si="44"/>
        <v>1</v>
      </c>
      <c r="N693" s="114">
        <f t="shared" si="45"/>
        <v>0</v>
      </c>
      <c r="T693" s="12"/>
      <c r="U693" s="210"/>
      <c r="V693" s="13"/>
      <c r="W693" s="13"/>
      <c r="X693" s="13"/>
      <c r="Y693" s="13"/>
      <c r="Z693" s="13"/>
      <c r="AA693" s="13"/>
      <c r="AB693" s="13"/>
      <c r="AC693" s="13"/>
      <c r="AD693" s="13"/>
      <c r="AE693" s="13"/>
    </row>
    <row r="694" spans="1:31" ht="21" x14ac:dyDescent="0.4">
      <c r="A694" s="210"/>
      <c r="B694" s="108">
        <v>684</v>
      </c>
      <c r="C694" s="297">
        <v>2098.8979018949676</v>
      </c>
      <c r="D694" s="297">
        <v>2661.1487944091614</v>
      </c>
      <c r="E694" s="297">
        <v>20.164154075833693</v>
      </c>
      <c r="F694" s="297">
        <v>15.081417089854531</v>
      </c>
      <c r="G694" s="322">
        <v>-562.25089251419377</v>
      </c>
      <c r="H694" s="322">
        <v>5.082736985979162</v>
      </c>
      <c r="I694" s="322">
        <v>-110.61971022013824</v>
      </c>
      <c r="K694" s="223">
        <f t="shared" si="43"/>
        <v>1207750.3466481266</v>
      </c>
      <c r="L694" s="223">
        <f t="shared" si="43"/>
        <v>902223.87659686268</v>
      </c>
      <c r="M694" s="114">
        <f t="shared" si="44"/>
        <v>1</v>
      </c>
      <c r="N694" s="114">
        <f t="shared" si="45"/>
        <v>0</v>
      </c>
      <c r="T694" s="12"/>
      <c r="U694" s="210"/>
      <c r="V694" s="13"/>
      <c r="W694" s="13"/>
      <c r="X694" s="13"/>
      <c r="Y694" s="13"/>
      <c r="Z694" s="13"/>
      <c r="AA694" s="13"/>
      <c r="AB694" s="13"/>
      <c r="AC694" s="13"/>
      <c r="AD694" s="13"/>
      <c r="AE694" s="13"/>
    </row>
    <row r="695" spans="1:31" ht="21" x14ac:dyDescent="0.4">
      <c r="A695" s="210"/>
      <c r="B695" s="108">
        <v>685</v>
      </c>
      <c r="C695" s="297">
        <v>1859.2114889480858</v>
      </c>
      <c r="D695" s="297">
        <v>2952.6013364570917</v>
      </c>
      <c r="E695" s="297">
        <v>18.768205770966805</v>
      </c>
      <c r="F695" s="297">
        <v>14.215552314479485</v>
      </c>
      <c r="G695" s="322">
        <v>-1093.3898475090059</v>
      </c>
      <c r="H695" s="322">
        <v>4.5526534564873202</v>
      </c>
      <c r="I695" s="322">
        <v>-240.16540199232077</v>
      </c>
      <c r="K695" s="223">
        <f t="shared" si="43"/>
        <v>1124233.1347690604</v>
      </c>
      <c r="L695" s="223">
        <f t="shared" si="43"/>
        <v>849980.53753231198</v>
      </c>
      <c r="M695" s="114">
        <f t="shared" si="44"/>
        <v>1</v>
      </c>
      <c r="N695" s="114">
        <f t="shared" si="45"/>
        <v>0</v>
      </c>
      <c r="T695" s="12"/>
      <c r="U695" s="210"/>
      <c r="V695" s="13"/>
      <c r="W695" s="13"/>
      <c r="X695" s="13"/>
      <c r="Y695" s="13"/>
      <c r="Z695" s="13"/>
      <c r="AA695" s="13"/>
      <c r="AB695" s="13"/>
      <c r="AC695" s="13"/>
      <c r="AD695" s="13"/>
      <c r="AE695" s="13"/>
    </row>
    <row r="696" spans="1:31" ht="21" x14ac:dyDescent="0.4">
      <c r="A696" s="210"/>
      <c r="B696" s="108">
        <v>686</v>
      </c>
      <c r="C696" s="297">
        <v>2197.5724717869271</v>
      </c>
      <c r="D696" s="297">
        <v>2940.9108638453331</v>
      </c>
      <c r="E696" s="297">
        <v>19.031917219221835</v>
      </c>
      <c r="F696" s="297">
        <v>12.936497765864454</v>
      </c>
      <c r="G696" s="322">
        <v>-743.33839205840604</v>
      </c>
      <c r="H696" s="322">
        <v>6.0954194533573816</v>
      </c>
      <c r="I696" s="322">
        <v>-121.95032642896663</v>
      </c>
      <c r="K696" s="223">
        <f t="shared" si="43"/>
        <v>1139717.4606815232</v>
      </c>
      <c r="L696" s="223">
        <f t="shared" si="43"/>
        <v>773248.95508802182</v>
      </c>
      <c r="M696" s="114">
        <f t="shared" si="44"/>
        <v>1</v>
      </c>
      <c r="N696" s="114">
        <f t="shared" si="45"/>
        <v>0</v>
      </c>
      <c r="T696" s="12"/>
      <c r="U696" s="210"/>
      <c r="V696" s="13"/>
      <c r="W696" s="13"/>
      <c r="X696" s="13"/>
      <c r="Y696" s="13"/>
      <c r="Z696" s="13"/>
      <c r="AA696" s="13"/>
      <c r="AB696" s="13"/>
      <c r="AC696" s="13"/>
      <c r="AD696" s="13"/>
      <c r="AE696" s="13"/>
    </row>
    <row r="697" spans="1:31" ht="21" x14ac:dyDescent="0.4">
      <c r="A697" s="210"/>
      <c r="B697" s="108">
        <v>687</v>
      </c>
      <c r="C697" s="297">
        <v>2033.328425787716</v>
      </c>
      <c r="D697" s="297">
        <v>2949.7335395351211</v>
      </c>
      <c r="E697" s="297">
        <v>19.673937587342792</v>
      </c>
      <c r="F697" s="297">
        <v>14.119367031657092</v>
      </c>
      <c r="G697" s="322">
        <v>-916.40511374740504</v>
      </c>
      <c r="H697" s="322">
        <v>5.5545705556857001</v>
      </c>
      <c r="I697" s="322">
        <v>-164.98217180972989</v>
      </c>
      <c r="K697" s="223">
        <f t="shared" si="43"/>
        <v>1178402.9268147799</v>
      </c>
      <c r="L697" s="223">
        <f t="shared" si="43"/>
        <v>844212.28835989046</v>
      </c>
      <c r="M697" s="114">
        <f t="shared" si="44"/>
        <v>1</v>
      </c>
      <c r="N697" s="114">
        <f t="shared" si="45"/>
        <v>0</v>
      </c>
      <c r="T697" s="12"/>
      <c r="U697" s="210"/>
      <c r="V697" s="13"/>
      <c r="W697" s="13"/>
      <c r="X697" s="13"/>
      <c r="Y697" s="13"/>
      <c r="Z697" s="13"/>
      <c r="AA697" s="13"/>
      <c r="AB697" s="13"/>
      <c r="AC697" s="13"/>
      <c r="AD697" s="13"/>
      <c r="AE697" s="13"/>
    </row>
    <row r="698" spans="1:31" ht="21" x14ac:dyDescent="0.4">
      <c r="A698" s="210"/>
      <c r="B698" s="108">
        <v>688</v>
      </c>
      <c r="C698" s="297">
        <v>2061.5780458316422</v>
      </c>
      <c r="D698" s="297">
        <v>2971.8966266396237</v>
      </c>
      <c r="E698" s="297">
        <v>20.885967371385902</v>
      </c>
      <c r="F698" s="297">
        <v>15.41331269849695</v>
      </c>
      <c r="G698" s="322">
        <v>-910.31858080798156</v>
      </c>
      <c r="H698" s="322">
        <v>5.472654672888952</v>
      </c>
      <c r="I698" s="322">
        <v>-166.33948882571002</v>
      </c>
      <c r="K698" s="223">
        <f t="shared" si="43"/>
        <v>1251096.4642373226</v>
      </c>
      <c r="L698" s="223">
        <f t="shared" si="43"/>
        <v>921826.86528317735</v>
      </c>
      <c r="M698" s="114">
        <f t="shared" si="44"/>
        <v>1</v>
      </c>
      <c r="N698" s="114">
        <f t="shared" si="45"/>
        <v>0</v>
      </c>
      <c r="T698" s="12"/>
      <c r="U698" s="210"/>
      <c r="V698" s="13"/>
      <c r="W698" s="13"/>
      <c r="X698" s="13"/>
      <c r="Y698" s="13"/>
      <c r="Z698" s="13"/>
      <c r="AA698" s="13"/>
      <c r="AB698" s="13"/>
      <c r="AC698" s="13"/>
      <c r="AD698" s="13"/>
      <c r="AE698" s="13"/>
    </row>
    <row r="699" spans="1:31" ht="21" x14ac:dyDescent="0.4">
      <c r="A699" s="210"/>
      <c r="B699" s="108">
        <v>689</v>
      </c>
      <c r="C699" s="297">
        <v>2085.4124867134915</v>
      </c>
      <c r="D699" s="297">
        <v>2968.5693952704742</v>
      </c>
      <c r="E699" s="297">
        <v>18.697954988880369</v>
      </c>
      <c r="F699" s="297">
        <v>13.325452312202238</v>
      </c>
      <c r="G699" s="322">
        <v>-883.15690855698267</v>
      </c>
      <c r="H699" s="322">
        <v>5.3725026766781312</v>
      </c>
      <c r="I699" s="322">
        <v>-164.3846381670017</v>
      </c>
      <c r="K699" s="223">
        <f t="shared" si="43"/>
        <v>1119791.8868461088</v>
      </c>
      <c r="L699" s="223">
        <f t="shared" si="43"/>
        <v>796558.56933686382</v>
      </c>
      <c r="M699" s="114">
        <f t="shared" si="44"/>
        <v>1</v>
      </c>
      <c r="N699" s="114">
        <f t="shared" si="45"/>
        <v>0</v>
      </c>
      <c r="T699" s="12"/>
      <c r="U699" s="210"/>
      <c r="V699" s="13"/>
      <c r="W699" s="13"/>
      <c r="X699" s="13"/>
      <c r="Y699" s="13"/>
      <c r="Z699" s="13"/>
      <c r="AA699" s="13"/>
      <c r="AB699" s="13"/>
      <c r="AC699" s="13"/>
      <c r="AD699" s="13"/>
      <c r="AE699" s="13"/>
    </row>
    <row r="700" spans="1:31" ht="21" x14ac:dyDescent="0.4">
      <c r="A700" s="210"/>
      <c r="B700" s="108">
        <v>690</v>
      </c>
      <c r="C700" s="297">
        <v>1805.5836782181177</v>
      </c>
      <c r="D700" s="297">
        <v>2788.3285182452955</v>
      </c>
      <c r="E700" s="297">
        <v>19.358374718857604</v>
      </c>
      <c r="F700" s="297">
        <v>15.488391511866766</v>
      </c>
      <c r="G700" s="322">
        <v>-982.74484002717782</v>
      </c>
      <c r="H700" s="322">
        <v>3.8699832069908382</v>
      </c>
      <c r="I700" s="322">
        <v>-253.94033706707617</v>
      </c>
      <c r="K700" s="223">
        <f t="shared" si="43"/>
        <v>1159696.8994532381</v>
      </c>
      <c r="L700" s="223">
        <f t="shared" si="43"/>
        <v>926515.16219376074</v>
      </c>
      <c r="M700" s="114">
        <f t="shared" si="44"/>
        <v>1</v>
      </c>
      <c r="N700" s="114">
        <f t="shared" si="45"/>
        <v>0</v>
      </c>
      <c r="T700" s="12"/>
      <c r="U700" s="210"/>
      <c r="V700" s="13"/>
      <c r="W700" s="13"/>
      <c r="X700" s="13"/>
      <c r="Y700" s="13"/>
      <c r="Z700" s="13"/>
      <c r="AA700" s="13"/>
      <c r="AB700" s="13"/>
      <c r="AC700" s="13"/>
      <c r="AD700" s="13"/>
      <c r="AE700" s="13"/>
    </row>
    <row r="701" spans="1:31" ht="21" x14ac:dyDescent="0.4">
      <c r="A701" s="210"/>
      <c r="B701" s="108">
        <v>691</v>
      </c>
      <c r="C701" s="297">
        <v>2063.5544594718053</v>
      </c>
      <c r="D701" s="297">
        <v>2977.261102213813</v>
      </c>
      <c r="E701" s="297">
        <v>18.357343799361928</v>
      </c>
      <c r="F701" s="297">
        <v>14.228547796515782</v>
      </c>
      <c r="G701" s="322">
        <v>-913.70664274200772</v>
      </c>
      <c r="H701" s="322">
        <v>4.1287960028461459</v>
      </c>
      <c r="I701" s="322">
        <v>-221.30098995255585</v>
      </c>
      <c r="K701" s="223">
        <f t="shared" si="43"/>
        <v>1099377.073502244</v>
      </c>
      <c r="L701" s="223">
        <f t="shared" si="43"/>
        <v>850735.60668873321</v>
      </c>
      <c r="M701" s="114">
        <f t="shared" si="44"/>
        <v>1</v>
      </c>
      <c r="N701" s="114">
        <f t="shared" si="45"/>
        <v>0</v>
      </c>
      <c r="T701" s="12"/>
      <c r="U701" s="210"/>
      <c r="V701" s="13"/>
      <c r="W701" s="13"/>
      <c r="X701" s="13"/>
      <c r="Y701" s="13"/>
      <c r="Z701" s="13"/>
      <c r="AA701" s="13"/>
      <c r="AB701" s="13"/>
      <c r="AC701" s="13"/>
      <c r="AD701" s="13"/>
      <c r="AE701" s="13"/>
    </row>
    <row r="702" spans="1:31" ht="21" x14ac:dyDescent="0.4">
      <c r="A702" s="210"/>
      <c r="B702" s="108">
        <v>692</v>
      </c>
      <c r="C702" s="297">
        <v>2028.0060855333361</v>
      </c>
      <c r="D702" s="297">
        <v>2267.8137769018635</v>
      </c>
      <c r="E702" s="297">
        <v>17.490302284659538</v>
      </c>
      <c r="F702" s="297">
        <v>12.460336769955109</v>
      </c>
      <c r="G702" s="322">
        <v>-239.80769136852746</v>
      </c>
      <c r="H702" s="322">
        <v>5.0299655147044291</v>
      </c>
      <c r="I702" s="322">
        <v>-47.675812223261147</v>
      </c>
      <c r="K702" s="223">
        <f t="shared" si="43"/>
        <v>1047390.130994039</v>
      </c>
      <c r="L702" s="223">
        <f t="shared" si="43"/>
        <v>745352.39242040471</v>
      </c>
      <c r="M702" s="114">
        <f t="shared" si="44"/>
        <v>1</v>
      </c>
      <c r="N702" s="114">
        <f t="shared" si="45"/>
        <v>0</v>
      </c>
      <c r="T702" s="12"/>
      <c r="U702" s="210"/>
      <c r="V702" s="13"/>
      <c r="W702" s="13"/>
      <c r="X702" s="13"/>
      <c r="Y702" s="13"/>
      <c r="Z702" s="13"/>
      <c r="AA702" s="13"/>
      <c r="AB702" s="13"/>
      <c r="AC702" s="13"/>
      <c r="AD702" s="13"/>
      <c r="AE702" s="13"/>
    </row>
    <row r="703" spans="1:31" ht="21" x14ac:dyDescent="0.4">
      <c r="A703" s="210"/>
      <c r="B703" s="108">
        <v>693</v>
      </c>
      <c r="C703" s="297">
        <v>2277.8315380422673</v>
      </c>
      <c r="D703" s="297">
        <v>3592.4641672825419</v>
      </c>
      <c r="E703" s="297">
        <v>17.708207022945416</v>
      </c>
      <c r="F703" s="297">
        <v>12.290622829539885</v>
      </c>
      <c r="G703" s="322">
        <v>-1314.6326292402746</v>
      </c>
      <c r="H703" s="322">
        <v>5.4175841934055313</v>
      </c>
      <c r="I703" s="322">
        <v>-242.66030435493562</v>
      </c>
      <c r="K703" s="223">
        <f t="shared" si="43"/>
        <v>1060214.5898386827</v>
      </c>
      <c r="L703" s="223">
        <f t="shared" si="43"/>
        <v>733844.90560511057</v>
      </c>
      <c r="M703" s="114">
        <f t="shared" si="44"/>
        <v>1</v>
      </c>
      <c r="N703" s="114">
        <f t="shared" si="45"/>
        <v>0</v>
      </c>
      <c r="T703" s="12"/>
      <c r="U703" s="210"/>
      <c r="V703" s="13"/>
      <c r="W703" s="13"/>
      <c r="X703" s="13"/>
      <c r="Y703" s="13"/>
      <c r="Z703" s="13"/>
      <c r="AA703" s="13"/>
      <c r="AB703" s="13"/>
      <c r="AC703" s="13"/>
      <c r="AD703" s="13"/>
      <c r="AE703" s="13"/>
    </row>
    <row r="704" spans="1:31" ht="21" x14ac:dyDescent="0.4">
      <c r="A704" s="210"/>
      <c r="B704" s="108">
        <v>694</v>
      </c>
      <c r="C704" s="297">
        <v>1721.82662118594</v>
      </c>
      <c r="D704" s="297">
        <v>2419.7955158719055</v>
      </c>
      <c r="E704" s="297">
        <v>18.709864224172023</v>
      </c>
      <c r="F704" s="297">
        <v>13.479866824830536</v>
      </c>
      <c r="G704" s="322">
        <v>-697.96889468596555</v>
      </c>
      <c r="H704" s="322">
        <v>5.229997399341487</v>
      </c>
      <c r="I704" s="322">
        <v>-133.45492194199701</v>
      </c>
      <c r="K704" s="223">
        <f t="shared" si="43"/>
        <v>1120870.0268291354</v>
      </c>
      <c r="L704" s="223">
        <f t="shared" si="43"/>
        <v>806372.21397396014</v>
      </c>
      <c r="M704" s="114">
        <f t="shared" si="44"/>
        <v>1</v>
      </c>
      <c r="N704" s="114">
        <f t="shared" si="45"/>
        <v>0</v>
      </c>
      <c r="T704" s="12"/>
      <c r="U704" s="210"/>
      <c r="V704" s="13"/>
      <c r="W704" s="13"/>
      <c r="X704" s="13"/>
      <c r="Y704" s="13"/>
      <c r="Z704" s="13"/>
      <c r="AA704" s="13"/>
      <c r="AB704" s="13"/>
      <c r="AC704" s="13"/>
      <c r="AD704" s="13"/>
      <c r="AE704" s="13"/>
    </row>
    <row r="705" spans="1:31" ht="21" x14ac:dyDescent="0.4">
      <c r="A705" s="210"/>
      <c r="B705" s="108">
        <v>695</v>
      </c>
      <c r="C705" s="297">
        <v>1989.6293363929856</v>
      </c>
      <c r="D705" s="297">
        <v>2809.966979541332</v>
      </c>
      <c r="E705" s="297">
        <v>16.404110371288347</v>
      </c>
      <c r="F705" s="297">
        <v>11.363925801450785</v>
      </c>
      <c r="G705" s="322">
        <v>-820.33764314834639</v>
      </c>
      <c r="H705" s="322">
        <v>5.040184569837562</v>
      </c>
      <c r="I705" s="322">
        <v>-162.75944497302103</v>
      </c>
      <c r="K705" s="223">
        <f t="shared" si="43"/>
        <v>982256.99294090783</v>
      </c>
      <c r="L705" s="223">
        <f t="shared" si="43"/>
        <v>679025.58110750571</v>
      </c>
      <c r="M705" s="114">
        <f t="shared" si="44"/>
        <v>1</v>
      </c>
      <c r="N705" s="114">
        <f t="shared" si="45"/>
        <v>0</v>
      </c>
      <c r="T705" s="12"/>
      <c r="U705" s="210"/>
      <c r="V705" s="13"/>
      <c r="W705" s="13"/>
      <c r="X705" s="13"/>
      <c r="Y705" s="13"/>
      <c r="Z705" s="13"/>
      <c r="AA705" s="13"/>
      <c r="AB705" s="13"/>
      <c r="AC705" s="13"/>
      <c r="AD705" s="13"/>
      <c r="AE705" s="13"/>
    </row>
    <row r="706" spans="1:31" ht="21" x14ac:dyDescent="0.4">
      <c r="A706" s="210"/>
      <c r="B706" s="108">
        <v>696</v>
      </c>
      <c r="C706" s="297">
        <v>1861.8028172767829</v>
      </c>
      <c r="D706" s="297">
        <v>2432.0364243273852</v>
      </c>
      <c r="E706" s="297">
        <v>18.128388575789501</v>
      </c>
      <c r="F706" s="297">
        <v>13.352205458704113</v>
      </c>
      <c r="G706" s="322">
        <v>-570.23360705060236</v>
      </c>
      <c r="H706" s="322">
        <v>4.7761831170853881</v>
      </c>
      <c r="I706" s="322">
        <v>-119.39106878267704</v>
      </c>
      <c r="K706" s="223">
        <f t="shared" si="43"/>
        <v>1085841.5117300933</v>
      </c>
      <c r="L706" s="223">
        <f t="shared" si="43"/>
        <v>798700.29109791934</v>
      </c>
      <c r="M706" s="114">
        <f t="shared" si="44"/>
        <v>1</v>
      </c>
      <c r="N706" s="114">
        <f t="shared" si="45"/>
        <v>0</v>
      </c>
      <c r="T706" s="12"/>
      <c r="U706" s="210"/>
      <c r="V706" s="13"/>
      <c r="W706" s="13"/>
      <c r="X706" s="13"/>
      <c r="Y706" s="13"/>
      <c r="Z706" s="13"/>
      <c r="AA706" s="13"/>
      <c r="AB706" s="13"/>
      <c r="AC706" s="13"/>
      <c r="AD706" s="13"/>
      <c r="AE706" s="13"/>
    </row>
    <row r="707" spans="1:31" ht="21" x14ac:dyDescent="0.4">
      <c r="A707" s="210"/>
      <c r="B707" s="108">
        <v>697</v>
      </c>
      <c r="C707" s="297">
        <v>1953.6490510283047</v>
      </c>
      <c r="D707" s="297">
        <v>3165.5532209767393</v>
      </c>
      <c r="E707" s="297">
        <v>19.098565374670798</v>
      </c>
      <c r="F707" s="297">
        <v>14.023723424364942</v>
      </c>
      <c r="G707" s="322">
        <v>-1211.9041699484346</v>
      </c>
      <c r="H707" s="322">
        <v>5.0748419503058564</v>
      </c>
      <c r="I707" s="322">
        <v>-238.80628831709609</v>
      </c>
      <c r="K707" s="223">
        <f t="shared" si="43"/>
        <v>1143960.2734292196</v>
      </c>
      <c r="L707" s="223">
        <f t="shared" si="43"/>
        <v>838257.85224091983</v>
      </c>
      <c r="M707" s="114">
        <f t="shared" si="44"/>
        <v>1</v>
      </c>
      <c r="N707" s="114">
        <f t="shared" si="45"/>
        <v>0</v>
      </c>
      <c r="T707" s="12"/>
      <c r="U707" s="210"/>
      <c r="V707" s="13"/>
      <c r="W707" s="13"/>
      <c r="X707" s="13"/>
      <c r="Y707" s="13"/>
      <c r="Z707" s="13"/>
      <c r="AA707" s="13"/>
      <c r="AB707" s="13"/>
      <c r="AC707" s="13"/>
      <c r="AD707" s="13"/>
      <c r="AE707" s="13"/>
    </row>
    <row r="708" spans="1:31" ht="21" x14ac:dyDescent="0.4">
      <c r="A708" s="210"/>
      <c r="B708" s="108">
        <v>698</v>
      </c>
      <c r="C708" s="297">
        <v>1999.9623204753489</v>
      </c>
      <c r="D708" s="297">
        <v>3115.0089258223184</v>
      </c>
      <c r="E708" s="297">
        <v>19.373193525283934</v>
      </c>
      <c r="F708" s="297">
        <v>14.725944544585127</v>
      </c>
      <c r="G708" s="322">
        <v>-1115.0466053469695</v>
      </c>
      <c r="H708" s="322">
        <v>4.6472489806988069</v>
      </c>
      <c r="I708" s="322">
        <v>-239.93691966538447</v>
      </c>
      <c r="K708" s="223">
        <f t="shared" si="43"/>
        <v>1160391.6491965607</v>
      </c>
      <c r="L708" s="223">
        <f t="shared" si="43"/>
        <v>880441.66374928528</v>
      </c>
      <c r="M708" s="114">
        <f t="shared" si="44"/>
        <v>1</v>
      </c>
      <c r="N708" s="114">
        <f t="shared" si="45"/>
        <v>0</v>
      </c>
      <c r="T708" s="12"/>
      <c r="U708" s="210"/>
      <c r="V708" s="13"/>
      <c r="W708" s="13"/>
      <c r="X708" s="13"/>
      <c r="Y708" s="13"/>
      <c r="Z708" s="13"/>
      <c r="AA708" s="13"/>
      <c r="AB708" s="13"/>
      <c r="AC708" s="13"/>
      <c r="AD708" s="13"/>
      <c r="AE708" s="13"/>
    </row>
    <row r="709" spans="1:31" ht="21" x14ac:dyDescent="0.4">
      <c r="A709" s="210"/>
      <c r="B709" s="108">
        <v>699</v>
      </c>
      <c r="C709" s="297">
        <v>1987.9723282639286</v>
      </c>
      <c r="D709" s="297">
        <v>2850.6247371298323</v>
      </c>
      <c r="E709" s="297">
        <v>19.710582206624601</v>
      </c>
      <c r="F709" s="297">
        <v>14.920698830671212</v>
      </c>
      <c r="G709" s="322">
        <v>-862.65240886590368</v>
      </c>
      <c r="H709" s="322">
        <v>4.789883375953389</v>
      </c>
      <c r="I709" s="322">
        <v>-180.09883355337425</v>
      </c>
      <c r="K709" s="223">
        <f t="shared" si="43"/>
        <v>1180646.9600692119</v>
      </c>
      <c r="L709" s="223">
        <f t="shared" si="43"/>
        <v>892391.30510314286</v>
      </c>
      <c r="M709" s="114">
        <f t="shared" si="44"/>
        <v>1</v>
      </c>
      <c r="N709" s="114">
        <f t="shared" si="45"/>
        <v>0</v>
      </c>
      <c r="T709" s="12"/>
      <c r="U709" s="210"/>
      <c r="V709" s="13"/>
      <c r="W709" s="13"/>
      <c r="X709" s="13"/>
      <c r="Y709" s="13"/>
      <c r="Z709" s="13"/>
      <c r="AA709" s="13"/>
      <c r="AB709" s="13"/>
      <c r="AC709" s="13"/>
      <c r="AD709" s="13"/>
      <c r="AE709" s="13"/>
    </row>
    <row r="710" spans="1:31" ht="21" x14ac:dyDescent="0.4">
      <c r="A710" s="210"/>
      <c r="B710" s="108">
        <v>700</v>
      </c>
      <c r="C710" s="297">
        <v>2118.7438331507637</v>
      </c>
      <c r="D710" s="297">
        <v>3326.7857885627591</v>
      </c>
      <c r="E710" s="297">
        <v>20.816019892091312</v>
      </c>
      <c r="F710" s="297">
        <v>15.307234053606804</v>
      </c>
      <c r="G710" s="322">
        <v>-1208.0419554119953</v>
      </c>
      <c r="H710" s="322">
        <v>5.5087858384845081</v>
      </c>
      <c r="I710" s="322">
        <v>-219.29368663646093</v>
      </c>
      <c r="K710" s="223">
        <f t="shared" si="43"/>
        <v>1246842.449692328</v>
      </c>
      <c r="L710" s="223">
        <f t="shared" si="43"/>
        <v>915107.2574278455</v>
      </c>
      <c r="M710" s="114">
        <f t="shared" si="44"/>
        <v>1</v>
      </c>
      <c r="N710" s="114">
        <f t="shared" si="45"/>
        <v>0</v>
      </c>
      <c r="T710" s="12"/>
      <c r="U710" s="210"/>
      <c r="V710" s="13"/>
      <c r="W710" s="13"/>
      <c r="X710" s="13"/>
      <c r="Y710" s="13"/>
      <c r="Z710" s="13"/>
      <c r="AA710" s="13"/>
      <c r="AB710" s="13"/>
      <c r="AC710" s="13"/>
      <c r="AD710" s="13"/>
      <c r="AE710" s="13"/>
    </row>
    <row r="711" spans="1:31" ht="21" x14ac:dyDescent="0.4">
      <c r="A711" s="210"/>
      <c r="B711" s="108">
        <v>701</v>
      </c>
      <c r="C711" s="297">
        <v>1969.1638261361481</v>
      </c>
      <c r="D711" s="297">
        <v>2997.5068903997726</v>
      </c>
      <c r="E711" s="297">
        <v>19.090232387346653</v>
      </c>
      <c r="F711" s="297">
        <v>14.443573231141002</v>
      </c>
      <c r="G711" s="322">
        <v>-1028.3430642636245</v>
      </c>
      <c r="H711" s="322">
        <v>4.6466591562056507</v>
      </c>
      <c r="I711" s="322">
        <v>-221.30804728603002</v>
      </c>
      <c r="K711" s="223">
        <f t="shared" si="43"/>
        <v>1143444.7794146631</v>
      </c>
      <c r="L711" s="223">
        <f t="shared" si="43"/>
        <v>863616.88697806036</v>
      </c>
      <c r="M711" s="114">
        <f t="shared" si="44"/>
        <v>1</v>
      </c>
      <c r="N711" s="114">
        <f t="shared" si="45"/>
        <v>0</v>
      </c>
      <c r="T711" s="12"/>
      <c r="U711" s="210"/>
      <c r="V711" s="13"/>
      <c r="W711" s="13"/>
      <c r="X711" s="13"/>
      <c r="Y711" s="13"/>
      <c r="Z711" s="13"/>
      <c r="AA711" s="13"/>
      <c r="AB711" s="13"/>
      <c r="AC711" s="13"/>
      <c r="AD711" s="13"/>
      <c r="AE711" s="13"/>
    </row>
    <row r="712" spans="1:31" ht="21" x14ac:dyDescent="0.4">
      <c r="A712" s="210"/>
      <c r="B712" s="108">
        <v>702</v>
      </c>
      <c r="C712" s="297">
        <v>2317.1716599493975</v>
      </c>
      <c r="D712" s="297">
        <v>3020.3354864765547</v>
      </c>
      <c r="E712" s="297">
        <v>20.449023566776518</v>
      </c>
      <c r="F712" s="297">
        <v>14.402064809222692</v>
      </c>
      <c r="G712" s="322">
        <v>-703.1638265271572</v>
      </c>
      <c r="H712" s="322">
        <v>6.0469587575538259</v>
      </c>
      <c r="I712" s="322">
        <v>-116.2838799998047</v>
      </c>
      <c r="K712" s="223">
        <f t="shared" si="43"/>
        <v>1224624.2423466416</v>
      </c>
      <c r="L712" s="223">
        <f t="shared" si="43"/>
        <v>861103.55306688498</v>
      </c>
      <c r="M712" s="114">
        <f t="shared" si="44"/>
        <v>1</v>
      </c>
      <c r="N712" s="114">
        <f t="shared" si="45"/>
        <v>0</v>
      </c>
      <c r="T712" s="12"/>
      <c r="U712" s="210"/>
      <c r="V712" s="13"/>
      <c r="W712" s="13"/>
      <c r="X712" s="13"/>
      <c r="Y712" s="13"/>
      <c r="Z712" s="13"/>
      <c r="AA712" s="13"/>
      <c r="AB712" s="13"/>
      <c r="AC712" s="13"/>
      <c r="AD712" s="13"/>
      <c r="AE712" s="13"/>
    </row>
    <row r="713" spans="1:31" ht="21" x14ac:dyDescent="0.4">
      <c r="A713" s="210"/>
      <c r="B713" s="108">
        <v>703</v>
      </c>
      <c r="C713" s="297">
        <v>2089.6263067705486</v>
      </c>
      <c r="D713" s="297">
        <v>3141.0198578742197</v>
      </c>
      <c r="E713" s="297">
        <v>18.205501611584559</v>
      </c>
      <c r="F713" s="297">
        <v>14.198331628732198</v>
      </c>
      <c r="G713" s="322">
        <v>-1051.3935511036711</v>
      </c>
      <c r="H713" s="322">
        <v>4.0071699828523606</v>
      </c>
      <c r="I713" s="322">
        <v>-262.37807619912201</v>
      </c>
      <c r="K713" s="223">
        <f t="shared" si="43"/>
        <v>1090240.470388303</v>
      </c>
      <c r="L713" s="223">
        <f t="shared" si="43"/>
        <v>848758.87786605768</v>
      </c>
      <c r="M713" s="114">
        <f t="shared" si="44"/>
        <v>1</v>
      </c>
      <c r="N713" s="114">
        <f t="shared" si="45"/>
        <v>0</v>
      </c>
      <c r="T713" s="12"/>
      <c r="U713" s="210"/>
      <c r="V713" s="13"/>
      <c r="W713" s="13"/>
      <c r="X713" s="13"/>
      <c r="Y713" s="13"/>
      <c r="Z713" s="13"/>
      <c r="AA713" s="13"/>
      <c r="AB713" s="13"/>
      <c r="AC713" s="13"/>
      <c r="AD713" s="13"/>
      <c r="AE713" s="13"/>
    </row>
    <row r="714" spans="1:31" ht="21" x14ac:dyDescent="0.4">
      <c r="A714" s="210"/>
      <c r="B714" s="108">
        <v>704</v>
      </c>
      <c r="C714" s="297">
        <v>2254.5447019093044</v>
      </c>
      <c r="D714" s="297">
        <v>2914.442343430529</v>
      </c>
      <c r="E714" s="297">
        <v>17.539367392813396</v>
      </c>
      <c r="F714" s="297">
        <v>12.6902654985971</v>
      </c>
      <c r="G714" s="322">
        <v>-659.89764152122461</v>
      </c>
      <c r="H714" s="322">
        <v>4.8491018942162967</v>
      </c>
      <c r="I714" s="322">
        <v>-136.08656941366996</v>
      </c>
      <c r="K714" s="223">
        <f t="shared" si="43"/>
        <v>1050107.4988668943</v>
      </c>
      <c r="L714" s="223">
        <f t="shared" si="43"/>
        <v>758501.48757239548</v>
      </c>
      <c r="M714" s="114">
        <f t="shared" si="44"/>
        <v>1</v>
      </c>
      <c r="N714" s="114">
        <f t="shared" si="45"/>
        <v>0</v>
      </c>
      <c r="T714" s="12"/>
      <c r="U714" s="210"/>
      <c r="V714" s="13"/>
      <c r="W714" s="13"/>
      <c r="X714" s="13"/>
      <c r="Y714" s="13"/>
      <c r="Z714" s="13"/>
      <c r="AA714" s="13"/>
      <c r="AB714" s="13"/>
      <c r="AC714" s="13"/>
      <c r="AD714" s="13"/>
      <c r="AE714" s="13"/>
    </row>
    <row r="715" spans="1:31" ht="21" x14ac:dyDescent="0.4">
      <c r="A715" s="210"/>
      <c r="B715" s="108">
        <v>705</v>
      </c>
      <c r="C715" s="297">
        <v>2067.8752433115887</v>
      </c>
      <c r="D715" s="297">
        <v>2779.5140860809488</v>
      </c>
      <c r="E715" s="297">
        <v>19.025742740856366</v>
      </c>
      <c r="F715" s="297">
        <v>13.82481168109312</v>
      </c>
      <c r="G715" s="322">
        <v>-711.63884276936005</v>
      </c>
      <c r="H715" s="322">
        <v>5.2009310597632457</v>
      </c>
      <c r="I715" s="322">
        <v>-136.82912436100526</v>
      </c>
      <c r="K715" s="223">
        <f t="shared" si="43"/>
        <v>1139476.6892080705</v>
      </c>
      <c r="L715" s="223">
        <f t="shared" si="43"/>
        <v>826709.18677950627</v>
      </c>
      <c r="M715" s="114">
        <f t="shared" si="44"/>
        <v>1</v>
      </c>
      <c r="N715" s="114">
        <f t="shared" si="45"/>
        <v>0</v>
      </c>
      <c r="T715" s="12"/>
      <c r="U715" s="210"/>
      <c r="V715" s="13"/>
      <c r="W715" s="13"/>
      <c r="X715" s="13"/>
      <c r="Y715" s="13"/>
      <c r="Z715" s="13"/>
      <c r="AA715" s="13"/>
      <c r="AB715" s="13"/>
      <c r="AC715" s="13"/>
      <c r="AD715" s="13"/>
      <c r="AE715" s="13"/>
    </row>
    <row r="716" spans="1:31" ht="21" x14ac:dyDescent="0.4">
      <c r="A716" s="210"/>
      <c r="B716" s="108">
        <v>706</v>
      </c>
      <c r="C716" s="297">
        <v>2071.7487730756425</v>
      </c>
      <c r="D716" s="297">
        <v>3273.2991137655808</v>
      </c>
      <c r="E716" s="297">
        <v>15.78248263432743</v>
      </c>
      <c r="F716" s="297">
        <v>10.253208395077689</v>
      </c>
      <c r="G716" s="322">
        <v>-1201.5503406899384</v>
      </c>
      <c r="H716" s="322">
        <v>5.5292742392497409</v>
      </c>
      <c r="I716" s="322">
        <v>-217.30706213858818</v>
      </c>
      <c r="K716" s="223">
        <f t="shared" ref="K716:L779" si="46">E716*$N$4-C716</f>
        <v>944877.20928657008</v>
      </c>
      <c r="L716" s="223">
        <f t="shared" si="46"/>
        <v>611919.20459089568</v>
      </c>
      <c r="M716" s="114">
        <f t="shared" ref="M716:M779" si="47">IF(MAX(K716:L716)=K716,1,0)</f>
        <v>1</v>
      </c>
      <c r="N716" s="114">
        <f t="shared" ref="N716:N779" si="48">IF(MAX(K716:L716)=L716,1,0)</f>
        <v>0</v>
      </c>
      <c r="T716" s="12"/>
      <c r="U716" s="210"/>
      <c r="V716" s="13"/>
      <c r="W716" s="13"/>
      <c r="X716" s="13"/>
      <c r="Y716" s="13"/>
      <c r="Z716" s="13"/>
      <c r="AA716" s="13"/>
      <c r="AB716" s="13"/>
      <c r="AC716" s="13"/>
      <c r="AD716" s="13"/>
      <c r="AE716" s="13"/>
    </row>
    <row r="717" spans="1:31" ht="21" x14ac:dyDescent="0.4">
      <c r="A717" s="210"/>
      <c r="B717" s="108">
        <v>707</v>
      </c>
      <c r="C717" s="297">
        <v>2302.6502956456293</v>
      </c>
      <c r="D717" s="297">
        <v>3381.8607595577623</v>
      </c>
      <c r="E717" s="297">
        <v>18.727373450564034</v>
      </c>
      <c r="F717" s="297">
        <v>14.246418627057626</v>
      </c>
      <c r="G717" s="322">
        <v>-1079.210463912133</v>
      </c>
      <c r="H717" s="322">
        <v>4.4809548235064085</v>
      </c>
      <c r="I717" s="322">
        <v>-240.8438617257998</v>
      </c>
      <c r="K717" s="223">
        <f t="shared" si="46"/>
        <v>1121339.7567381964</v>
      </c>
      <c r="L717" s="223">
        <f t="shared" si="46"/>
        <v>851403.25686389976</v>
      </c>
      <c r="M717" s="114">
        <f t="shared" si="47"/>
        <v>1</v>
      </c>
      <c r="N717" s="114">
        <f t="shared" si="48"/>
        <v>0</v>
      </c>
      <c r="T717" s="12"/>
      <c r="U717" s="210"/>
      <c r="V717" s="13"/>
      <c r="W717" s="13"/>
      <c r="X717" s="13"/>
      <c r="Y717" s="13"/>
      <c r="Z717" s="13"/>
      <c r="AA717" s="13"/>
      <c r="AB717" s="13"/>
      <c r="AC717" s="13"/>
      <c r="AD717" s="13"/>
      <c r="AE717" s="13"/>
    </row>
    <row r="718" spans="1:31" ht="21" x14ac:dyDescent="0.4">
      <c r="A718" s="210"/>
      <c r="B718" s="108">
        <v>708</v>
      </c>
      <c r="C718" s="297">
        <v>1868.2475269798356</v>
      </c>
      <c r="D718" s="297">
        <v>3064.2269381229144</v>
      </c>
      <c r="E718" s="297">
        <v>19.003584937442564</v>
      </c>
      <c r="F718" s="297">
        <v>14.012664125796874</v>
      </c>
      <c r="G718" s="322">
        <v>-1195.9794111430788</v>
      </c>
      <c r="H718" s="322">
        <v>4.9909208116456902</v>
      </c>
      <c r="I718" s="322">
        <v>-239.63101324958117</v>
      </c>
      <c r="K718" s="223">
        <f t="shared" si="46"/>
        <v>1138346.848719574</v>
      </c>
      <c r="L718" s="223">
        <f t="shared" si="46"/>
        <v>837695.62060968962</v>
      </c>
      <c r="M718" s="114">
        <f t="shared" si="47"/>
        <v>1</v>
      </c>
      <c r="N718" s="114">
        <f t="shared" si="48"/>
        <v>0</v>
      </c>
      <c r="T718" s="12"/>
      <c r="U718" s="210"/>
      <c r="V718" s="13"/>
      <c r="W718" s="13"/>
      <c r="X718" s="13"/>
      <c r="Y718" s="13"/>
      <c r="Z718" s="13"/>
      <c r="AA718" s="13"/>
      <c r="AB718" s="13"/>
      <c r="AC718" s="13"/>
      <c r="AD718" s="13"/>
      <c r="AE718" s="13"/>
    </row>
    <row r="719" spans="1:31" ht="21" x14ac:dyDescent="0.4">
      <c r="A719" s="210"/>
      <c r="B719" s="108">
        <v>709</v>
      </c>
      <c r="C719" s="297">
        <v>2350.3889021444238</v>
      </c>
      <c r="D719" s="297">
        <v>3310.5597210312853</v>
      </c>
      <c r="E719" s="297">
        <v>20.294666659344074</v>
      </c>
      <c r="F719" s="297">
        <v>14.709665870709991</v>
      </c>
      <c r="G719" s="322">
        <v>-960.17081888686153</v>
      </c>
      <c r="H719" s="322">
        <v>5.5850007886340833</v>
      </c>
      <c r="I719" s="322">
        <v>-171.91954938321311</v>
      </c>
      <c r="K719" s="223">
        <f t="shared" si="46"/>
        <v>1215329.6106584999</v>
      </c>
      <c r="L719" s="223">
        <f t="shared" si="46"/>
        <v>879269.39252156811</v>
      </c>
      <c r="M719" s="114">
        <f t="shared" si="47"/>
        <v>1</v>
      </c>
      <c r="N719" s="114">
        <f t="shared" si="48"/>
        <v>0</v>
      </c>
      <c r="T719" s="12"/>
      <c r="U719" s="210"/>
      <c r="V719" s="13"/>
      <c r="W719" s="13"/>
      <c r="X719" s="13"/>
      <c r="Y719" s="13"/>
      <c r="Z719" s="13"/>
      <c r="AA719" s="13"/>
      <c r="AB719" s="13"/>
      <c r="AC719" s="13"/>
      <c r="AD719" s="13"/>
      <c r="AE719" s="13"/>
    </row>
    <row r="720" spans="1:31" ht="21" x14ac:dyDescent="0.4">
      <c r="A720" s="210"/>
      <c r="B720" s="108">
        <v>710</v>
      </c>
      <c r="C720" s="297">
        <v>2074.477696368107</v>
      </c>
      <c r="D720" s="297">
        <v>3084.5569451870788</v>
      </c>
      <c r="E720" s="297">
        <v>18.616744948232537</v>
      </c>
      <c r="F720" s="297">
        <v>13.51470604111941</v>
      </c>
      <c r="G720" s="322">
        <v>-1010.0792488189718</v>
      </c>
      <c r="H720" s="322">
        <v>5.1020389071131262</v>
      </c>
      <c r="I720" s="322">
        <v>-197.97560685214421</v>
      </c>
      <c r="K720" s="223">
        <f t="shared" si="46"/>
        <v>1114930.2191975841</v>
      </c>
      <c r="L720" s="223">
        <f t="shared" si="46"/>
        <v>807797.8055219776</v>
      </c>
      <c r="M720" s="114">
        <f t="shared" si="47"/>
        <v>1</v>
      </c>
      <c r="N720" s="114">
        <f t="shared" si="48"/>
        <v>0</v>
      </c>
      <c r="T720" s="12"/>
      <c r="U720" s="210"/>
      <c r="V720" s="13"/>
      <c r="W720" s="13"/>
      <c r="X720" s="13"/>
      <c r="Y720" s="13"/>
      <c r="Z720" s="13"/>
      <c r="AA720" s="13"/>
      <c r="AB720" s="13"/>
      <c r="AC720" s="13"/>
      <c r="AD720" s="13"/>
      <c r="AE720" s="13"/>
    </row>
    <row r="721" spans="1:31" ht="21" x14ac:dyDescent="0.4">
      <c r="A721" s="210"/>
      <c r="B721" s="108">
        <v>711</v>
      </c>
      <c r="C721" s="297">
        <v>2013.0016106372018</v>
      </c>
      <c r="D721" s="297">
        <v>3551.9641876731339</v>
      </c>
      <c r="E721" s="297">
        <v>18.27285423146369</v>
      </c>
      <c r="F721" s="297">
        <v>12.802832235639526</v>
      </c>
      <c r="G721" s="322">
        <v>-1538.9625770359321</v>
      </c>
      <c r="H721" s="322">
        <v>5.4700219958241636</v>
      </c>
      <c r="I721" s="322">
        <v>-281.34486080874672</v>
      </c>
      <c r="K721" s="223">
        <f t="shared" si="46"/>
        <v>1094358.2522771843</v>
      </c>
      <c r="L721" s="223">
        <f t="shared" si="46"/>
        <v>764617.96995069843</v>
      </c>
      <c r="M721" s="114">
        <f t="shared" si="47"/>
        <v>1</v>
      </c>
      <c r="N721" s="114">
        <f t="shared" si="48"/>
        <v>0</v>
      </c>
      <c r="T721" s="12"/>
      <c r="U721" s="210"/>
      <c r="V721" s="13"/>
      <c r="W721" s="13"/>
      <c r="X721" s="13"/>
      <c r="Y721" s="13"/>
      <c r="Z721" s="13"/>
      <c r="AA721" s="13"/>
      <c r="AB721" s="13"/>
      <c r="AC721" s="13"/>
      <c r="AD721" s="13"/>
      <c r="AE721" s="13"/>
    </row>
    <row r="722" spans="1:31" ht="21" x14ac:dyDescent="0.4">
      <c r="A722" s="210"/>
      <c r="B722" s="108">
        <v>712</v>
      </c>
      <c r="C722" s="297">
        <v>2026.9078165434366</v>
      </c>
      <c r="D722" s="297">
        <v>3122.7542521561186</v>
      </c>
      <c r="E722" s="297">
        <v>20.144757251029887</v>
      </c>
      <c r="F722" s="297">
        <v>14.621439129485413</v>
      </c>
      <c r="G722" s="322">
        <v>-1095.8464356126819</v>
      </c>
      <c r="H722" s="322">
        <v>5.5233181215444738</v>
      </c>
      <c r="I722" s="322">
        <v>-198.40364279185366</v>
      </c>
      <c r="K722" s="223">
        <f t="shared" si="46"/>
        <v>1206658.5272452498</v>
      </c>
      <c r="L722" s="223">
        <f t="shared" si="46"/>
        <v>874163.59351696866</v>
      </c>
      <c r="M722" s="114">
        <f t="shared" si="47"/>
        <v>1</v>
      </c>
      <c r="N722" s="114">
        <f t="shared" si="48"/>
        <v>0</v>
      </c>
      <c r="T722" s="12"/>
      <c r="U722" s="210"/>
      <c r="V722" s="13"/>
      <c r="W722" s="13"/>
      <c r="X722" s="13"/>
      <c r="Y722" s="13"/>
      <c r="Z722" s="13"/>
      <c r="AA722" s="13"/>
      <c r="AB722" s="13"/>
      <c r="AC722" s="13"/>
      <c r="AD722" s="13"/>
      <c r="AE722" s="13"/>
    </row>
    <row r="723" spans="1:31" ht="21" x14ac:dyDescent="0.4">
      <c r="A723" s="210"/>
      <c r="B723" s="108">
        <v>713</v>
      </c>
      <c r="C723" s="297">
        <v>2089.7501530311365</v>
      </c>
      <c r="D723" s="297">
        <v>3308.9208810338478</v>
      </c>
      <c r="E723" s="297">
        <v>19.849007021723551</v>
      </c>
      <c r="F723" s="297">
        <v>13.689241679864603</v>
      </c>
      <c r="G723" s="322">
        <v>-1219.1707280027113</v>
      </c>
      <c r="H723" s="322">
        <v>6.1597653418589484</v>
      </c>
      <c r="I723" s="322">
        <v>-197.92486569541612</v>
      </c>
      <c r="K723" s="223">
        <f t="shared" si="46"/>
        <v>1188850.6711503819</v>
      </c>
      <c r="L723" s="223">
        <f t="shared" si="46"/>
        <v>818045.57991084235</v>
      </c>
      <c r="M723" s="114">
        <f t="shared" si="47"/>
        <v>1</v>
      </c>
      <c r="N723" s="114">
        <f t="shared" si="48"/>
        <v>0</v>
      </c>
      <c r="T723" s="12"/>
      <c r="U723" s="210"/>
      <c r="V723" s="13"/>
      <c r="W723" s="13"/>
      <c r="X723" s="13"/>
      <c r="Y723" s="13"/>
      <c r="Z723" s="13"/>
      <c r="AA723" s="13"/>
      <c r="AB723" s="13"/>
      <c r="AC723" s="13"/>
      <c r="AD723" s="13"/>
      <c r="AE723" s="13"/>
    </row>
    <row r="724" spans="1:31" ht="21" x14ac:dyDescent="0.4">
      <c r="A724" s="210"/>
      <c r="B724" s="108">
        <v>714</v>
      </c>
      <c r="C724" s="297">
        <v>2200.4777072627999</v>
      </c>
      <c r="D724" s="297">
        <v>3045.7159794783502</v>
      </c>
      <c r="E724" s="297">
        <v>20.698350074867243</v>
      </c>
      <c r="F724" s="297">
        <v>14.995680709354938</v>
      </c>
      <c r="G724" s="322">
        <v>-845.2382722155503</v>
      </c>
      <c r="H724" s="322">
        <v>5.7026693655123051</v>
      </c>
      <c r="I724" s="322">
        <v>-148.21800424328433</v>
      </c>
      <c r="K724" s="223">
        <f t="shared" si="46"/>
        <v>1239700.5267847718</v>
      </c>
      <c r="L724" s="223">
        <f t="shared" si="46"/>
        <v>896695.12658181798</v>
      </c>
      <c r="M724" s="114">
        <f t="shared" si="47"/>
        <v>1</v>
      </c>
      <c r="N724" s="114">
        <f t="shared" si="48"/>
        <v>0</v>
      </c>
      <c r="T724" s="12"/>
      <c r="U724" s="210"/>
      <c r="V724" s="13"/>
      <c r="W724" s="13"/>
      <c r="X724" s="13"/>
      <c r="Y724" s="13"/>
      <c r="Z724" s="13"/>
      <c r="AA724" s="13"/>
      <c r="AB724" s="13"/>
      <c r="AC724" s="13"/>
      <c r="AD724" s="13"/>
      <c r="AE724" s="13"/>
    </row>
    <row r="725" spans="1:31" ht="21" x14ac:dyDescent="0.4">
      <c r="A725" s="210"/>
      <c r="B725" s="108">
        <v>715</v>
      </c>
      <c r="C725" s="297">
        <v>1967.3830908740756</v>
      </c>
      <c r="D725" s="297">
        <v>2497.6484100572279</v>
      </c>
      <c r="E725" s="297">
        <v>18.386339494557173</v>
      </c>
      <c r="F725" s="297">
        <v>13.040856651520732</v>
      </c>
      <c r="G725" s="322">
        <v>-530.26531918315231</v>
      </c>
      <c r="H725" s="322">
        <v>5.3454828430364412</v>
      </c>
      <c r="I725" s="322">
        <v>-99.198769270006878</v>
      </c>
      <c r="K725" s="223">
        <f t="shared" si="46"/>
        <v>1101212.9865825563</v>
      </c>
      <c r="L725" s="223">
        <f t="shared" si="46"/>
        <v>779953.75068118679</v>
      </c>
      <c r="M725" s="114">
        <f t="shared" si="47"/>
        <v>1</v>
      </c>
      <c r="N725" s="114">
        <f t="shared" si="48"/>
        <v>0</v>
      </c>
      <c r="T725" s="12"/>
      <c r="U725" s="210"/>
      <c r="V725" s="13"/>
      <c r="W725" s="13"/>
      <c r="X725" s="13"/>
      <c r="Y725" s="13"/>
      <c r="Z725" s="13"/>
      <c r="AA725" s="13"/>
      <c r="AB725" s="13"/>
      <c r="AC725" s="13"/>
      <c r="AD725" s="13"/>
      <c r="AE725" s="13"/>
    </row>
    <row r="726" spans="1:31" ht="21" x14ac:dyDescent="0.4">
      <c r="A726" s="210"/>
      <c r="B726" s="108">
        <v>716</v>
      </c>
      <c r="C726" s="297">
        <v>2064.7131581531944</v>
      </c>
      <c r="D726" s="297">
        <v>3090.4864684624799</v>
      </c>
      <c r="E726" s="297">
        <v>18.440035140305735</v>
      </c>
      <c r="F726" s="297">
        <v>15.141586338628017</v>
      </c>
      <c r="G726" s="322">
        <v>-1025.7733103092855</v>
      </c>
      <c r="H726" s="322">
        <v>3.2984488016777185</v>
      </c>
      <c r="I726" s="322">
        <v>-310.98657944532522</v>
      </c>
      <c r="K726" s="223">
        <f t="shared" si="46"/>
        <v>1104337.3952601908</v>
      </c>
      <c r="L726" s="223">
        <f t="shared" si="46"/>
        <v>905404.69384921843</v>
      </c>
      <c r="M726" s="114">
        <f t="shared" si="47"/>
        <v>1</v>
      </c>
      <c r="N726" s="114">
        <f t="shared" si="48"/>
        <v>0</v>
      </c>
      <c r="T726" s="12"/>
      <c r="U726" s="210"/>
      <c r="V726" s="13"/>
      <c r="W726" s="13"/>
      <c r="X726" s="13"/>
      <c r="Y726" s="13"/>
      <c r="Z726" s="13"/>
      <c r="AA726" s="13"/>
      <c r="AB726" s="13"/>
      <c r="AC726" s="13"/>
      <c r="AD726" s="13"/>
      <c r="AE726" s="13"/>
    </row>
    <row r="727" spans="1:31" ht="21" x14ac:dyDescent="0.4">
      <c r="A727" s="210"/>
      <c r="B727" s="108">
        <v>717</v>
      </c>
      <c r="C727" s="297">
        <v>2555.7470886951032</v>
      </c>
      <c r="D727" s="297">
        <v>3217.9892134807542</v>
      </c>
      <c r="E727" s="297">
        <v>17.998354295675135</v>
      </c>
      <c r="F727" s="297">
        <v>13.459398220647723</v>
      </c>
      <c r="G727" s="322">
        <v>-662.24212478565096</v>
      </c>
      <c r="H727" s="322">
        <v>4.5389560750274125</v>
      </c>
      <c r="I727" s="322">
        <v>-145.9018580129466</v>
      </c>
      <c r="K727" s="223">
        <f t="shared" si="46"/>
        <v>1077345.5106518129</v>
      </c>
      <c r="L727" s="223">
        <f t="shared" si="46"/>
        <v>804345.9040253826</v>
      </c>
      <c r="M727" s="114">
        <f t="shared" si="47"/>
        <v>1</v>
      </c>
      <c r="N727" s="114">
        <f t="shared" si="48"/>
        <v>0</v>
      </c>
      <c r="T727" s="12"/>
      <c r="U727" s="210"/>
      <c r="V727" s="13"/>
      <c r="W727" s="13"/>
      <c r="X727" s="13"/>
      <c r="Y727" s="13"/>
      <c r="Z727" s="13"/>
      <c r="AA727" s="13"/>
      <c r="AB727" s="13"/>
      <c r="AC727" s="13"/>
      <c r="AD727" s="13"/>
      <c r="AE727" s="13"/>
    </row>
    <row r="728" spans="1:31" ht="21" x14ac:dyDescent="0.4">
      <c r="A728" s="210"/>
      <c r="B728" s="108">
        <v>718</v>
      </c>
      <c r="C728" s="297">
        <v>1825.8606275777158</v>
      </c>
      <c r="D728" s="297">
        <v>2818.5374891342763</v>
      </c>
      <c r="E728" s="297">
        <v>18.190199531112668</v>
      </c>
      <c r="F728" s="297">
        <v>13.475163642468551</v>
      </c>
      <c r="G728" s="322">
        <v>-992.67686155656043</v>
      </c>
      <c r="H728" s="322">
        <v>4.7150358886441168</v>
      </c>
      <c r="I728" s="322">
        <v>-210.53431723549835</v>
      </c>
      <c r="K728" s="223">
        <f t="shared" si="46"/>
        <v>1089586.1112391825</v>
      </c>
      <c r="L728" s="223">
        <f t="shared" si="46"/>
        <v>805691.28105897887</v>
      </c>
      <c r="M728" s="114">
        <f t="shared" si="47"/>
        <v>1</v>
      </c>
      <c r="N728" s="114">
        <f t="shared" si="48"/>
        <v>0</v>
      </c>
      <c r="T728" s="12"/>
      <c r="U728" s="210"/>
      <c r="V728" s="13"/>
      <c r="W728" s="13"/>
      <c r="X728" s="13"/>
      <c r="Y728" s="13"/>
      <c r="Z728" s="13"/>
      <c r="AA728" s="13"/>
      <c r="AB728" s="13"/>
      <c r="AC728" s="13"/>
      <c r="AD728" s="13"/>
      <c r="AE728" s="13"/>
    </row>
    <row r="729" spans="1:31" ht="21" x14ac:dyDescent="0.4">
      <c r="A729" s="210"/>
      <c r="B729" s="108">
        <v>719</v>
      </c>
      <c r="C729" s="297">
        <v>2394.6198953108897</v>
      </c>
      <c r="D729" s="297">
        <v>3041.2717582407363</v>
      </c>
      <c r="E729" s="297">
        <v>20.60272096571564</v>
      </c>
      <c r="F729" s="297">
        <v>14.772537298177772</v>
      </c>
      <c r="G729" s="322">
        <v>-646.65186292984663</v>
      </c>
      <c r="H729" s="322">
        <v>5.8301836675378684</v>
      </c>
      <c r="I729" s="322">
        <v>-110.91449254512641</v>
      </c>
      <c r="K729" s="223">
        <f t="shared" si="46"/>
        <v>1233768.6380476276</v>
      </c>
      <c r="L729" s="223">
        <f t="shared" si="46"/>
        <v>883310.96613242559</v>
      </c>
      <c r="M729" s="114">
        <f t="shared" si="47"/>
        <v>1</v>
      </c>
      <c r="N729" s="114">
        <f t="shared" si="48"/>
        <v>0</v>
      </c>
      <c r="T729" s="12"/>
      <c r="U729" s="210"/>
      <c r="V729" s="13"/>
      <c r="W729" s="13"/>
      <c r="X729" s="13"/>
      <c r="Y729" s="13"/>
      <c r="Z729" s="13"/>
      <c r="AA729" s="13"/>
      <c r="AB729" s="13"/>
      <c r="AC729" s="13"/>
      <c r="AD729" s="13"/>
      <c r="AE729" s="13"/>
    </row>
    <row r="730" spans="1:31" ht="21" x14ac:dyDescent="0.4">
      <c r="A730" s="210"/>
      <c r="B730" s="108">
        <v>720</v>
      </c>
      <c r="C730" s="297">
        <v>1989.8854806769491</v>
      </c>
      <c r="D730" s="297">
        <v>3209.0496509396366</v>
      </c>
      <c r="E730" s="297">
        <v>19.916514219605126</v>
      </c>
      <c r="F730" s="297">
        <v>15.106632460462782</v>
      </c>
      <c r="G730" s="322">
        <v>-1219.1641702626875</v>
      </c>
      <c r="H730" s="322">
        <v>4.8098817591423444</v>
      </c>
      <c r="I730" s="322">
        <v>-253.47071535498165</v>
      </c>
      <c r="K730" s="223">
        <f t="shared" si="46"/>
        <v>1193000.9676956306</v>
      </c>
      <c r="L730" s="223">
        <f t="shared" si="46"/>
        <v>903188.89797682723</v>
      </c>
      <c r="M730" s="114">
        <f t="shared" si="47"/>
        <v>1</v>
      </c>
      <c r="N730" s="114">
        <f t="shared" si="48"/>
        <v>0</v>
      </c>
      <c r="T730" s="12"/>
      <c r="U730" s="210"/>
      <c r="V730" s="13"/>
      <c r="W730" s="13"/>
      <c r="X730" s="13"/>
      <c r="Y730" s="13"/>
      <c r="Z730" s="13"/>
      <c r="AA730" s="13"/>
      <c r="AB730" s="13"/>
      <c r="AC730" s="13"/>
      <c r="AD730" s="13"/>
      <c r="AE730" s="13"/>
    </row>
    <row r="731" spans="1:31" ht="21" x14ac:dyDescent="0.4">
      <c r="A731" s="210"/>
      <c r="B731" s="108">
        <v>721</v>
      </c>
      <c r="C731" s="297">
        <v>2291.1782838238591</v>
      </c>
      <c r="D731" s="297">
        <v>2848.5463708016314</v>
      </c>
      <c r="E731" s="297">
        <v>19.590708096666901</v>
      </c>
      <c r="F731" s="297">
        <v>14.484246618765129</v>
      </c>
      <c r="G731" s="322">
        <v>-557.36808697777224</v>
      </c>
      <c r="H731" s="322">
        <v>5.1064614779017727</v>
      </c>
      <c r="I731" s="322">
        <v>-109.1495724367616</v>
      </c>
      <c r="K731" s="223">
        <f t="shared" si="46"/>
        <v>1173151.3075161902</v>
      </c>
      <c r="L731" s="223">
        <f t="shared" si="46"/>
        <v>866206.2507551061</v>
      </c>
      <c r="M731" s="114">
        <f t="shared" si="47"/>
        <v>1</v>
      </c>
      <c r="N731" s="114">
        <f t="shared" si="48"/>
        <v>0</v>
      </c>
      <c r="T731" s="12"/>
      <c r="U731" s="210"/>
      <c r="V731" s="13"/>
      <c r="W731" s="13"/>
      <c r="X731" s="13"/>
      <c r="Y731" s="13"/>
      <c r="Z731" s="13"/>
      <c r="AA731" s="13"/>
      <c r="AB731" s="13"/>
      <c r="AC731" s="13"/>
      <c r="AD731" s="13"/>
      <c r="AE731" s="13"/>
    </row>
    <row r="732" spans="1:31" ht="21" x14ac:dyDescent="0.4">
      <c r="A732" s="210"/>
      <c r="B732" s="108">
        <v>722</v>
      </c>
      <c r="C732" s="297">
        <v>2203.7363034036798</v>
      </c>
      <c r="D732" s="297">
        <v>3248.8732472602651</v>
      </c>
      <c r="E732" s="297">
        <v>18.020061667746177</v>
      </c>
      <c r="F732" s="297">
        <v>13.1377290010881</v>
      </c>
      <c r="G732" s="322">
        <v>-1045.1369438565853</v>
      </c>
      <c r="H732" s="322">
        <v>4.8823326666580762</v>
      </c>
      <c r="I732" s="322">
        <v>-214.0650822492959</v>
      </c>
      <c r="K732" s="223">
        <f t="shared" si="46"/>
        <v>1078999.9637613669</v>
      </c>
      <c r="L732" s="223">
        <f t="shared" si="46"/>
        <v>785014.86681802582</v>
      </c>
      <c r="M732" s="114">
        <f t="shared" si="47"/>
        <v>1</v>
      </c>
      <c r="N732" s="114">
        <f t="shared" si="48"/>
        <v>0</v>
      </c>
      <c r="T732" s="12"/>
      <c r="U732" s="210"/>
      <c r="V732" s="13"/>
      <c r="W732" s="13"/>
      <c r="X732" s="13"/>
      <c r="Y732" s="13"/>
      <c r="Z732" s="13"/>
      <c r="AA732" s="13"/>
      <c r="AB732" s="13"/>
      <c r="AC732" s="13"/>
      <c r="AD732" s="13"/>
      <c r="AE732" s="13"/>
    </row>
    <row r="733" spans="1:31" ht="21" x14ac:dyDescent="0.4">
      <c r="A733" s="210"/>
      <c r="B733" s="108">
        <v>723</v>
      </c>
      <c r="C733" s="297">
        <v>1878.6060017904365</v>
      </c>
      <c r="D733" s="297">
        <v>2812.1315531198325</v>
      </c>
      <c r="E733" s="297">
        <v>19.708308995220548</v>
      </c>
      <c r="F733" s="297">
        <v>14.371745170345999</v>
      </c>
      <c r="G733" s="322">
        <v>-933.52555132939597</v>
      </c>
      <c r="H733" s="322">
        <v>5.3365638248745491</v>
      </c>
      <c r="I733" s="322">
        <v>-174.93008272066174</v>
      </c>
      <c r="K733" s="223">
        <f t="shared" si="46"/>
        <v>1180619.9337114426</v>
      </c>
      <c r="L733" s="223">
        <f t="shared" si="46"/>
        <v>859492.5786676401</v>
      </c>
      <c r="M733" s="114">
        <f t="shared" si="47"/>
        <v>1</v>
      </c>
      <c r="N733" s="114">
        <f t="shared" si="48"/>
        <v>0</v>
      </c>
      <c r="T733" s="12"/>
      <c r="U733" s="210"/>
      <c r="V733" s="13"/>
      <c r="W733" s="13"/>
      <c r="X733" s="13"/>
      <c r="Y733" s="13"/>
      <c r="Z733" s="13"/>
      <c r="AA733" s="13"/>
      <c r="AB733" s="13"/>
      <c r="AC733" s="13"/>
      <c r="AD733" s="13"/>
      <c r="AE733" s="13"/>
    </row>
    <row r="734" spans="1:31" ht="21" x14ac:dyDescent="0.4">
      <c r="A734" s="210"/>
      <c r="B734" s="108">
        <v>724</v>
      </c>
      <c r="C734" s="297">
        <v>1848.7227605928081</v>
      </c>
      <c r="D734" s="297">
        <v>2723.5191913350468</v>
      </c>
      <c r="E734" s="297">
        <v>20.036001945768241</v>
      </c>
      <c r="F734" s="297">
        <v>14.988241115489815</v>
      </c>
      <c r="G734" s="322">
        <v>-874.79643074223873</v>
      </c>
      <c r="H734" s="322">
        <v>5.0477608302784258</v>
      </c>
      <c r="I734" s="322">
        <v>-173.30385891004792</v>
      </c>
      <c r="K734" s="223">
        <f t="shared" si="46"/>
        <v>1200311.3939855017</v>
      </c>
      <c r="L734" s="223">
        <f t="shared" si="46"/>
        <v>896570.94773805386</v>
      </c>
      <c r="M734" s="114">
        <f t="shared" si="47"/>
        <v>1</v>
      </c>
      <c r="N734" s="114">
        <f t="shared" si="48"/>
        <v>0</v>
      </c>
      <c r="T734" s="12"/>
      <c r="U734" s="210"/>
      <c r="V734" s="13"/>
      <c r="W734" s="13"/>
      <c r="X734" s="13"/>
      <c r="Y734" s="13"/>
      <c r="Z734" s="13"/>
      <c r="AA734" s="13"/>
      <c r="AB734" s="13"/>
      <c r="AC734" s="13"/>
      <c r="AD734" s="13"/>
      <c r="AE734" s="13"/>
    </row>
    <row r="735" spans="1:31" ht="21" x14ac:dyDescent="0.4">
      <c r="A735" s="210"/>
      <c r="B735" s="108">
        <v>725</v>
      </c>
      <c r="C735" s="297">
        <v>1992.9051453308016</v>
      </c>
      <c r="D735" s="297">
        <v>3252.4801728021498</v>
      </c>
      <c r="E735" s="297">
        <v>19.849937008406108</v>
      </c>
      <c r="F735" s="297">
        <v>14.905325981914809</v>
      </c>
      <c r="G735" s="322">
        <v>-1259.5750274713482</v>
      </c>
      <c r="H735" s="322">
        <v>4.9446110264912999</v>
      </c>
      <c r="I735" s="322">
        <v>-254.73692889552603</v>
      </c>
      <c r="K735" s="223">
        <f t="shared" si="46"/>
        <v>1189003.3153590357</v>
      </c>
      <c r="L735" s="223">
        <f t="shared" si="46"/>
        <v>891067.07874208642</v>
      </c>
      <c r="M735" s="114">
        <f t="shared" si="47"/>
        <v>1</v>
      </c>
      <c r="N735" s="114">
        <f t="shared" si="48"/>
        <v>0</v>
      </c>
      <c r="T735" s="12"/>
      <c r="U735" s="210"/>
      <c r="V735" s="13"/>
      <c r="W735" s="13"/>
      <c r="X735" s="13"/>
      <c r="Y735" s="13"/>
      <c r="Z735" s="13"/>
      <c r="AA735" s="13"/>
      <c r="AB735" s="13"/>
      <c r="AC735" s="13"/>
      <c r="AD735" s="13"/>
      <c r="AE735" s="13"/>
    </row>
    <row r="736" spans="1:31" ht="21" x14ac:dyDescent="0.4">
      <c r="A736" s="210"/>
      <c r="B736" s="108">
        <v>726</v>
      </c>
      <c r="C736" s="297">
        <v>2335.4705778354742</v>
      </c>
      <c r="D736" s="297">
        <v>3427.0925926740038</v>
      </c>
      <c r="E736" s="297">
        <v>19.434509254596552</v>
      </c>
      <c r="F736" s="297">
        <v>14.929182540537145</v>
      </c>
      <c r="G736" s="322">
        <v>-1091.6220148385296</v>
      </c>
      <c r="H736" s="322">
        <v>4.5053267140594073</v>
      </c>
      <c r="I736" s="322">
        <v>-242.2958609043809</v>
      </c>
      <c r="K736" s="223">
        <f t="shared" si="46"/>
        <v>1163735.0846979576</v>
      </c>
      <c r="L736" s="223">
        <f t="shared" si="46"/>
        <v>892323.85983955476</v>
      </c>
      <c r="M736" s="114">
        <f t="shared" si="47"/>
        <v>1</v>
      </c>
      <c r="N736" s="114">
        <f t="shared" si="48"/>
        <v>0</v>
      </c>
      <c r="T736" s="12"/>
      <c r="U736" s="210"/>
      <c r="V736" s="13"/>
      <c r="W736" s="13"/>
      <c r="X736" s="13"/>
      <c r="Y736" s="13"/>
      <c r="Z736" s="13"/>
      <c r="AA736" s="13"/>
      <c r="AB736" s="13"/>
      <c r="AC736" s="13"/>
      <c r="AD736" s="13"/>
      <c r="AE736" s="13"/>
    </row>
    <row r="737" spans="1:31" ht="21" x14ac:dyDescent="0.4">
      <c r="A737" s="210"/>
      <c r="B737" s="108">
        <v>727</v>
      </c>
      <c r="C737" s="297">
        <v>2001.6805227780733</v>
      </c>
      <c r="D737" s="297">
        <v>3209.9152313620762</v>
      </c>
      <c r="E737" s="297">
        <v>19.094523354290537</v>
      </c>
      <c r="F737" s="297">
        <v>14.066531890415858</v>
      </c>
      <c r="G737" s="322">
        <v>-1208.2347085840029</v>
      </c>
      <c r="H737" s="322">
        <v>5.0279914638746792</v>
      </c>
      <c r="I737" s="322">
        <v>-240.30166265495427</v>
      </c>
      <c r="K737" s="223">
        <f t="shared" si="46"/>
        <v>1143669.7207346542</v>
      </c>
      <c r="L737" s="223">
        <f t="shared" si="46"/>
        <v>840781.99819358939</v>
      </c>
      <c r="M737" s="114">
        <f t="shared" si="47"/>
        <v>1</v>
      </c>
      <c r="N737" s="114">
        <f t="shared" si="48"/>
        <v>0</v>
      </c>
      <c r="T737" s="12"/>
      <c r="U737" s="210"/>
      <c r="V737" s="13"/>
      <c r="W737" s="13"/>
      <c r="X737" s="13"/>
      <c r="Y737" s="13"/>
      <c r="Z737" s="13"/>
      <c r="AA737" s="13"/>
      <c r="AB737" s="13"/>
      <c r="AC737" s="13"/>
      <c r="AD737" s="13"/>
      <c r="AE737" s="13"/>
    </row>
    <row r="738" spans="1:31" ht="21" x14ac:dyDescent="0.4">
      <c r="A738" s="210"/>
      <c r="B738" s="108">
        <v>728</v>
      </c>
      <c r="C738" s="297">
        <v>1827.5545026630775</v>
      </c>
      <c r="D738" s="297">
        <v>2791.5729972273889</v>
      </c>
      <c r="E738" s="297">
        <v>18.437131094777982</v>
      </c>
      <c r="F738" s="297">
        <v>13.905600033512352</v>
      </c>
      <c r="G738" s="322">
        <v>-964.01849456431137</v>
      </c>
      <c r="H738" s="322">
        <v>4.5315310612656301</v>
      </c>
      <c r="I738" s="322">
        <v>-212.73571372035715</v>
      </c>
      <c r="K738" s="223">
        <f t="shared" si="46"/>
        <v>1104400.3111840161</v>
      </c>
      <c r="L738" s="223">
        <f t="shared" si="46"/>
        <v>831544.42901351373</v>
      </c>
      <c r="M738" s="114">
        <f t="shared" si="47"/>
        <v>1</v>
      </c>
      <c r="N738" s="114">
        <f t="shared" si="48"/>
        <v>0</v>
      </c>
      <c r="T738" s="12"/>
      <c r="U738" s="210"/>
      <c r="V738" s="13"/>
      <c r="W738" s="13"/>
      <c r="X738" s="13"/>
      <c r="Y738" s="13"/>
      <c r="Z738" s="13"/>
      <c r="AA738" s="13"/>
      <c r="AB738" s="13"/>
      <c r="AC738" s="13"/>
      <c r="AD738" s="13"/>
      <c r="AE738" s="13"/>
    </row>
    <row r="739" spans="1:31" ht="21" x14ac:dyDescent="0.4">
      <c r="A739" s="210"/>
      <c r="B739" s="108">
        <v>729</v>
      </c>
      <c r="C739" s="297">
        <v>1973.8360531204121</v>
      </c>
      <c r="D739" s="297">
        <v>3049.4391560559143</v>
      </c>
      <c r="E739" s="297">
        <v>19.716069827000386</v>
      </c>
      <c r="F739" s="297">
        <v>14.127647228171904</v>
      </c>
      <c r="G739" s="322">
        <v>-1075.6031029355022</v>
      </c>
      <c r="H739" s="322">
        <v>5.5884225988284815</v>
      </c>
      <c r="I739" s="322">
        <v>-192.46989359054274</v>
      </c>
      <c r="K739" s="223">
        <f t="shared" si="46"/>
        <v>1180990.3535669027</v>
      </c>
      <c r="L739" s="223">
        <f t="shared" si="46"/>
        <v>844609.39453425829</v>
      </c>
      <c r="M739" s="114">
        <f t="shared" si="47"/>
        <v>1</v>
      </c>
      <c r="N739" s="114">
        <f t="shared" si="48"/>
        <v>0</v>
      </c>
      <c r="T739" s="12"/>
      <c r="U739" s="210"/>
      <c r="V739" s="13"/>
      <c r="W739" s="13"/>
      <c r="X739" s="13"/>
      <c r="Y739" s="13"/>
      <c r="Z739" s="13"/>
      <c r="AA739" s="13"/>
      <c r="AB739" s="13"/>
      <c r="AC739" s="13"/>
      <c r="AD739" s="13"/>
      <c r="AE739" s="13"/>
    </row>
    <row r="740" spans="1:31" ht="21" x14ac:dyDescent="0.4">
      <c r="A740" s="210"/>
      <c r="B740" s="108">
        <v>730</v>
      </c>
      <c r="C740" s="297">
        <v>2171.8001789509153</v>
      </c>
      <c r="D740" s="297">
        <v>3273.0240284722195</v>
      </c>
      <c r="E740" s="297">
        <v>18.053082856849151</v>
      </c>
      <c r="F740" s="297">
        <v>12.179279042435224</v>
      </c>
      <c r="G740" s="322">
        <v>-1101.2238495213041</v>
      </c>
      <c r="H740" s="322">
        <v>5.8738038144139271</v>
      </c>
      <c r="I740" s="322">
        <v>-187.48052953674986</v>
      </c>
      <c r="K740" s="223">
        <f t="shared" si="46"/>
        <v>1081013.1712319981</v>
      </c>
      <c r="L740" s="223">
        <f t="shared" si="46"/>
        <v>727483.71851764119</v>
      </c>
      <c r="M740" s="114">
        <f t="shared" si="47"/>
        <v>1</v>
      </c>
      <c r="N740" s="114">
        <f t="shared" si="48"/>
        <v>0</v>
      </c>
      <c r="T740" s="12"/>
      <c r="U740" s="210"/>
      <c r="V740" s="13"/>
      <c r="W740" s="13"/>
      <c r="X740" s="13"/>
      <c r="Y740" s="13"/>
      <c r="Z740" s="13"/>
      <c r="AA740" s="13"/>
      <c r="AB740" s="13"/>
      <c r="AC740" s="13"/>
      <c r="AD740" s="13"/>
      <c r="AE740" s="13"/>
    </row>
    <row r="741" spans="1:31" ht="21" x14ac:dyDescent="0.4">
      <c r="A741" s="210"/>
      <c r="B741" s="108">
        <v>731</v>
      </c>
      <c r="C741" s="297">
        <v>2050.6590589007046</v>
      </c>
      <c r="D741" s="297">
        <v>3082.2678799948353</v>
      </c>
      <c r="E741" s="297">
        <v>20.152799539498329</v>
      </c>
      <c r="F741" s="297">
        <v>15.344363263643539</v>
      </c>
      <c r="G741" s="322">
        <v>-1031.6088210941307</v>
      </c>
      <c r="H741" s="322">
        <v>4.8084362758547901</v>
      </c>
      <c r="I741" s="322">
        <v>-214.54143549209098</v>
      </c>
      <c r="K741" s="223">
        <f t="shared" si="46"/>
        <v>1207117.313310999</v>
      </c>
      <c r="L741" s="223">
        <f t="shared" si="46"/>
        <v>917579.52793861751</v>
      </c>
      <c r="M741" s="114">
        <f t="shared" si="47"/>
        <v>1</v>
      </c>
      <c r="N741" s="114">
        <f t="shared" si="48"/>
        <v>0</v>
      </c>
      <c r="T741" s="12"/>
      <c r="U741" s="210"/>
      <c r="V741" s="13"/>
      <c r="W741" s="13"/>
      <c r="X741" s="13"/>
      <c r="Y741" s="13"/>
      <c r="Z741" s="13"/>
      <c r="AA741" s="13"/>
      <c r="AB741" s="13"/>
      <c r="AC741" s="13"/>
      <c r="AD741" s="13"/>
      <c r="AE741" s="13"/>
    </row>
    <row r="742" spans="1:31" ht="21" x14ac:dyDescent="0.4">
      <c r="A742" s="210"/>
      <c r="B742" s="108">
        <v>732</v>
      </c>
      <c r="C742" s="297">
        <v>1862.477438862386</v>
      </c>
      <c r="D742" s="297">
        <v>2622.7109268384233</v>
      </c>
      <c r="E742" s="297">
        <v>19.863103598156041</v>
      </c>
      <c r="F742" s="297">
        <v>14.094936439563488</v>
      </c>
      <c r="G742" s="322">
        <v>-760.2334879760374</v>
      </c>
      <c r="H742" s="322">
        <v>5.7681671585925525</v>
      </c>
      <c r="I742" s="322">
        <v>-131.79810277230877</v>
      </c>
      <c r="K742" s="223">
        <f t="shared" si="46"/>
        <v>1189923.7384504999</v>
      </c>
      <c r="L742" s="223">
        <f t="shared" si="46"/>
        <v>843073.4754469709</v>
      </c>
      <c r="M742" s="114">
        <f t="shared" si="47"/>
        <v>1</v>
      </c>
      <c r="N742" s="114">
        <f t="shared" si="48"/>
        <v>0</v>
      </c>
      <c r="T742" s="12"/>
      <c r="U742" s="210"/>
      <c r="V742" s="13"/>
      <c r="W742" s="13"/>
      <c r="X742" s="13"/>
      <c r="Y742" s="13"/>
      <c r="Z742" s="13"/>
      <c r="AA742" s="13"/>
      <c r="AB742" s="13"/>
      <c r="AC742" s="13"/>
      <c r="AD742" s="13"/>
      <c r="AE742" s="13"/>
    </row>
    <row r="743" spans="1:31" ht="21" x14ac:dyDescent="0.4">
      <c r="A743" s="210"/>
      <c r="B743" s="108">
        <v>733</v>
      </c>
      <c r="C743" s="297">
        <v>1920.7631843115769</v>
      </c>
      <c r="D743" s="297">
        <v>3209.7172223379971</v>
      </c>
      <c r="E743" s="297">
        <v>18.299576743773986</v>
      </c>
      <c r="F743" s="297">
        <v>12.570055567933085</v>
      </c>
      <c r="G743" s="322">
        <v>-1288.9540380264202</v>
      </c>
      <c r="H743" s="322">
        <v>5.729521175840901</v>
      </c>
      <c r="I743" s="322">
        <v>-224.96714794622346</v>
      </c>
      <c r="K743" s="223">
        <f t="shared" si="46"/>
        <v>1096053.8414421277</v>
      </c>
      <c r="L743" s="223">
        <f t="shared" si="46"/>
        <v>750993.61685364717</v>
      </c>
      <c r="M743" s="114">
        <f t="shared" si="47"/>
        <v>1</v>
      </c>
      <c r="N743" s="114">
        <f t="shared" si="48"/>
        <v>0</v>
      </c>
      <c r="T743" s="12"/>
      <c r="U743" s="210"/>
      <c r="V743" s="13"/>
      <c r="W743" s="13"/>
      <c r="X743" s="13"/>
      <c r="Y743" s="13"/>
      <c r="Z743" s="13"/>
      <c r="AA743" s="13"/>
      <c r="AB743" s="13"/>
      <c r="AC743" s="13"/>
      <c r="AD743" s="13"/>
      <c r="AE743" s="13"/>
    </row>
    <row r="744" spans="1:31" ht="21" x14ac:dyDescent="0.4">
      <c r="A744" s="210"/>
      <c r="B744" s="108">
        <v>734</v>
      </c>
      <c r="C744" s="297">
        <v>2166.651813084869</v>
      </c>
      <c r="D744" s="297">
        <v>3445.2641568431022</v>
      </c>
      <c r="E744" s="297">
        <v>18.863504314269598</v>
      </c>
      <c r="F744" s="297">
        <v>13.352376491942582</v>
      </c>
      <c r="G744" s="322">
        <v>-1278.6123437582332</v>
      </c>
      <c r="H744" s="322">
        <v>5.5111278223270155</v>
      </c>
      <c r="I744" s="322">
        <v>-232.00556854773743</v>
      </c>
      <c r="K744" s="223">
        <f t="shared" si="46"/>
        <v>1129643.607043091</v>
      </c>
      <c r="L744" s="223">
        <f t="shared" si="46"/>
        <v>797697.32535971189</v>
      </c>
      <c r="M744" s="114">
        <f t="shared" si="47"/>
        <v>1</v>
      </c>
      <c r="N744" s="114">
        <f t="shared" si="48"/>
        <v>0</v>
      </c>
      <c r="T744" s="12"/>
      <c r="U744" s="210"/>
      <c r="V744" s="13"/>
      <c r="W744" s="13"/>
      <c r="X744" s="13"/>
      <c r="Y744" s="13"/>
      <c r="Z744" s="13"/>
      <c r="AA744" s="13"/>
      <c r="AB744" s="13"/>
      <c r="AC744" s="13"/>
      <c r="AD744" s="13"/>
      <c r="AE744" s="13"/>
    </row>
    <row r="745" spans="1:31" ht="21" x14ac:dyDescent="0.4">
      <c r="A745" s="210"/>
      <c r="B745" s="108">
        <v>735</v>
      </c>
      <c r="C745" s="297">
        <v>2043.9808255168498</v>
      </c>
      <c r="D745" s="297">
        <v>2413.6606240724495</v>
      </c>
      <c r="E745" s="297">
        <v>16.559837902137787</v>
      </c>
      <c r="F745" s="297">
        <v>12.22589942951242</v>
      </c>
      <c r="G745" s="322">
        <v>-369.67979855559975</v>
      </c>
      <c r="H745" s="322">
        <v>4.3339384726253662</v>
      </c>
      <c r="I745" s="322">
        <v>-85.298810975426505</v>
      </c>
      <c r="K745" s="223">
        <f t="shared" si="46"/>
        <v>991546.29330275033</v>
      </c>
      <c r="L745" s="223">
        <f t="shared" si="46"/>
        <v>731140.30514667276</v>
      </c>
      <c r="M745" s="114">
        <f t="shared" si="47"/>
        <v>1</v>
      </c>
      <c r="N745" s="114">
        <f t="shared" si="48"/>
        <v>0</v>
      </c>
      <c r="T745" s="12"/>
      <c r="U745" s="210"/>
      <c r="V745" s="13"/>
      <c r="W745" s="13"/>
      <c r="X745" s="13"/>
      <c r="Y745" s="13"/>
      <c r="Z745" s="13"/>
      <c r="AA745" s="13"/>
      <c r="AB745" s="13"/>
      <c r="AC745" s="13"/>
      <c r="AD745" s="13"/>
      <c r="AE745" s="13"/>
    </row>
    <row r="746" spans="1:31" ht="21" x14ac:dyDescent="0.4">
      <c r="A746" s="210"/>
      <c r="B746" s="108">
        <v>736</v>
      </c>
      <c r="C746" s="297">
        <v>2314.1024805613397</v>
      </c>
      <c r="D746" s="297">
        <v>2989.5424315931123</v>
      </c>
      <c r="E746" s="297">
        <v>20.481249939078332</v>
      </c>
      <c r="F746" s="297">
        <v>14.529194899730767</v>
      </c>
      <c r="G746" s="322">
        <v>-675.43995103177258</v>
      </c>
      <c r="H746" s="322">
        <v>5.9520550393475649</v>
      </c>
      <c r="I746" s="322">
        <v>-113.48012519484547</v>
      </c>
      <c r="K746" s="223">
        <f t="shared" si="46"/>
        <v>1226560.8938641388</v>
      </c>
      <c r="L746" s="223">
        <f t="shared" si="46"/>
        <v>868762.15155225294</v>
      </c>
      <c r="M746" s="114">
        <f t="shared" si="47"/>
        <v>1</v>
      </c>
      <c r="N746" s="114">
        <f t="shared" si="48"/>
        <v>0</v>
      </c>
      <c r="T746" s="12"/>
      <c r="U746" s="210"/>
      <c r="V746" s="13"/>
      <c r="W746" s="13"/>
      <c r="X746" s="13"/>
      <c r="Y746" s="13"/>
      <c r="Z746" s="13"/>
      <c r="AA746" s="13"/>
      <c r="AB746" s="13"/>
      <c r="AC746" s="13"/>
      <c r="AD746" s="13"/>
      <c r="AE746" s="13"/>
    </row>
    <row r="747" spans="1:31" ht="21" x14ac:dyDescent="0.4">
      <c r="A747" s="210"/>
      <c r="B747" s="108">
        <v>737</v>
      </c>
      <c r="C747" s="297">
        <v>2049.3026895141675</v>
      </c>
      <c r="D747" s="297">
        <v>3531.362904785894</v>
      </c>
      <c r="E747" s="297">
        <v>19.170822459199805</v>
      </c>
      <c r="F747" s="297">
        <v>14.115340785058914</v>
      </c>
      <c r="G747" s="322">
        <v>-1482.0602152717265</v>
      </c>
      <c r="H747" s="322">
        <v>5.055481674140891</v>
      </c>
      <c r="I747" s="322">
        <v>-293.15905205483352</v>
      </c>
      <c r="K747" s="223">
        <f t="shared" si="46"/>
        <v>1148200.0448624741</v>
      </c>
      <c r="L747" s="223">
        <f t="shared" si="46"/>
        <v>843389.08419874893</v>
      </c>
      <c r="M747" s="114">
        <f t="shared" si="47"/>
        <v>1</v>
      </c>
      <c r="N747" s="114">
        <f t="shared" si="48"/>
        <v>0</v>
      </c>
      <c r="T747" s="12"/>
      <c r="U747" s="210"/>
      <c r="V747" s="13"/>
      <c r="W747" s="13"/>
      <c r="X747" s="13"/>
      <c r="Y747" s="13"/>
      <c r="Z747" s="13"/>
      <c r="AA747" s="13"/>
      <c r="AB747" s="13"/>
      <c r="AC747" s="13"/>
      <c r="AD747" s="13"/>
      <c r="AE747" s="13"/>
    </row>
    <row r="748" spans="1:31" ht="21" x14ac:dyDescent="0.4">
      <c r="A748" s="210"/>
      <c r="B748" s="108">
        <v>738</v>
      </c>
      <c r="C748" s="297">
        <v>2001.4820602850073</v>
      </c>
      <c r="D748" s="297">
        <v>2861.4154801971276</v>
      </c>
      <c r="E748" s="297">
        <v>19.855617144526541</v>
      </c>
      <c r="F748" s="297">
        <v>14.553494296259228</v>
      </c>
      <c r="G748" s="322">
        <v>-859.93341991212037</v>
      </c>
      <c r="H748" s="322">
        <v>5.3021228482673131</v>
      </c>
      <c r="I748" s="322">
        <v>-162.18662685138256</v>
      </c>
      <c r="K748" s="223">
        <f t="shared" si="46"/>
        <v>1189335.5466113074</v>
      </c>
      <c r="L748" s="223">
        <f t="shared" si="46"/>
        <v>870348.24229535647</v>
      </c>
      <c r="M748" s="114">
        <f t="shared" si="47"/>
        <v>1</v>
      </c>
      <c r="N748" s="114">
        <f t="shared" si="48"/>
        <v>0</v>
      </c>
      <c r="T748" s="12"/>
      <c r="U748" s="210"/>
      <c r="V748" s="13"/>
      <c r="W748" s="13"/>
      <c r="X748" s="13"/>
      <c r="Y748" s="13"/>
      <c r="Z748" s="13"/>
      <c r="AA748" s="13"/>
      <c r="AB748" s="13"/>
      <c r="AC748" s="13"/>
      <c r="AD748" s="13"/>
      <c r="AE748" s="13"/>
    </row>
    <row r="749" spans="1:31" ht="21" x14ac:dyDescent="0.4">
      <c r="A749" s="210"/>
      <c r="B749" s="108">
        <v>739</v>
      </c>
      <c r="C749" s="297">
        <v>2289.0174932907707</v>
      </c>
      <c r="D749" s="297">
        <v>2906.9862049432118</v>
      </c>
      <c r="E749" s="297">
        <v>18.48481081168601</v>
      </c>
      <c r="F749" s="297">
        <v>13.492829363990463</v>
      </c>
      <c r="G749" s="322">
        <v>-617.96871165244102</v>
      </c>
      <c r="H749" s="322">
        <v>4.9919814476955473</v>
      </c>
      <c r="I749" s="322">
        <v>-123.79226928772231</v>
      </c>
      <c r="K749" s="223">
        <f t="shared" si="46"/>
        <v>1106799.6312078699</v>
      </c>
      <c r="L749" s="223">
        <f t="shared" si="46"/>
        <v>806662.7756344846</v>
      </c>
      <c r="M749" s="114">
        <f t="shared" si="47"/>
        <v>1</v>
      </c>
      <c r="N749" s="114">
        <f t="shared" si="48"/>
        <v>0</v>
      </c>
      <c r="T749" s="12"/>
      <c r="U749" s="210"/>
      <c r="V749" s="13"/>
      <c r="W749" s="13"/>
      <c r="X749" s="13"/>
      <c r="Y749" s="13"/>
      <c r="Z749" s="13"/>
      <c r="AA749" s="13"/>
      <c r="AB749" s="13"/>
      <c r="AC749" s="13"/>
      <c r="AD749" s="13"/>
      <c r="AE749" s="13"/>
    </row>
    <row r="750" spans="1:31" ht="21" x14ac:dyDescent="0.4">
      <c r="A750" s="210"/>
      <c r="B750" s="108">
        <v>740</v>
      </c>
      <c r="C750" s="297">
        <v>1718.81827576456</v>
      </c>
      <c r="D750" s="297">
        <v>2741.5026494109047</v>
      </c>
      <c r="E750" s="297">
        <v>20.567283356658571</v>
      </c>
      <c r="F750" s="297">
        <v>14.62285538146986</v>
      </c>
      <c r="G750" s="322">
        <v>-1022.6843736463447</v>
      </c>
      <c r="H750" s="322">
        <v>5.9444279751887112</v>
      </c>
      <c r="I750" s="322">
        <v>-172.04083856594775</v>
      </c>
      <c r="K750" s="223">
        <f t="shared" si="46"/>
        <v>1232318.1831237497</v>
      </c>
      <c r="L750" s="223">
        <f t="shared" si="46"/>
        <v>874629.8202387807</v>
      </c>
      <c r="M750" s="114">
        <f t="shared" si="47"/>
        <v>1</v>
      </c>
      <c r="N750" s="114">
        <f t="shared" si="48"/>
        <v>0</v>
      </c>
      <c r="T750" s="12"/>
      <c r="U750" s="210"/>
      <c r="V750" s="13"/>
      <c r="W750" s="13"/>
      <c r="X750" s="13"/>
      <c r="Y750" s="13"/>
      <c r="Z750" s="13"/>
      <c r="AA750" s="13"/>
      <c r="AB750" s="13"/>
      <c r="AC750" s="13"/>
      <c r="AD750" s="13"/>
      <c r="AE750" s="13"/>
    </row>
    <row r="751" spans="1:31" ht="21" x14ac:dyDescent="0.4">
      <c r="A751" s="210"/>
      <c r="B751" s="108">
        <v>741</v>
      </c>
      <c r="C751" s="297">
        <v>2214.2654116945664</v>
      </c>
      <c r="D751" s="297">
        <v>3109.5734292912125</v>
      </c>
      <c r="E751" s="297">
        <v>19.493288960642467</v>
      </c>
      <c r="F751" s="297">
        <v>14.537680236703723</v>
      </c>
      <c r="G751" s="322">
        <v>-895.3080175966461</v>
      </c>
      <c r="H751" s="322">
        <v>4.9556087239387434</v>
      </c>
      <c r="I751" s="322">
        <v>-180.66559881367121</v>
      </c>
      <c r="K751" s="223">
        <f t="shared" si="46"/>
        <v>1167383.0722268536</v>
      </c>
      <c r="L751" s="223">
        <f t="shared" si="46"/>
        <v>869151.24077293219</v>
      </c>
      <c r="M751" s="114">
        <f t="shared" si="47"/>
        <v>1</v>
      </c>
      <c r="N751" s="114">
        <f t="shared" si="48"/>
        <v>0</v>
      </c>
      <c r="T751" s="12"/>
      <c r="U751" s="210"/>
      <c r="V751" s="13"/>
      <c r="W751" s="13"/>
      <c r="X751" s="13"/>
      <c r="Y751" s="13"/>
      <c r="Z751" s="13"/>
      <c r="AA751" s="13"/>
      <c r="AB751" s="13"/>
      <c r="AC751" s="13"/>
      <c r="AD751" s="13"/>
      <c r="AE751" s="13"/>
    </row>
    <row r="752" spans="1:31" ht="21" x14ac:dyDescent="0.4">
      <c r="A752" s="210"/>
      <c r="B752" s="108">
        <v>742</v>
      </c>
      <c r="C752" s="297">
        <v>2347.003535299551</v>
      </c>
      <c r="D752" s="297">
        <v>3492.7976343256482</v>
      </c>
      <c r="E752" s="297">
        <v>21.285019637941623</v>
      </c>
      <c r="F752" s="297">
        <v>14.758628881504832</v>
      </c>
      <c r="G752" s="322">
        <v>-1145.7940990260972</v>
      </c>
      <c r="H752" s="322">
        <v>6.5263907564367916</v>
      </c>
      <c r="I752" s="322">
        <v>-175.56320817843056</v>
      </c>
      <c r="K752" s="223">
        <f t="shared" si="46"/>
        <v>1274754.1747411978</v>
      </c>
      <c r="L752" s="223">
        <f t="shared" si="46"/>
        <v>882024.93525596417</v>
      </c>
      <c r="M752" s="114">
        <f t="shared" si="47"/>
        <v>1</v>
      </c>
      <c r="N752" s="114">
        <f t="shared" si="48"/>
        <v>0</v>
      </c>
      <c r="T752" s="12"/>
      <c r="U752" s="210"/>
      <c r="V752" s="13"/>
      <c r="W752" s="13"/>
      <c r="X752" s="13"/>
      <c r="Y752" s="13"/>
      <c r="Z752" s="13"/>
      <c r="AA752" s="13"/>
      <c r="AB752" s="13"/>
      <c r="AC752" s="13"/>
      <c r="AD752" s="13"/>
      <c r="AE752" s="13"/>
    </row>
    <row r="753" spans="1:31" ht="21" x14ac:dyDescent="0.4">
      <c r="A753" s="210"/>
      <c r="B753" s="108">
        <v>743</v>
      </c>
      <c r="C753" s="297">
        <v>1845.4459465963464</v>
      </c>
      <c r="D753" s="297">
        <v>2956.5280599251564</v>
      </c>
      <c r="E753" s="297">
        <v>20.392454688041106</v>
      </c>
      <c r="F753" s="297">
        <v>15.115246650672047</v>
      </c>
      <c r="G753" s="322">
        <v>-1111.08211332881</v>
      </c>
      <c r="H753" s="322">
        <v>5.2772080373690589</v>
      </c>
      <c r="I753" s="322">
        <v>-210.54354982047244</v>
      </c>
      <c r="K753" s="223">
        <f t="shared" si="46"/>
        <v>1221701.83533587</v>
      </c>
      <c r="L753" s="223">
        <f t="shared" si="46"/>
        <v>903958.27098039759</v>
      </c>
      <c r="M753" s="114">
        <f t="shared" si="47"/>
        <v>1</v>
      </c>
      <c r="N753" s="114">
        <f t="shared" si="48"/>
        <v>0</v>
      </c>
      <c r="T753" s="12"/>
      <c r="U753" s="210"/>
      <c r="V753" s="13"/>
      <c r="W753" s="13"/>
      <c r="X753" s="13"/>
      <c r="Y753" s="13"/>
      <c r="Z753" s="13"/>
      <c r="AA753" s="13"/>
      <c r="AB753" s="13"/>
      <c r="AC753" s="13"/>
      <c r="AD753" s="13"/>
      <c r="AE753" s="13"/>
    </row>
    <row r="754" spans="1:31" ht="21" x14ac:dyDescent="0.4">
      <c r="A754" s="210"/>
      <c r="B754" s="108">
        <v>744</v>
      </c>
      <c r="C754" s="297">
        <v>2030.9323148023534</v>
      </c>
      <c r="D754" s="297">
        <v>2912.76771637709</v>
      </c>
      <c r="E754" s="297">
        <v>20.440552326202479</v>
      </c>
      <c r="F754" s="297">
        <v>15.034903175005542</v>
      </c>
      <c r="G754" s="322">
        <v>-881.83540157473658</v>
      </c>
      <c r="H754" s="322">
        <v>5.4056491511969362</v>
      </c>
      <c r="I754" s="322">
        <v>-163.13219317599953</v>
      </c>
      <c r="K754" s="223">
        <f t="shared" si="46"/>
        <v>1224402.2072573463</v>
      </c>
      <c r="L754" s="223">
        <f t="shared" si="46"/>
        <v>899181.42278395547</v>
      </c>
      <c r="M754" s="114">
        <f t="shared" si="47"/>
        <v>1</v>
      </c>
      <c r="N754" s="114">
        <f t="shared" si="48"/>
        <v>0</v>
      </c>
      <c r="T754" s="12"/>
      <c r="U754" s="210"/>
      <c r="V754" s="13"/>
      <c r="W754" s="13"/>
      <c r="X754" s="13"/>
      <c r="Y754" s="13"/>
      <c r="Z754" s="13"/>
      <c r="AA754" s="13"/>
      <c r="AB754" s="13"/>
      <c r="AC754" s="13"/>
      <c r="AD754" s="13"/>
      <c r="AE754" s="13"/>
    </row>
    <row r="755" spans="1:31" ht="21" x14ac:dyDescent="0.4">
      <c r="A755" s="210"/>
      <c r="B755" s="108">
        <v>745</v>
      </c>
      <c r="C755" s="297">
        <v>2155.9065037567111</v>
      </c>
      <c r="D755" s="297">
        <v>2929.0258112559432</v>
      </c>
      <c r="E755" s="297">
        <v>20.807298295714972</v>
      </c>
      <c r="F755" s="297">
        <v>14.253141452931583</v>
      </c>
      <c r="G755" s="322">
        <v>-773.11930749923204</v>
      </c>
      <c r="H755" s="322">
        <v>6.5541568427833887</v>
      </c>
      <c r="I755" s="322">
        <v>-117.95862168762311</v>
      </c>
      <c r="K755" s="223">
        <f t="shared" si="46"/>
        <v>1246281.9912391414</v>
      </c>
      <c r="L755" s="223">
        <f t="shared" si="46"/>
        <v>852259.46136463911</v>
      </c>
      <c r="M755" s="114">
        <f t="shared" si="47"/>
        <v>1</v>
      </c>
      <c r="N755" s="114">
        <f t="shared" si="48"/>
        <v>0</v>
      </c>
      <c r="T755" s="12"/>
      <c r="U755" s="210"/>
      <c r="V755" s="13"/>
      <c r="W755" s="13"/>
      <c r="X755" s="13"/>
      <c r="Y755" s="13"/>
      <c r="Z755" s="13"/>
      <c r="AA755" s="13"/>
      <c r="AB755" s="13"/>
      <c r="AC755" s="13"/>
      <c r="AD755" s="13"/>
      <c r="AE755" s="13"/>
    </row>
    <row r="756" spans="1:31" ht="21" x14ac:dyDescent="0.4">
      <c r="A756" s="210"/>
      <c r="B756" s="108">
        <v>746</v>
      </c>
      <c r="C756" s="297">
        <v>2205.0070295520695</v>
      </c>
      <c r="D756" s="297">
        <v>3134.0792825455155</v>
      </c>
      <c r="E756" s="297">
        <v>21.077763169972499</v>
      </c>
      <c r="F756" s="297">
        <v>15.221179550460109</v>
      </c>
      <c r="G756" s="322">
        <v>-929.072252993446</v>
      </c>
      <c r="H756" s="322">
        <v>5.8565836195123904</v>
      </c>
      <c r="I756" s="322">
        <v>-158.63723859385431</v>
      </c>
      <c r="K756" s="223">
        <f t="shared" si="46"/>
        <v>1262460.7831687978</v>
      </c>
      <c r="L756" s="223">
        <f t="shared" si="46"/>
        <v>910136.69374506106</v>
      </c>
      <c r="M756" s="114">
        <f t="shared" si="47"/>
        <v>1</v>
      </c>
      <c r="N756" s="114">
        <f t="shared" si="48"/>
        <v>0</v>
      </c>
      <c r="T756" s="12"/>
      <c r="U756" s="210"/>
      <c r="V756" s="13"/>
      <c r="W756" s="13"/>
      <c r="X756" s="13"/>
      <c r="Y756" s="13"/>
      <c r="Z756" s="13"/>
      <c r="AA756" s="13"/>
      <c r="AB756" s="13"/>
      <c r="AC756" s="13"/>
      <c r="AD756" s="13"/>
      <c r="AE756" s="13"/>
    </row>
    <row r="757" spans="1:31" ht="21" x14ac:dyDescent="0.4">
      <c r="A757" s="210"/>
      <c r="B757" s="108">
        <v>747</v>
      </c>
      <c r="C757" s="297">
        <v>2110.2468832280765</v>
      </c>
      <c r="D757" s="297">
        <v>3099.8463691815919</v>
      </c>
      <c r="E757" s="297">
        <v>17.043379128723586</v>
      </c>
      <c r="F757" s="297">
        <v>12.642334791202243</v>
      </c>
      <c r="G757" s="322">
        <v>-989.59948595351534</v>
      </c>
      <c r="H757" s="322">
        <v>4.4010443375213431</v>
      </c>
      <c r="I757" s="322">
        <v>-224.85560472923007</v>
      </c>
      <c r="K757" s="223">
        <f t="shared" si="46"/>
        <v>1020492.5008401871</v>
      </c>
      <c r="L757" s="223">
        <f t="shared" si="46"/>
        <v>755440.24110295298</v>
      </c>
      <c r="M757" s="114">
        <f t="shared" si="47"/>
        <v>1</v>
      </c>
      <c r="N757" s="114">
        <f t="shared" si="48"/>
        <v>0</v>
      </c>
      <c r="T757" s="12"/>
      <c r="U757" s="210"/>
      <c r="V757" s="13"/>
      <c r="W757" s="13"/>
      <c r="X757" s="13"/>
      <c r="Y757" s="13"/>
      <c r="Z757" s="13"/>
      <c r="AA757" s="13"/>
      <c r="AB757" s="13"/>
      <c r="AC757" s="13"/>
      <c r="AD757" s="13"/>
      <c r="AE757" s="13"/>
    </row>
    <row r="758" spans="1:31" ht="21" x14ac:dyDescent="0.4">
      <c r="A758" s="210"/>
      <c r="B758" s="108">
        <v>748</v>
      </c>
      <c r="C758" s="297">
        <v>1808.195244598121</v>
      </c>
      <c r="D758" s="297">
        <v>2928.5425395583839</v>
      </c>
      <c r="E758" s="297">
        <v>16.752926228139017</v>
      </c>
      <c r="F758" s="297">
        <v>12.074513232983609</v>
      </c>
      <c r="G758" s="322">
        <v>-1120.3472949602628</v>
      </c>
      <c r="H758" s="322">
        <v>4.6784129951554085</v>
      </c>
      <c r="I758" s="322">
        <v>-239.47165334065315</v>
      </c>
      <c r="K758" s="223">
        <f t="shared" si="46"/>
        <v>1003367.378443743</v>
      </c>
      <c r="L758" s="223">
        <f t="shared" si="46"/>
        <v>721542.25143945811</v>
      </c>
      <c r="M758" s="114">
        <f t="shared" si="47"/>
        <v>1</v>
      </c>
      <c r="N758" s="114">
        <f t="shared" si="48"/>
        <v>0</v>
      </c>
      <c r="T758" s="12"/>
      <c r="U758" s="210"/>
      <c r="V758" s="13"/>
      <c r="W758" s="13"/>
      <c r="X758" s="13"/>
      <c r="Y758" s="13"/>
      <c r="Z758" s="13"/>
      <c r="AA758" s="13"/>
      <c r="AB758" s="13"/>
      <c r="AC758" s="13"/>
      <c r="AD758" s="13"/>
      <c r="AE758" s="13"/>
    </row>
    <row r="759" spans="1:31" ht="21" x14ac:dyDescent="0.4">
      <c r="A759" s="210"/>
      <c r="B759" s="108">
        <v>749</v>
      </c>
      <c r="C759" s="297">
        <v>1737.9996769133695</v>
      </c>
      <c r="D759" s="297">
        <v>2626.2096957287895</v>
      </c>
      <c r="E759" s="297">
        <v>16.749051102729858</v>
      </c>
      <c r="F759" s="297">
        <v>11.559317981678966</v>
      </c>
      <c r="G759" s="322">
        <v>-888.21001881541997</v>
      </c>
      <c r="H759" s="322">
        <v>5.1897331210508924</v>
      </c>
      <c r="I759" s="322">
        <v>-171.14753265685508</v>
      </c>
      <c r="K759" s="223">
        <f t="shared" si="46"/>
        <v>1003205.0664868781</v>
      </c>
      <c r="L759" s="223">
        <f t="shared" si="46"/>
        <v>690932.86920500908</v>
      </c>
      <c r="M759" s="114">
        <f t="shared" si="47"/>
        <v>1</v>
      </c>
      <c r="N759" s="114">
        <f t="shared" si="48"/>
        <v>0</v>
      </c>
      <c r="T759" s="12"/>
      <c r="U759" s="210"/>
      <c r="V759" s="13"/>
      <c r="W759" s="13"/>
      <c r="X759" s="13"/>
      <c r="Y759" s="13"/>
      <c r="Z759" s="13"/>
      <c r="AA759" s="13"/>
      <c r="AB759" s="13"/>
      <c r="AC759" s="13"/>
      <c r="AD759" s="13"/>
      <c r="AE759" s="13"/>
    </row>
    <row r="760" spans="1:31" ht="21" x14ac:dyDescent="0.4">
      <c r="A760" s="210"/>
      <c r="B760" s="108">
        <v>750</v>
      </c>
      <c r="C760" s="297">
        <v>2099.099308182304</v>
      </c>
      <c r="D760" s="297">
        <v>2748.7387362269847</v>
      </c>
      <c r="E760" s="297">
        <v>20.868924865865498</v>
      </c>
      <c r="F760" s="297">
        <v>15.256516807011353</v>
      </c>
      <c r="G760" s="322">
        <v>-649.6394280446807</v>
      </c>
      <c r="H760" s="322">
        <v>5.612408058854145</v>
      </c>
      <c r="I760" s="322">
        <v>-115.7505693157518</v>
      </c>
      <c r="K760" s="223">
        <f t="shared" si="46"/>
        <v>1250036.3926437476</v>
      </c>
      <c r="L760" s="223">
        <f t="shared" si="46"/>
        <v>912642.26968445419</v>
      </c>
      <c r="M760" s="114">
        <f t="shared" si="47"/>
        <v>1</v>
      </c>
      <c r="N760" s="114">
        <f t="shared" si="48"/>
        <v>0</v>
      </c>
      <c r="T760" s="12"/>
      <c r="U760" s="210"/>
      <c r="V760" s="13"/>
      <c r="W760" s="13"/>
      <c r="X760" s="13"/>
      <c r="Y760" s="13"/>
      <c r="Z760" s="13"/>
      <c r="AA760" s="13"/>
      <c r="AB760" s="13"/>
      <c r="AC760" s="13"/>
      <c r="AD760" s="13"/>
      <c r="AE760" s="13"/>
    </row>
    <row r="761" spans="1:31" ht="21" x14ac:dyDescent="0.4">
      <c r="A761" s="210"/>
      <c r="B761" s="108">
        <v>751</v>
      </c>
      <c r="C761" s="297">
        <v>2021.6417030617299</v>
      </c>
      <c r="D761" s="297">
        <v>3024.1904256311363</v>
      </c>
      <c r="E761" s="297">
        <v>19.076501508101781</v>
      </c>
      <c r="F761" s="297">
        <v>14.25370079214817</v>
      </c>
      <c r="G761" s="322">
        <v>-1002.5487225694064</v>
      </c>
      <c r="H761" s="322">
        <v>4.8228007159536119</v>
      </c>
      <c r="I761" s="322">
        <v>-207.87687105814251</v>
      </c>
      <c r="K761" s="223">
        <f t="shared" si="46"/>
        <v>1142568.4487830452</v>
      </c>
      <c r="L761" s="223">
        <f t="shared" si="46"/>
        <v>852197.85710325907</v>
      </c>
      <c r="M761" s="114">
        <f t="shared" si="47"/>
        <v>1</v>
      </c>
      <c r="N761" s="114">
        <f t="shared" si="48"/>
        <v>0</v>
      </c>
      <c r="T761" s="12"/>
      <c r="U761" s="210"/>
      <c r="V761" s="13"/>
      <c r="W761" s="13"/>
      <c r="X761" s="13"/>
      <c r="Y761" s="13"/>
      <c r="Z761" s="13"/>
      <c r="AA761" s="13"/>
      <c r="AB761" s="13"/>
      <c r="AC761" s="13"/>
      <c r="AD761" s="13"/>
      <c r="AE761" s="13"/>
    </row>
    <row r="762" spans="1:31" ht="21" x14ac:dyDescent="0.4">
      <c r="A762" s="210"/>
      <c r="B762" s="108">
        <v>752</v>
      </c>
      <c r="C762" s="297">
        <v>2516.3885707230638</v>
      </c>
      <c r="D762" s="297">
        <v>3472.345129867329</v>
      </c>
      <c r="E762" s="297">
        <v>17.987509016938027</v>
      </c>
      <c r="F762" s="297">
        <v>11.915346423964069</v>
      </c>
      <c r="G762" s="322">
        <v>-955.95655914426516</v>
      </c>
      <c r="H762" s="322">
        <v>6.0721625929739584</v>
      </c>
      <c r="I762" s="322">
        <v>-157.43263532672748</v>
      </c>
      <c r="K762" s="223">
        <f t="shared" si="46"/>
        <v>1076734.1524455585</v>
      </c>
      <c r="L762" s="223">
        <f t="shared" si="46"/>
        <v>711448.44030797679</v>
      </c>
      <c r="M762" s="114">
        <f t="shared" si="47"/>
        <v>1</v>
      </c>
      <c r="N762" s="114">
        <f t="shared" si="48"/>
        <v>0</v>
      </c>
      <c r="T762" s="12"/>
      <c r="U762" s="210"/>
      <c r="V762" s="13"/>
      <c r="W762" s="13"/>
      <c r="X762" s="13"/>
      <c r="Y762" s="13"/>
      <c r="Z762" s="13"/>
      <c r="AA762" s="13"/>
      <c r="AB762" s="13"/>
      <c r="AC762" s="13"/>
      <c r="AD762" s="13"/>
      <c r="AE762" s="13"/>
    </row>
    <row r="763" spans="1:31" ht="21" x14ac:dyDescent="0.4">
      <c r="A763" s="210"/>
      <c r="B763" s="108">
        <v>753</v>
      </c>
      <c r="C763" s="297">
        <v>2083.5171098447322</v>
      </c>
      <c r="D763" s="297">
        <v>2578.4724303140415</v>
      </c>
      <c r="E763" s="297">
        <v>18.208121331416873</v>
      </c>
      <c r="F763" s="297">
        <v>13.673170198099779</v>
      </c>
      <c r="G763" s="322">
        <v>-494.9553204693093</v>
      </c>
      <c r="H763" s="322">
        <v>4.5349511333170938</v>
      </c>
      <c r="I763" s="322">
        <v>-109.14237131090624</v>
      </c>
      <c r="K763" s="223">
        <f t="shared" si="46"/>
        <v>1090403.7627751676</v>
      </c>
      <c r="L763" s="223">
        <f t="shared" si="46"/>
        <v>817811.73945567268</v>
      </c>
      <c r="M763" s="114">
        <f t="shared" si="47"/>
        <v>1</v>
      </c>
      <c r="N763" s="114">
        <f t="shared" si="48"/>
        <v>0</v>
      </c>
      <c r="T763" s="12"/>
      <c r="U763" s="210"/>
      <c r="V763" s="13"/>
      <c r="W763" s="13"/>
      <c r="X763" s="13"/>
      <c r="Y763" s="13"/>
      <c r="Z763" s="13"/>
      <c r="AA763" s="13"/>
      <c r="AB763" s="13"/>
      <c r="AC763" s="13"/>
      <c r="AD763" s="13"/>
      <c r="AE763" s="13"/>
    </row>
    <row r="764" spans="1:31" ht="21" x14ac:dyDescent="0.4">
      <c r="A764" s="210"/>
      <c r="B764" s="108">
        <v>754</v>
      </c>
      <c r="C764" s="297">
        <v>2107.2233991927997</v>
      </c>
      <c r="D764" s="297">
        <v>2589.4396275876611</v>
      </c>
      <c r="E764" s="297">
        <v>18.089202076982509</v>
      </c>
      <c r="F764" s="297">
        <v>12.730675411386931</v>
      </c>
      <c r="G764" s="322">
        <v>-482.21622839486145</v>
      </c>
      <c r="H764" s="322">
        <v>5.3585266655955781</v>
      </c>
      <c r="I764" s="322">
        <v>-89.990450451787595</v>
      </c>
      <c r="K764" s="223">
        <f t="shared" si="46"/>
        <v>1083244.9012197577</v>
      </c>
      <c r="L764" s="223">
        <f t="shared" si="46"/>
        <v>761251.08505562821</v>
      </c>
      <c r="M764" s="114">
        <f t="shared" si="47"/>
        <v>1</v>
      </c>
      <c r="N764" s="114">
        <f t="shared" si="48"/>
        <v>0</v>
      </c>
      <c r="T764" s="12"/>
      <c r="U764" s="210"/>
      <c r="V764" s="13"/>
      <c r="W764" s="13"/>
      <c r="X764" s="13"/>
      <c r="Y764" s="13"/>
      <c r="Z764" s="13"/>
      <c r="AA764" s="13"/>
      <c r="AB764" s="13"/>
      <c r="AC764" s="13"/>
      <c r="AD764" s="13"/>
      <c r="AE764" s="13"/>
    </row>
    <row r="765" spans="1:31" ht="21" x14ac:dyDescent="0.4">
      <c r="A765" s="210"/>
      <c r="B765" s="108">
        <v>755</v>
      </c>
      <c r="C765" s="297">
        <v>1870.1686125256826</v>
      </c>
      <c r="D765" s="297">
        <v>2531.5201113676685</v>
      </c>
      <c r="E765" s="297">
        <v>19.278695861584669</v>
      </c>
      <c r="F765" s="297">
        <v>13.208316966598046</v>
      </c>
      <c r="G765" s="322">
        <v>-661.35149884198586</v>
      </c>
      <c r="H765" s="322">
        <v>6.0703788949866233</v>
      </c>
      <c r="I765" s="322">
        <v>-108.94731783351774</v>
      </c>
      <c r="K765" s="223">
        <f t="shared" si="46"/>
        <v>1154851.5830825544</v>
      </c>
      <c r="L765" s="223">
        <f t="shared" si="46"/>
        <v>789967.49788451509</v>
      </c>
      <c r="M765" s="114">
        <f t="shared" si="47"/>
        <v>1</v>
      </c>
      <c r="N765" s="114">
        <f t="shared" si="48"/>
        <v>0</v>
      </c>
      <c r="T765" s="12"/>
      <c r="U765" s="210"/>
      <c r="V765" s="13"/>
      <c r="W765" s="13"/>
      <c r="X765" s="13"/>
      <c r="Y765" s="13"/>
      <c r="Z765" s="13"/>
      <c r="AA765" s="13"/>
      <c r="AB765" s="13"/>
      <c r="AC765" s="13"/>
      <c r="AD765" s="13"/>
      <c r="AE765" s="13"/>
    </row>
    <row r="766" spans="1:31" ht="21" x14ac:dyDescent="0.4">
      <c r="A766" s="210"/>
      <c r="B766" s="108">
        <v>756</v>
      </c>
      <c r="C766" s="297">
        <v>2351.2901488025768</v>
      </c>
      <c r="D766" s="297">
        <v>3320.7742215734202</v>
      </c>
      <c r="E766" s="297">
        <v>19.446447336433046</v>
      </c>
      <c r="F766" s="297">
        <v>14.936207745986414</v>
      </c>
      <c r="G766" s="322">
        <v>-969.48407277084334</v>
      </c>
      <c r="H766" s="322">
        <v>4.5102395904466324</v>
      </c>
      <c r="I766" s="322">
        <v>-214.95178988370304</v>
      </c>
      <c r="K766" s="223">
        <f t="shared" si="46"/>
        <v>1164435.5500371801</v>
      </c>
      <c r="L766" s="223">
        <f t="shared" si="46"/>
        <v>892851.69053761149</v>
      </c>
      <c r="M766" s="114">
        <f t="shared" si="47"/>
        <v>1</v>
      </c>
      <c r="N766" s="114">
        <f t="shared" si="48"/>
        <v>0</v>
      </c>
      <c r="T766" s="12"/>
      <c r="U766" s="210"/>
      <c r="V766" s="13"/>
      <c r="W766" s="13"/>
      <c r="X766" s="13"/>
      <c r="Y766" s="13"/>
      <c r="Z766" s="13"/>
      <c r="AA766" s="13"/>
      <c r="AB766" s="13"/>
      <c r="AC766" s="13"/>
      <c r="AD766" s="13"/>
      <c r="AE766" s="13"/>
    </row>
    <row r="767" spans="1:31" ht="21" x14ac:dyDescent="0.4">
      <c r="A767" s="210"/>
      <c r="B767" s="108">
        <v>757</v>
      </c>
      <c r="C767" s="297">
        <v>2027.153477741836</v>
      </c>
      <c r="D767" s="297">
        <v>2980.7760370937508</v>
      </c>
      <c r="E767" s="297">
        <v>14.867709904057557</v>
      </c>
      <c r="F767" s="297">
        <v>10.998289145494031</v>
      </c>
      <c r="G767" s="322">
        <v>-953.62255935191479</v>
      </c>
      <c r="H767" s="322">
        <v>3.8694207585635265</v>
      </c>
      <c r="I767" s="322">
        <v>-246.45098552320144</v>
      </c>
      <c r="K767" s="223">
        <f t="shared" si="46"/>
        <v>890035.4407657116</v>
      </c>
      <c r="L767" s="223">
        <f t="shared" si="46"/>
        <v>656916.57269254816</v>
      </c>
      <c r="M767" s="114">
        <f t="shared" si="47"/>
        <v>1</v>
      </c>
      <c r="N767" s="114">
        <f t="shared" si="48"/>
        <v>0</v>
      </c>
      <c r="T767" s="12"/>
      <c r="U767" s="210"/>
      <c r="V767" s="13"/>
      <c r="W767" s="13"/>
      <c r="X767" s="13"/>
      <c r="Y767" s="13"/>
      <c r="Z767" s="13"/>
      <c r="AA767" s="13"/>
      <c r="AB767" s="13"/>
      <c r="AC767" s="13"/>
      <c r="AD767" s="13"/>
      <c r="AE767" s="13"/>
    </row>
    <row r="768" spans="1:31" ht="21" x14ac:dyDescent="0.4">
      <c r="A768" s="210"/>
      <c r="B768" s="108">
        <v>758</v>
      </c>
      <c r="C768" s="297">
        <v>2106.2700804043011</v>
      </c>
      <c r="D768" s="297">
        <v>2719.3895192219497</v>
      </c>
      <c r="E768" s="297">
        <v>19.835614883925302</v>
      </c>
      <c r="F768" s="297">
        <v>14.297281544444697</v>
      </c>
      <c r="G768" s="322">
        <v>-613.11943881764864</v>
      </c>
      <c r="H768" s="322">
        <v>5.5383333394806051</v>
      </c>
      <c r="I768" s="322">
        <v>-110.70468338316886</v>
      </c>
      <c r="K768" s="223">
        <f t="shared" si="46"/>
        <v>1188030.6229551139</v>
      </c>
      <c r="L768" s="223">
        <f t="shared" si="46"/>
        <v>855117.50314745982</v>
      </c>
      <c r="M768" s="114">
        <f t="shared" si="47"/>
        <v>1</v>
      </c>
      <c r="N768" s="114">
        <f t="shared" si="48"/>
        <v>0</v>
      </c>
      <c r="T768" s="12"/>
      <c r="U768" s="210"/>
      <c r="V768" s="13"/>
      <c r="W768" s="13"/>
      <c r="X768" s="13"/>
      <c r="Y768" s="13"/>
      <c r="Z768" s="13"/>
      <c r="AA768" s="13"/>
      <c r="AB768" s="13"/>
      <c r="AC768" s="13"/>
      <c r="AD768" s="13"/>
      <c r="AE768" s="13"/>
    </row>
    <row r="769" spans="1:31" ht="21" x14ac:dyDescent="0.4">
      <c r="A769" s="210"/>
      <c r="B769" s="108">
        <v>759</v>
      </c>
      <c r="C769" s="297">
        <v>2393.2958170745164</v>
      </c>
      <c r="D769" s="297">
        <v>3926.1780560772741</v>
      </c>
      <c r="E769" s="297">
        <v>19.653896042046053</v>
      </c>
      <c r="F769" s="297">
        <v>14.341200300719194</v>
      </c>
      <c r="G769" s="322">
        <v>-1532.8822390027576</v>
      </c>
      <c r="H769" s="322">
        <v>5.3126957413268592</v>
      </c>
      <c r="I769" s="322">
        <v>-288.53190802526859</v>
      </c>
      <c r="K769" s="223">
        <f t="shared" si="46"/>
        <v>1176840.4667056885</v>
      </c>
      <c r="L769" s="223">
        <f t="shared" si="46"/>
        <v>856545.83998707449</v>
      </c>
      <c r="M769" s="114">
        <f t="shared" si="47"/>
        <v>1</v>
      </c>
      <c r="N769" s="114">
        <f t="shared" si="48"/>
        <v>0</v>
      </c>
      <c r="T769" s="12"/>
      <c r="U769" s="210"/>
      <c r="V769" s="13"/>
      <c r="W769" s="13"/>
      <c r="X769" s="13"/>
      <c r="Y769" s="13"/>
      <c r="Z769" s="13"/>
      <c r="AA769" s="13"/>
      <c r="AB769" s="13"/>
      <c r="AC769" s="13"/>
      <c r="AD769" s="13"/>
      <c r="AE769" s="13"/>
    </row>
    <row r="770" spans="1:31" ht="21" x14ac:dyDescent="0.4">
      <c r="A770" s="210"/>
      <c r="B770" s="108">
        <v>760</v>
      </c>
      <c r="C770" s="297">
        <v>2094.3451827055237</v>
      </c>
      <c r="D770" s="297">
        <v>2694.1693756570317</v>
      </c>
      <c r="E770" s="297">
        <v>18.148814815811491</v>
      </c>
      <c r="F770" s="297">
        <v>12.413334248812424</v>
      </c>
      <c r="G770" s="322">
        <v>-599.82419295150794</v>
      </c>
      <c r="H770" s="322">
        <v>5.7354805669990672</v>
      </c>
      <c r="I770" s="322">
        <v>-104.58133123190922</v>
      </c>
      <c r="K770" s="223">
        <f t="shared" si="46"/>
        <v>1086834.543765984</v>
      </c>
      <c r="L770" s="223">
        <f t="shared" si="46"/>
        <v>742105.88555308839</v>
      </c>
      <c r="M770" s="114">
        <f t="shared" si="47"/>
        <v>1</v>
      </c>
      <c r="N770" s="114">
        <f t="shared" si="48"/>
        <v>0</v>
      </c>
      <c r="T770" s="12"/>
      <c r="U770" s="210"/>
      <c r="V770" s="13"/>
      <c r="W770" s="13"/>
      <c r="X770" s="13"/>
      <c r="Y770" s="13"/>
      <c r="Z770" s="13"/>
      <c r="AA770" s="13"/>
      <c r="AB770" s="13"/>
      <c r="AC770" s="13"/>
      <c r="AD770" s="13"/>
      <c r="AE770" s="13"/>
    </row>
    <row r="771" spans="1:31" ht="21" x14ac:dyDescent="0.4">
      <c r="A771" s="210"/>
      <c r="B771" s="108">
        <v>761</v>
      </c>
      <c r="C771" s="297">
        <v>2039.290431163452</v>
      </c>
      <c r="D771" s="297">
        <v>3028.8232713630214</v>
      </c>
      <c r="E771" s="297">
        <v>18.642111930257013</v>
      </c>
      <c r="F771" s="297">
        <v>13.466414513464789</v>
      </c>
      <c r="G771" s="322">
        <v>-989.53284019956936</v>
      </c>
      <c r="H771" s="322">
        <v>5.1756974167922234</v>
      </c>
      <c r="I771" s="322">
        <v>-191.18830961583893</v>
      </c>
      <c r="K771" s="223">
        <f t="shared" si="46"/>
        <v>1116487.4253842572</v>
      </c>
      <c r="L771" s="223">
        <f t="shared" si="46"/>
        <v>804956.04753652436</v>
      </c>
      <c r="M771" s="114">
        <f t="shared" si="47"/>
        <v>1</v>
      </c>
      <c r="N771" s="114">
        <f t="shared" si="48"/>
        <v>0</v>
      </c>
      <c r="T771" s="12"/>
      <c r="U771" s="210"/>
      <c r="V771" s="13"/>
      <c r="W771" s="13"/>
      <c r="X771" s="13"/>
      <c r="Y771" s="13"/>
      <c r="Z771" s="13"/>
      <c r="AA771" s="13"/>
      <c r="AB771" s="13"/>
      <c r="AC771" s="13"/>
      <c r="AD771" s="13"/>
      <c r="AE771" s="13"/>
    </row>
    <row r="772" spans="1:31" ht="21" x14ac:dyDescent="0.4">
      <c r="A772" s="210"/>
      <c r="B772" s="108">
        <v>762</v>
      </c>
      <c r="C772" s="297">
        <v>2067.7019193378305</v>
      </c>
      <c r="D772" s="297">
        <v>2840.3825728672168</v>
      </c>
      <c r="E772" s="297">
        <v>20.404432138734919</v>
      </c>
      <c r="F772" s="297">
        <v>15.159523989337435</v>
      </c>
      <c r="G772" s="322">
        <v>-772.68065352938629</v>
      </c>
      <c r="H772" s="322">
        <v>5.2449081493974834</v>
      </c>
      <c r="I772" s="322">
        <v>-147.32014966137189</v>
      </c>
      <c r="K772" s="223">
        <f t="shared" si="46"/>
        <v>1222198.2264047575</v>
      </c>
      <c r="L772" s="223">
        <f t="shared" si="46"/>
        <v>906731.05678737885</v>
      </c>
      <c r="M772" s="114">
        <f t="shared" si="47"/>
        <v>1</v>
      </c>
      <c r="N772" s="114">
        <f t="shared" si="48"/>
        <v>0</v>
      </c>
      <c r="T772" s="12"/>
      <c r="U772" s="210"/>
      <c r="V772" s="13"/>
      <c r="W772" s="13"/>
      <c r="X772" s="13"/>
      <c r="Y772" s="13"/>
      <c r="Z772" s="13"/>
      <c r="AA772" s="13"/>
      <c r="AB772" s="13"/>
      <c r="AC772" s="13"/>
      <c r="AD772" s="13"/>
      <c r="AE772" s="13"/>
    </row>
    <row r="773" spans="1:31" ht="21" x14ac:dyDescent="0.4">
      <c r="A773" s="210"/>
      <c r="B773" s="108">
        <v>763</v>
      </c>
      <c r="C773" s="297">
        <v>2036.4351601086582</v>
      </c>
      <c r="D773" s="297">
        <v>2972.8937085211692</v>
      </c>
      <c r="E773" s="297">
        <v>16.066582188068288</v>
      </c>
      <c r="F773" s="297">
        <v>11.211356408633034</v>
      </c>
      <c r="G773" s="322">
        <v>-936.45854841251094</v>
      </c>
      <c r="H773" s="322">
        <v>4.8552257794352549</v>
      </c>
      <c r="I773" s="322">
        <v>-192.87641624802811</v>
      </c>
      <c r="K773" s="223">
        <f t="shared" si="46"/>
        <v>961958.49612398865</v>
      </c>
      <c r="L773" s="223">
        <f t="shared" si="46"/>
        <v>669708.49080946087</v>
      </c>
      <c r="M773" s="114">
        <f t="shared" si="47"/>
        <v>1</v>
      </c>
      <c r="N773" s="114">
        <f t="shared" si="48"/>
        <v>0</v>
      </c>
      <c r="T773" s="12"/>
      <c r="U773" s="210"/>
      <c r="V773" s="13"/>
      <c r="W773" s="13"/>
      <c r="X773" s="13"/>
      <c r="Y773" s="13"/>
      <c r="Z773" s="13"/>
      <c r="AA773" s="13"/>
      <c r="AB773" s="13"/>
      <c r="AC773" s="13"/>
      <c r="AD773" s="13"/>
      <c r="AE773" s="13"/>
    </row>
    <row r="774" spans="1:31" ht="21" x14ac:dyDescent="0.4">
      <c r="A774" s="210"/>
      <c r="B774" s="108">
        <v>764</v>
      </c>
      <c r="C774" s="297">
        <v>1921.065662041628</v>
      </c>
      <c r="D774" s="297">
        <v>2863.7766320612236</v>
      </c>
      <c r="E774" s="297">
        <v>18.635939388574883</v>
      </c>
      <c r="F774" s="297">
        <v>13.807906181717893</v>
      </c>
      <c r="G774" s="322">
        <v>-942.71097001959561</v>
      </c>
      <c r="H774" s="322">
        <v>4.8280332068569898</v>
      </c>
      <c r="I774" s="322">
        <v>-195.25776431709608</v>
      </c>
      <c r="K774" s="223">
        <f t="shared" si="46"/>
        <v>1116235.2976524516</v>
      </c>
      <c r="L774" s="223">
        <f t="shared" si="46"/>
        <v>825610.59427101235</v>
      </c>
      <c r="M774" s="114">
        <f t="shared" si="47"/>
        <v>1</v>
      </c>
      <c r="N774" s="114">
        <f t="shared" si="48"/>
        <v>0</v>
      </c>
      <c r="T774" s="12"/>
      <c r="U774" s="210"/>
      <c r="V774" s="13"/>
      <c r="W774" s="13"/>
      <c r="X774" s="13"/>
      <c r="Y774" s="13"/>
      <c r="Z774" s="13"/>
      <c r="AA774" s="13"/>
      <c r="AB774" s="13"/>
      <c r="AC774" s="13"/>
      <c r="AD774" s="13"/>
      <c r="AE774" s="13"/>
    </row>
    <row r="775" spans="1:31" ht="21" x14ac:dyDescent="0.4">
      <c r="A775" s="210"/>
      <c r="B775" s="108">
        <v>765</v>
      </c>
      <c r="C775" s="297">
        <v>2038.2023120081792</v>
      </c>
      <c r="D775" s="297">
        <v>3321.7708555105633</v>
      </c>
      <c r="E775" s="297">
        <v>13.794188052366234</v>
      </c>
      <c r="F775" s="297">
        <v>9.7931517185392689</v>
      </c>
      <c r="G775" s="322">
        <v>-1283.568543502384</v>
      </c>
      <c r="H775" s="322">
        <v>4.0010363338269652</v>
      </c>
      <c r="I775" s="322">
        <v>-320.80901956585308</v>
      </c>
      <c r="K775" s="223">
        <f t="shared" si="46"/>
        <v>825613.08082996588</v>
      </c>
      <c r="L775" s="223">
        <f t="shared" si="46"/>
        <v>584267.33225684555</v>
      </c>
      <c r="M775" s="114">
        <f t="shared" si="47"/>
        <v>1</v>
      </c>
      <c r="N775" s="114">
        <f t="shared" si="48"/>
        <v>0</v>
      </c>
      <c r="T775" s="12"/>
      <c r="U775" s="210"/>
      <c r="V775" s="13"/>
      <c r="W775" s="13"/>
      <c r="X775" s="13"/>
      <c r="Y775" s="13"/>
      <c r="Z775" s="13"/>
      <c r="AA775" s="13"/>
      <c r="AB775" s="13"/>
      <c r="AC775" s="13"/>
      <c r="AD775" s="13"/>
      <c r="AE775" s="13"/>
    </row>
    <row r="776" spans="1:31" ht="21" x14ac:dyDescent="0.4">
      <c r="A776" s="210"/>
      <c r="B776" s="108">
        <v>766</v>
      </c>
      <c r="C776" s="297">
        <v>2260.5227798713349</v>
      </c>
      <c r="D776" s="297">
        <v>2834.1484705603625</v>
      </c>
      <c r="E776" s="297">
        <v>17.448430114004882</v>
      </c>
      <c r="F776" s="297">
        <v>12.716160571595882</v>
      </c>
      <c r="G776" s="322">
        <v>-573.62569068902758</v>
      </c>
      <c r="H776" s="322">
        <v>4.732269542409</v>
      </c>
      <c r="I776" s="322">
        <v>-121.21576878670753</v>
      </c>
      <c r="K776" s="223">
        <f t="shared" si="46"/>
        <v>1044645.2840604215</v>
      </c>
      <c r="L776" s="223">
        <f t="shared" si="46"/>
        <v>760135.48582519265</v>
      </c>
      <c r="M776" s="114">
        <f t="shared" si="47"/>
        <v>1</v>
      </c>
      <c r="N776" s="114">
        <f t="shared" si="48"/>
        <v>0</v>
      </c>
      <c r="T776" s="12"/>
      <c r="U776" s="210"/>
      <c r="V776" s="13"/>
      <c r="W776" s="13"/>
      <c r="X776" s="13"/>
      <c r="Y776" s="13"/>
      <c r="Z776" s="13"/>
      <c r="AA776" s="13"/>
      <c r="AB776" s="13"/>
      <c r="AC776" s="13"/>
      <c r="AD776" s="13"/>
      <c r="AE776" s="13"/>
    </row>
    <row r="777" spans="1:31" ht="21" x14ac:dyDescent="0.4">
      <c r="A777" s="210"/>
      <c r="B777" s="108">
        <v>767</v>
      </c>
      <c r="C777" s="297">
        <v>2419.3027393257053</v>
      </c>
      <c r="D777" s="297">
        <v>3739.3670849849577</v>
      </c>
      <c r="E777" s="297">
        <v>20.612298954256207</v>
      </c>
      <c r="F777" s="297">
        <v>14.152171505381355</v>
      </c>
      <c r="G777" s="322">
        <v>-1320.0643456592525</v>
      </c>
      <c r="H777" s="322">
        <v>6.4601274488748519</v>
      </c>
      <c r="I777" s="322">
        <v>-204.34029453848709</v>
      </c>
      <c r="K777" s="223">
        <f t="shared" si="46"/>
        <v>1234318.6345160468</v>
      </c>
      <c r="L777" s="223">
        <f t="shared" si="46"/>
        <v>845390.92323789641</v>
      </c>
      <c r="M777" s="114">
        <f t="shared" si="47"/>
        <v>1</v>
      </c>
      <c r="N777" s="114">
        <f t="shared" si="48"/>
        <v>0</v>
      </c>
      <c r="T777" s="12"/>
      <c r="U777" s="210"/>
      <c r="V777" s="13"/>
      <c r="W777" s="13"/>
      <c r="X777" s="13"/>
      <c r="Y777" s="13"/>
      <c r="Z777" s="13"/>
      <c r="AA777" s="13"/>
      <c r="AB777" s="13"/>
      <c r="AC777" s="13"/>
      <c r="AD777" s="13"/>
      <c r="AE777" s="13"/>
    </row>
    <row r="778" spans="1:31" ht="21" x14ac:dyDescent="0.4">
      <c r="A778" s="210"/>
      <c r="B778" s="108">
        <v>768</v>
      </c>
      <c r="C778" s="297">
        <v>2182.8062637932744</v>
      </c>
      <c r="D778" s="297">
        <v>3633.7022486666133</v>
      </c>
      <c r="E778" s="297">
        <v>21.479137638452034</v>
      </c>
      <c r="F778" s="297">
        <v>15.680655757126056</v>
      </c>
      <c r="G778" s="322">
        <v>-1450.8959848733389</v>
      </c>
      <c r="H778" s="322">
        <v>5.7984818813259782</v>
      </c>
      <c r="I778" s="322">
        <v>-250.21997387729229</v>
      </c>
      <c r="K778" s="223">
        <f t="shared" si="46"/>
        <v>1286565.4520433287</v>
      </c>
      <c r="L778" s="223">
        <f t="shared" si="46"/>
        <v>937205.64317889663</v>
      </c>
      <c r="M778" s="114">
        <f t="shared" si="47"/>
        <v>1</v>
      </c>
      <c r="N778" s="114">
        <f t="shared" si="48"/>
        <v>0</v>
      </c>
      <c r="T778" s="12"/>
      <c r="U778" s="210"/>
      <c r="V778" s="13"/>
      <c r="W778" s="13"/>
      <c r="X778" s="13"/>
      <c r="Y778" s="13"/>
      <c r="Z778" s="13"/>
      <c r="AA778" s="13"/>
      <c r="AB778" s="13"/>
      <c r="AC778" s="13"/>
      <c r="AD778" s="13"/>
      <c r="AE778" s="13"/>
    </row>
    <row r="779" spans="1:31" ht="21" x14ac:dyDescent="0.4">
      <c r="A779" s="210"/>
      <c r="B779" s="108">
        <v>769</v>
      </c>
      <c r="C779" s="297">
        <v>2030.5114974172802</v>
      </c>
      <c r="D779" s="297">
        <v>3234.3461684296676</v>
      </c>
      <c r="E779" s="297">
        <v>18.852213915322352</v>
      </c>
      <c r="F779" s="297">
        <v>14.453387208332623</v>
      </c>
      <c r="G779" s="322">
        <v>-1203.8346710123874</v>
      </c>
      <c r="H779" s="322">
        <v>4.3988267069897287</v>
      </c>
      <c r="I779" s="322">
        <v>-273.67176549589828</v>
      </c>
      <c r="K779" s="223">
        <f t="shared" si="46"/>
        <v>1129102.3234219239</v>
      </c>
      <c r="L779" s="223">
        <f t="shared" si="46"/>
        <v>863968.88633152773</v>
      </c>
      <c r="M779" s="114">
        <f t="shared" si="47"/>
        <v>1</v>
      </c>
      <c r="N779" s="114">
        <f t="shared" si="48"/>
        <v>0</v>
      </c>
      <c r="T779" s="12"/>
      <c r="U779" s="210"/>
      <c r="V779" s="13"/>
      <c r="W779" s="13"/>
      <c r="X779" s="13"/>
      <c r="Y779" s="13"/>
      <c r="Z779" s="13"/>
      <c r="AA779" s="13"/>
      <c r="AB779" s="13"/>
      <c r="AC779" s="13"/>
      <c r="AD779" s="13"/>
      <c r="AE779" s="13"/>
    </row>
    <row r="780" spans="1:31" ht="21" x14ac:dyDescent="0.4">
      <c r="A780" s="210"/>
      <c r="B780" s="108">
        <v>770</v>
      </c>
      <c r="C780" s="297">
        <v>2436.1966951858321</v>
      </c>
      <c r="D780" s="297">
        <v>3355.8219392627007</v>
      </c>
      <c r="E780" s="297">
        <v>17.362316867016602</v>
      </c>
      <c r="F780" s="297">
        <v>12.805329794905346</v>
      </c>
      <c r="G780" s="322">
        <v>-919.62524407686851</v>
      </c>
      <c r="H780" s="322">
        <v>4.5569870721112569</v>
      </c>
      <c r="I780" s="322">
        <v>-201.8055415835984</v>
      </c>
      <c r="K780" s="223">
        <f t="shared" ref="K780:L843" si="49">E780*$N$4-C780</f>
        <v>1039302.8153258103</v>
      </c>
      <c r="L780" s="223">
        <f t="shared" si="49"/>
        <v>764963.9657550581</v>
      </c>
      <c r="M780" s="114">
        <f t="shared" ref="M780:M843" si="50">IF(MAX(K780:L780)=K780,1,0)</f>
        <v>1</v>
      </c>
      <c r="N780" s="114">
        <f t="shared" ref="N780:N843" si="51">IF(MAX(K780:L780)=L780,1,0)</f>
        <v>0</v>
      </c>
      <c r="T780" s="12"/>
      <c r="U780" s="210"/>
      <c r="V780" s="13"/>
      <c r="W780" s="13"/>
      <c r="X780" s="13"/>
      <c r="Y780" s="13"/>
      <c r="Z780" s="13"/>
      <c r="AA780" s="13"/>
      <c r="AB780" s="13"/>
      <c r="AC780" s="13"/>
      <c r="AD780" s="13"/>
      <c r="AE780" s="13"/>
    </row>
    <row r="781" spans="1:31" ht="21" x14ac:dyDescent="0.4">
      <c r="A781" s="210"/>
      <c r="B781" s="108">
        <v>771</v>
      </c>
      <c r="C781" s="297">
        <v>2515.3440589455909</v>
      </c>
      <c r="D781" s="297">
        <v>3496.5481447151151</v>
      </c>
      <c r="E781" s="297">
        <v>19.45496747695465</v>
      </c>
      <c r="F781" s="297">
        <v>14.39386594432102</v>
      </c>
      <c r="G781" s="322">
        <v>-981.20408576952423</v>
      </c>
      <c r="H781" s="322">
        <v>5.0611015326336304</v>
      </c>
      <c r="I781" s="322">
        <v>-193.87164621037309</v>
      </c>
      <c r="K781" s="223">
        <f t="shared" si="49"/>
        <v>1164782.7045583334</v>
      </c>
      <c r="L781" s="223">
        <f t="shared" si="49"/>
        <v>860135.408514546</v>
      </c>
      <c r="M781" s="114">
        <f t="shared" si="50"/>
        <v>1</v>
      </c>
      <c r="N781" s="114">
        <f t="shared" si="51"/>
        <v>0</v>
      </c>
      <c r="T781" s="12"/>
      <c r="U781" s="210"/>
      <c r="V781" s="13"/>
      <c r="W781" s="13"/>
      <c r="X781" s="13"/>
      <c r="Y781" s="13"/>
      <c r="Z781" s="13"/>
      <c r="AA781" s="13"/>
      <c r="AB781" s="13"/>
      <c r="AC781" s="13"/>
      <c r="AD781" s="13"/>
      <c r="AE781" s="13"/>
    </row>
    <row r="782" spans="1:31" ht="21" x14ac:dyDescent="0.4">
      <c r="A782" s="210"/>
      <c r="B782" s="108">
        <v>772</v>
      </c>
      <c r="C782" s="297">
        <v>1671.3115403914835</v>
      </c>
      <c r="D782" s="297">
        <v>2329.1719228792012</v>
      </c>
      <c r="E782" s="297">
        <v>18.444844191038939</v>
      </c>
      <c r="F782" s="297">
        <v>13.541512336630841</v>
      </c>
      <c r="G782" s="322">
        <v>-657.86038248771774</v>
      </c>
      <c r="H782" s="322">
        <v>4.9033318544080977</v>
      </c>
      <c r="I782" s="322">
        <v>-134.16599202770684</v>
      </c>
      <c r="K782" s="223">
        <f t="shared" si="49"/>
        <v>1105019.3399219448</v>
      </c>
      <c r="L782" s="223">
        <f t="shared" si="49"/>
        <v>810161.56827497133</v>
      </c>
      <c r="M782" s="114">
        <f t="shared" si="50"/>
        <v>1</v>
      </c>
      <c r="N782" s="114">
        <f t="shared" si="51"/>
        <v>0</v>
      </c>
      <c r="T782" s="12"/>
      <c r="U782" s="210"/>
      <c r="V782" s="13"/>
      <c r="W782" s="13"/>
      <c r="X782" s="13"/>
      <c r="Y782" s="13"/>
      <c r="Z782" s="13"/>
      <c r="AA782" s="13"/>
      <c r="AB782" s="13"/>
      <c r="AC782" s="13"/>
      <c r="AD782" s="13"/>
      <c r="AE782" s="13"/>
    </row>
    <row r="783" spans="1:31" ht="21" x14ac:dyDescent="0.4">
      <c r="A783" s="210"/>
      <c r="B783" s="108">
        <v>773</v>
      </c>
      <c r="C783" s="297">
        <v>2036.7180820540148</v>
      </c>
      <c r="D783" s="297">
        <v>3738.9838374980477</v>
      </c>
      <c r="E783" s="297">
        <v>21.633581997246797</v>
      </c>
      <c r="F783" s="297">
        <v>15.628617701972068</v>
      </c>
      <c r="G783" s="322">
        <v>-1702.2657554440329</v>
      </c>
      <c r="H783" s="322">
        <v>6.0049642952747284</v>
      </c>
      <c r="I783" s="322">
        <v>-283.47641580209495</v>
      </c>
      <c r="K783" s="223">
        <f t="shared" si="49"/>
        <v>1295978.2017527537</v>
      </c>
      <c r="L783" s="223">
        <f t="shared" si="49"/>
        <v>933978.0782808261</v>
      </c>
      <c r="M783" s="114">
        <f t="shared" si="50"/>
        <v>1</v>
      </c>
      <c r="N783" s="114">
        <f t="shared" si="51"/>
        <v>0</v>
      </c>
      <c r="T783" s="12"/>
      <c r="U783" s="210"/>
      <c r="V783" s="13"/>
      <c r="W783" s="13"/>
      <c r="X783" s="13"/>
      <c r="Y783" s="13"/>
      <c r="Z783" s="13"/>
      <c r="AA783" s="13"/>
      <c r="AB783" s="13"/>
      <c r="AC783" s="13"/>
      <c r="AD783" s="13"/>
      <c r="AE783" s="13"/>
    </row>
    <row r="784" spans="1:31" ht="21" x14ac:dyDescent="0.4">
      <c r="A784" s="210"/>
      <c r="B784" s="108">
        <v>774</v>
      </c>
      <c r="C784" s="297">
        <v>2066.651404550862</v>
      </c>
      <c r="D784" s="297">
        <v>3377.4447535264694</v>
      </c>
      <c r="E784" s="297">
        <v>20.000186241337804</v>
      </c>
      <c r="F784" s="297">
        <v>14.32742946347792</v>
      </c>
      <c r="G784" s="322">
        <v>-1310.7933489756074</v>
      </c>
      <c r="H784" s="322">
        <v>5.6727567778598846</v>
      </c>
      <c r="I784" s="322">
        <v>-231.06813852684158</v>
      </c>
      <c r="K784" s="223">
        <f t="shared" si="49"/>
        <v>1197944.5230757175</v>
      </c>
      <c r="L784" s="223">
        <f t="shared" si="49"/>
        <v>856268.32305514871</v>
      </c>
      <c r="M784" s="114">
        <f t="shared" si="50"/>
        <v>1</v>
      </c>
      <c r="N784" s="114">
        <f t="shared" si="51"/>
        <v>0</v>
      </c>
      <c r="T784" s="12"/>
      <c r="U784" s="210"/>
      <c r="V784" s="13"/>
      <c r="W784" s="13"/>
      <c r="X784" s="13"/>
      <c r="Y784" s="13"/>
      <c r="Z784" s="13"/>
      <c r="AA784" s="13"/>
      <c r="AB784" s="13"/>
      <c r="AC784" s="13"/>
      <c r="AD784" s="13"/>
      <c r="AE784" s="13"/>
    </row>
    <row r="785" spans="1:31" ht="21" x14ac:dyDescent="0.4">
      <c r="A785" s="210"/>
      <c r="B785" s="108">
        <v>775</v>
      </c>
      <c r="C785" s="297">
        <v>2226.3680069732063</v>
      </c>
      <c r="D785" s="297">
        <v>3129.049387817141</v>
      </c>
      <c r="E785" s="297">
        <v>19.542095209040507</v>
      </c>
      <c r="F785" s="297">
        <v>14.832662476520587</v>
      </c>
      <c r="G785" s="322">
        <v>-902.68138084393468</v>
      </c>
      <c r="H785" s="322">
        <v>4.7094327325199199</v>
      </c>
      <c r="I785" s="322">
        <v>-191.67518300254574</v>
      </c>
      <c r="K785" s="223">
        <f t="shared" si="49"/>
        <v>1170299.3445354572</v>
      </c>
      <c r="L785" s="223">
        <f t="shared" si="49"/>
        <v>886830.6992034181</v>
      </c>
      <c r="M785" s="114">
        <f t="shared" si="50"/>
        <v>1</v>
      </c>
      <c r="N785" s="114">
        <f t="shared" si="51"/>
        <v>0</v>
      </c>
      <c r="T785" s="12"/>
      <c r="U785" s="210"/>
      <c r="V785" s="13"/>
      <c r="W785" s="13"/>
      <c r="X785" s="13"/>
      <c r="Y785" s="13"/>
      <c r="Z785" s="13"/>
      <c r="AA785" s="13"/>
      <c r="AB785" s="13"/>
      <c r="AC785" s="13"/>
      <c r="AD785" s="13"/>
      <c r="AE785" s="13"/>
    </row>
    <row r="786" spans="1:31" ht="21" x14ac:dyDescent="0.4">
      <c r="A786" s="210"/>
      <c r="B786" s="108">
        <v>776</v>
      </c>
      <c r="C786" s="297">
        <v>2025.2811781094442</v>
      </c>
      <c r="D786" s="297">
        <v>2958.8885939648535</v>
      </c>
      <c r="E786" s="297">
        <v>17.450204970794601</v>
      </c>
      <c r="F786" s="297">
        <v>12.542749940119313</v>
      </c>
      <c r="G786" s="322">
        <v>-933.60741585540927</v>
      </c>
      <c r="H786" s="322">
        <v>4.9074550306752887</v>
      </c>
      <c r="I786" s="322">
        <v>-190.2426838391101</v>
      </c>
      <c r="K786" s="223">
        <f t="shared" si="49"/>
        <v>1044987.0170695666</v>
      </c>
      <c r="L786" s="223">
        <f t="shared" si="49"/>
        <v>749606.10781319393</v>
      </c>
      <c r="M786" s="114">
        <f t="shared" si="50"/>
        <v>1</v>
      </c>
      <c r="N786" s="114">
        <f t="shared" si="51"/>
        <v>0</v>
      </c>
      <c r="T786" s="12"/>
      <c r="U786" s="210"/>
      <c r="V786" s="13"/>
      <c r="W786" s="13"/>
      <c r="X786" s="13"/>
      <c r="Y786" s="13"/>
      <c r="Z786" s="13"/>
      <c r="AA786" s="13"/>
      <c r="AB786" s="13"/>
      <c r="AC786" s="13"/>
      <c r="AD786" s="13"/>
      <c r="AE786" s="13"/>
    </row>
    <row r="787" spans="1:31" ht="21" x14ac:dyDescent="0.4">
      <c r="A787" s="210"/>
      <c r="B787" s="108">
        <v>777</v>
      </c>
      <c r="C787" s="297">
        <v>2128.0403104858583</v>
      </c>
      <c r="D787" s="297">
        <v>3264.7887181707247</v>
      </c>
      <c r="E787" s="297">
        <v>17.485662815913685</v>
      </c>
      <c r="F787" s="297">
        <v>13.174193871309093</v>
      </c>
      <c r="G787" s="322">
        <v>-1136.7484076848664</v>
      </c>
      <c r="H787" s="322">
        <v>4.3114689446045915</v>
      </c>
      <c r="I787" s="322">
        <v>-263.656870150347</v>
      </c>
      <c r="K787" s="223">
        <f t="shared" si="49"/>
        <v>1047011.7286443353</v>
      </c>
      <c r="L787" s="223">
        <f t="shared" si="49"/>
        <v>787186.84356037492</v>
      </c>
      <c r="M787" s="114">
        <f t="shared" si="50"/>
        <v>1</v>
      </c>
      <c r="N787" s="114">
        <f t="shared" si="51"/>
        <v>0</v>
      </c>
      <c r="T787" s="12"/>
      <c r="U787" s="210"/>
      <c r="V787" s="13"/>
      <c r="W787" s="13"/>
      <c r="X787" s="13"/>
      <c r="Y787" s="13"/>
      <c r="Z787" s="13"/>
      <c r="AA787" s="13"/>
      <c r="AB787" s="13"/>
      <c r="AC787" s="13"/>
      <c r="AD787" s="13"/>
      <c r="AE787" s="13"/>
    </row>
    <row r="788" spans="1:31" ht="21" x14ac:dyDescent="0.4">
      <c r="A788" s="210"/>
      <c r="B788" s="108">
        <v>778</v>
      </c>
      <c r="C788" s="297">
        <v>2209.1551772638077</v>
      </c>
      <c r="D788" s="297">
        <v>2759.2502913430581</v>
      </c>
      <c r="E788" s="297">
        <v>18.373872637931747</v>
      </c>
      <c r="F788" s="297">
        <v>12.219937124744067</v>
      </c>
      <c r="G788" s="322">
        <v>-550.09511407925038</v>
      </c>
      <c r="H788" s="322">
        <v>6.1539355131876796</v>
      </c>
      <c r="I788" s="322">
        <v>-89.389158027479297</v>
      </c>
      <c r="K788" s="223">
        <f t="shared" si="49"/>
        <v>1100223.203098641</v>
      </c>
      <c r="L788" s="223">
        <f t="shared" si="49"/>
        <v>730436.97719330096</v>
      </c>
      <c r="M788" s="114">
        <f t="shared" si="50"/>
        <v>1</v>
      </c>
      <c r="N788" s="114">
        <f t="shared" si="51"/>
        <v>0</v>
      </c>
      <c r="T788" s="12"/>
      <c r="U788" s="210"/>
      <c r="V788" s="13"/>
      <c r="W788" s="13"/>
      <c r="X788" s="13"/>
      <c r="Y788" s="13"/>
      <c r="Z788" s="13"/>
      <c r="AA788" s="13"/>
      <c r="AB788" s="13"/>
      <c r="AC788" s="13"/>
      <c r="AD788" s="13"/>
      <c r="AE788" s="13"/>
    </row>
    <row r="789" spans="1:31" ht="21" x14ac:dyDescent="0.4">
      <c r="A789" s="210"/>
      <c r="B789" s="108">
        <v>779</v>
      </c>
      <c r="C789" s="297">
        <v>2041.2149270235868</v>
      </c>
      <c r="D789" s="297">
        <v>2725.7261091012147</v>
      </c>
      <c r="E789" s="297">
        <v>18.042022863648672</v>
      </c>
      <c r="F789" s="297">
        <v>14.188969425516003</v>
      </c>
      <c r="G789" s="322">
        <v>-684.51118207762784</v>
      </c>
      <c r="H789" s="322">
        <v>3.8530534381326689</v>
      </c>
      <c r="I789" s="322">
        <v>-177.65421452586111</v>
      </c>
      <c r="K789" s="223">
        <f t="shared" si="49"/>
        <v>1080480.1568918969</v>
      </c>
      <c r="L789" s="223">
        <f t="shared" si="49"/>
        <v>848612.43942185899</v>
      </c>
      <c r="M789" s="114">
        <f t="shared" si="50"/>
        <v>1</v>
      </c>
      <c r="N789" s="114">
        <f t="shared" si="51"/>
        <v>0</v>
      </c>
      <c r="T789" s="12"/>
      <c r="U789" s="210"/>
      <c r="V789" s="13"/>
      <c r="W789" s="13"/>
      <c r="X789" s="13"/>
      <c r="Y789" s="13"/>
      <c r="Z789" s="13"/>
      <c r="AA789" s="13"/>
      <c r="AB789" s="13"/>
      <c r="AC789" s="13"/>
      <c r="AD789" s="13"/>
      <c r="AE789" s="13"/>
    </row>
    <row r="790" spans="1:31" ht="21" x14ac:dyDescent="0.4">
      <c r="A790" s="210"/>
      <c r="B790" s="108">
        <v>780</v>
      </c>
      <c r="C790" s="297">
        <v>1841.9205199507205</v>
      </c>
      <c r="D790" s="297">
        <v>2534.5545590202455</v>
      </c>
      <c r="E790" s="297">
        <v>18.612433127453315</v>
      </c>
      <c r="F790" s="297">
        <v>14.711537950767157</v>
      </c>
      <c r="G790" s="322">
        <v>-692.63403906952499</v>
      </c>
      <c r="H790" s="322">
        <v>3.9008951766861575</v>
      </c>
      <c r="I790" s="322">
        <v>-177.55771629268011</v>
      </c>
      <c r="K790" s="223">
        <f t="shared" si="49"/>
        <v>1114904.067127248</v>
      </c>
      <c r="L790" s="223">
        <f t="shared" si="49"/>
        <v>880157.72248700925</v>
      </c>
      <c r="M790" s="114">
        <f t="shared" si="50"/>
        <v>1</v>
      </c>
      <c r="N790" s="114">
        <f t="shared" si="51"/>
        <v>0</v>
      </c>
      <c r="T790" s="12"/>
      <c r="U790" s="210"/>
      <c r="V790" s="13"/>
      <c r="W790" s="13"/>
      <c r="X790" s="13"/>
      <c r="Y790" s="13"/>
      <c r="Z790" s="13"/>
      <c r="AA790" s="13"/>
      <c r="AB790" s="13"/>
      <c r="AC790" s="13"/>
      <c r="AD790" s="13"/>
      <c r="AE790" s="13"/>
    </row>
    <row r="791" spans="1:31" ht="21" x14ac:dyDescent="0.4">
      <c r="A791" s="210"/>
      <c r="B791" s="108">
        <v>781</v>
      </c>
      <c r="C791" s="297">
        <v>2184.3410098678219</v>
      </c>
      <c r="D791" s="297">
        <v>2990.3795644292377</v>
      </c>
      <c r="E791" s="297">
        <v>15.531742487667723</v>
      </c>
      <c r="F791" s="297">
        <v>10.452701863566826</v>
      </c>
      <c r="G791" s="322">
        <v>-806.03855456141582</v>
      </c>
      <c r="H791" s="322">
        <v>5.0790406241008963</v>
      </c>
      <c r="I791" s="322">
        <v>-158.69897766452746</v>
      </c>
      <c r="K791" s="223">
        <f t="shared" si="49"/>
        <v>929720.20825019549</v>
      </c>
      <c r="L791" s="223">
        <f t="shared" si="49"/>
        <v>624171.73224958032</v>
      </c>
      <c r="M791" s="114">
        <f t="shared" si="50"/>
        <v>1</v>
      </c>
      <c r="N791" s="114">
        <f t="shared" si="51"/>
        <v>0</v>
      </c>
      <c r="T791" s="12"/>
      <c r="U791" s="210"/>
      <c r="V791" s="13"/>
      <c r="W791" s="13"/>
      <c r="X791" s="13"/>
      <c r="Y791" s="13"/>
      <c r="Z791" s="13"/>
      <c r="AA791" s="13"/>
      <c r="AB791" s="13"/>
      <c r="AC791" s="13"/>
      <c r="AD791" s="13"/>
      <c r="AE791" s="13"/>
    </row>
    <row r="792" spans="1:31" ht="21" x14ac:dyDescent="0.4">
      <c r="A792" s="210"/>
      <c r="B792" s="108">
        <v>782</v>
      </c>
      <c r="C792" s="297">
        <v>2195.4818547651212</v>
      </c>
      <c r="D792" s="297">
        <v>3087.5373357069757</v>
      </c>
      <c r="E792" s="297">
        <v>18.156893207201598</v>
      </c>
      <c r="F792" s="297">
        <v>13.018222778035737</v>
      </c>
      <c r="G792" s="322">
        <v>-892.05548094185451</v>
      </c>
      <c r="H792" s="322">
        <v>5.1386704291658614</v>
      </c>
      <c r="I792" s="322">
        <v>-173.59655444699499</v>
      </c>
      <c r="K792" s="223">
        <f t="shared" si="49"/>
        <v>1087218.1105773307</v>
      </c>
      <c r="L792" s="223">
        <f t="shared" si="49"/>
        <v>778005.82934643724</v>
      </c>
      <c r="M792" s="114">
        <f t="shared" si="50"/>
        <v>1</v>
      </c>
      <c r="N792" s="114">
        <f t="shared" si="51"/>
        <v>0</v>
      </c>
      <c r="T792" s="12"/>
      <c r="U792" s="210"/>
      <c r="V792" s="13"/>
      <c r="W792" s="13"/>
      <c r="X792" s="13"/>
      <c r="Y792" s="13"/>
      <c r="Z792" s="13"/>
      <c r="AA792" s="13"/>
      <c r="AB792" s="13"/>
      <c r="AC792" s="13"/>
      <c r="AD792" s="13"/>
      <c r="AE792" s="13"/>
    </row>
    <row r="793" spans="1:31" ht="21" x14ac:dyDescent="0.4">
      <c r="A793" s="210"/>
      <c r="B793" s="108">
        <v>783</v>
      </c>
      <c r="C793" s="297">
        <v>2126.6922687655388</v>
      </c>
      <c r="D793" s="297">
        <v>2950.9907597134943</v>
      </c>
      <c r="E793" s="297">
        <v>18.227332902209472</v>
      </c>
      <c r="F793" s="297">
        <v>12.573193736013543</v>
      </c>
      <c r="G793" s="322">
        <v>-824.29849094795554</v>
      </c>
      <c r="H793" s="322">
        <v>5.6541391661959288</v>
      </c>
      <c r="I793" s="322">
        <v>-145.78673547268534</v>
      </c>
      <c r="K793" s="223">
        <f t="shared" si="49"/>
        <v>1091513.2818638028</v>
      </c>
      <c r="L793" s="223">
        <f t="shared" si="49"/>
        <v>751440.63340109913</v>
      </c>
      <c r="M793" s="114">
        <f t="shared" si="50"/>
        <v>1</v>
      </c>
      <c r="N793" s="114">
        <f t="shared" si="51"/>
        <v>0</v>
      </c>
      <c r="T793" s="12"/>
      <c r="U793" s="210"/>
      <c r="V793" s="13"/>
      <c r="W793" s="13"/>
      <c r="X793" s="13"/>
      <c r="Y793" s="13"/>
      <c r="Z793" s="13"/>
      <c r="AA793" s="13"/>
      <c r="AB793" s="13"/>
      <c r="AC793" s="13"/>
      <c r="AD793" s="13"/>
      <c r="AE793" s="13"/>
    </row>
    <row r="794" spans="1:31" ht="21" x14ac:dyDescent="0.4">
      <c r="A794" s="210"/>
      <c r="B794" s="108">
        <v>784</v>
      </c>
      <c r="C794" s="297">
        <v>2034.3352518142633</v>
      </c>
      <c r="D794" s="297">
        <v>3136.5617031231623</v>
      </c>
      <c r="E794" s="297">
        <v>18.517141972956967</v>
      </c>
      <c r="F794" s="297">
        <v>14.411910842042072</v>
      </c>
      <c r="G794" s="322">
        <v>-1102.226451308899</v>
      </c>
      <c r="H794" s="322">
        <v>4.1052311309148948</v>
      </c>
      <c r="I794" s="322">
        <v>-268.4931532864158</v>
      </c>
      <c r="K794" s="223">
        <f t="shared" si="49"/>
        <v>1108994.1831256037</v>
      </c>
      <c r="L794" s="223">
        <f t="shared" si="49"/>
        <v>861578.08881940122</v>
      </c>
      <c r="M794" s="114">
        <f t="shared" si="50"/>
        <v>1</v>
      </c>
      <c r="N794" s="114">
        <f t="shared" si="51"/>
        <v>0</v>
      </c>
      <c r="T794" s="12"/>
      <c r="U794" s="210"/>
      <c r="V794" s="13"/>
      <c r="W794" s="13"/>
      <c r="X794" s="13"/>
      <c r="Y794" s="13"/>
      <c r="Z794" s="13"/>
      <c r="AA794" s="13"/>
      <c r="AB794" s="13"/>
      <c r="AC794" s="13"/>
      <c r="AD794" s="13"/>
      <c r="AE794" s="13"/>
    </row>
    <row r="795" spans="1:31" ht="21" x14ac:dyDescent="0.4">
      <c r="A795" s="210"/>
      <c r="B795" s="108">
        <v>785</v>
      </c>
      <c r="C795" s="297">
        <v>2084.2157725068068</v>
      </c>
      <c r="D795" s="297">
        <v>2891.3869671526304</v>
      </c>
      <c r="E795" s="297">
        <v>19.100535107690362</v>
      </c>
      <c r="F795" s="297">
        <v>14.352364150241455</v>
      </c>
      <c r="G795" s="322">
        <v>-807.17119464582356</v>
      </c>
      <c r="H795" s="322">
        <v>4.7481709574489077</v>
      </c>
      <c r="I795" s="322">
        <v>-169.99623684137515</v>
      </c>
      <c r="K795" s="223">
        <f t="shared" si="49"/>
        <v>1143947.890688915</v>
      </c>
      <c r="L795" s="223">
        <f t="shared" si="49"/>
        <v>858250.46204733464</v>
      </c>
      <c r="M795" s="114">
        <f t="shared" si="50"/>
        <v>1</v>
      </c>
      <c r="N795" s="114">
        <f t="shared" si="51"/>
        <v>0</v>
      </c>
      <c r="T795" s="12"/>
      <c r="U795" s="210"/>
      <c r="V795" s="13"/>
      <c r="W795" s="13"/>
      <c r="X795" s="13"/>
      <c r="Y795" s="13"/>
      <c r="Z795" s="13"/>
      <c r="AA795" s="13"/>
      <c r="AB795" s="13"/>
      <c r="AC795" s="13"/>
      <c r="AD795" s="13"/>
      <c r="AE795" s="13"/>
    </row>
    <row r="796" spans="1:31" ht="21" x14ac:dyDescent="0.4">
      <c r="A796" s="210"/>
      <c r="B796" s="108">
        <v>786</v>
      </c>
      <c r="C796" s="297">
        <v>1890.4268451320891</v>
      </c>
      <c r="D796" s="297">
        <v>3252.6790979095986</v>
      </c>
      <c r="E796" s="297">
        <v>20.433214848228758</v>
      </c>
      <c r="F796" s="297">
        <v>14.830595792526244</v>
      </c>
      <c r="G796" s="322">
        <v>-1362.2522527775095</v>
      </c>
      <c r="H796" s="322">
        <v>5.6026190557025135</v>
      </c>
      <c r="I796" s="322">
        <v>-243.1456144409762</v>
      </c>
      <c r="K796" s="223">
        <f t="shared" si="49"/>
        <v>1224102.4640485933</v>
      </c>
      <c r="L796" s="223">
        <f t="shared" si="49"/>
        <v>886583.06845366512</v>
      </c>
      <c r="M796" s="114">
        <f t="shared" si="50"/>
        <v>1</v>
      </c>
      <c r="N796" s="114">
        <f t="shared" si="51"/>
        <v>0</v>
      </c>
      <c r="T796" s="12"/>
      <c r="U796" s="210"/>
      <c r="V796" s="13"/>
      <c r="W796" s="13"/>
      <c r="X796" s="13"/>
      <c r="Y796" s="13"/>
      <c r="Z796" s="13"/>
      <c r="AA796" s="13"/>
      <c r="AB796" s="13"/>
      <c r="AC796" s="13"/>
      <c r="AD796" s="13"/>
      <c r="AE796" s="13"/>
    </row>
    <row r="797" spans="1:31" ht="21" x14ac:dyDescent="0.4">
      <c r="A797" s="210"/>
      <c r="B797" s="108">
        <v>787</v>
      </c>
      <c r="C797" s="297">
        <v>1983.2533359639708</v>
      </c>
      <c r="D797" s="297">
        <v>2887.8600978445966</v>
      </c>
      <c r="E797" s="297">
        <v>17.518399611950873</v>
      </c>
      <c r="F797" s="297">
        <v>13.268912698715456</v>
      </c>
      <c r="G797" s="322">
        <v>-904.60676188062575</v>
      </c>
      <c r="H797" s="322">
        <v>4.2494869132354172</v>
      </c>
      <c r="I797" s="322">
        <v>-212.87434938630943</v>
      </c>
      <c r="K797" s="223">
        <f t="shared" si="49"/>
        <v>1049120.7233810883</v>
      </c>
      <c r="L797" s="223">
        <f t="shared" si="49"/>
        <v>793246.90182508272</v>
      </c>
      <c r="M797" s="114">
        <f t="shared" si="50"/>
        <v>1</v>
      </c>
      <c r="N797" s="114">
        <f t="shared" si="51"/>
        <v>0</v>
      </c>
      <c r="T797" s="12"/>
      <c r="U797" s="210"/>
      <c r="V797" s="13"/>
      <c r="W797" s="13"/>
      <c r="X797" s="13"/>
      <c r="Y797" s="13"/>
      <c r="Z797" s="13"/>
      <c r="AA797" s="13"/>
      <c r="AB797" s="13"/>
      <c r="AC797" s="13"/>
      <c r="AD797" s="13"/>
      <c r="AE797" s="13"/>
    </row>
    <row r="798" spans="1:31" ht="21" x14ac:dyDescent="0.4">
      <c r="A798" s="210"/>
      <c r="B798" s="108">
        <v>788</v>
      </c>
      <c r="C798" s="297">
        <v>1778.0900795035336</v>
      </c>
      <c r="D798" s="297">
        <v>2475.1171000339414</v>
      </c>
      <c r="E798" s="297">
        <v>18.319620028562678</v>
      </c>
      <c r="F798" s="297">
        <v>13.752684578159938</v>
      </c>
      <c r="G798" s="322">
        <v>-697.02702053040775</v>
      </c>
      <c r="H798" s="322">
        <v>4.56693545040274</v>
      </c>
      <c r="I798" s="322">
        <v>-152.62467098564744</v>
      </c>
      <c r="K798" s="223">
        <f t="shared" si="49"/>
        <v>1097399.111634257</v>
      </c>
      <c r="L798" s="223">
        <f t="shared" si="49"/>
        <v>822685.9575895624</v>
      </c>
      <c r="M798" s="114">
        <f t="shared" si="50"/>
        <v>1</v>
      </c>
      <c r="N798" s="114">
        <f t="shared" si="51"/>
        <v>0</v>
      </c>
      <c r="T798" s="12"/>
      <c r="U798" s="210"/>
      <c r="V798" s="13"/>
      <c r="W798" s="13"/>
      <c r="X798" s="13"/>
      <c r="Y798" s="13"/>
      <c r="Z798" s="13"/>
      <c r="AA798" s="13"/>
      <c r="AB798" s="13"/>
      <c r="AC798" s="13"/>
      <c r="AD798" s="13"/>
      <c r="AE798" s="13"/>
    </row>
    <row r="799" spans="1:31" ht="21" x14ac:dyDescent="0.4">
      <c r="A799" s="210"/>
      <c r="B799" s="108">
        <v>789</v>
      </c>
      <c r="C799" s="297">
        <v>1677.4169669697269</v>
      </c>
      <c r="D799" s="297">
        <v>2570.8110242612192</v>
      </c>
      <c r="E799" s="297">
        <v>19.875450169758857</v>
      </c>
      <c r="F799" s="297">
        <v>14.941761726580687</v>
      </c>
      <c r="G799" s="322">
        <v>-893.39405729149235</v>
      </c>
      <c r="H799" s="322">
        <v>4.9336884431781698</v>
      </c>
      <c r="I799" s="322">
        <v>-181.08035551510994</v>
      </c>
      <c r="K799" s="223">
        <f t="shared" si="49"/>
        <v>1190849.5932185617</v>
      </c>
      <c r="L799" s="223">
        <f t="shared" si="49"/>
        <v>893934.89257058001</v>
      </c>
      <c r="M799" s="114">
        <f t="shared" si="50"/>
        <v>1</v>
      </c>
      <c r="N799" s="114">
        <f t="shared" si="51"/>
        <v>0</v>
      </c>
      <c r="T799" s="12"/>
      <c r="U799" s="210"/>
      <c r="V799" s="13"/>
      <c r="W799" s="13"/>
      <c r="X799" s="13"/>
      <c r="Y799" s="13"/>
      <c r="Z799" s="13"/>
      <c r="AA799" s="13"/>
      <c r="AB799" s="13"/>
      <c r="AC799" s="13"/>
      <c r="AD799" s="13"/>
      <c r="AE799" s="13"/>
    </row>
    <row r="800" spans="1:31" ht="21" x14ac:dyDescent="0.4">
      <c r="A800" s="210"/>
      <c r="B800" s="108">
        <v>790</v>
      </c>
      <c r="C800" s="297">
        <v>1893.6172245643861</v>
      </c>
      <c r="D800" s="297">
        <v>2882.0749669799434</v>
      </c>
      <c r="E800" s="297">
        <v>17.828162404507147</v>
      </c>
      <c r="F800" s="297">
        <v>13.16500538388059</v>
      </c>
      <c r="G800" s="322">
        <v>-988.45774241555728</v>
      </c>
      <c r="H800" s="322">
        <v>4.6631570206265565</v>
      </c>
      <c r="I800" s="322">
        <v>-211.97179036504866</v>
      </c>
      <c r="K800" s="223">
        <f t="shared" si="49"/>
        <v>1067796.1270458645</v>
      </c>
      <c r="L800" s="223">
        <f t="shared" si="49"/>
        <v>787018.24806585547</v>
      </c>
      <c r="M800" s="114">
        <f t="shared" si="50"/>
        <v>1</v>
      </c>
      <c r="N800" s="114">
        <f t="shared" si="51"/>
        <v>0</v>
      </c>
      <c r="T800" s="12"/>
      <c r="U800" s="210"/>
      <c r="V800" s="13"/>
      <c r="W800" s="13"/>
      <c r="X800" s="13"/>
      <c r="Y800" s="13"/>
      <c r="Z800" s="13"/>
      <c r="AA800" s="13"/>
      <c r="AB800" s="13"/>
      <c r="AC800" s="13"/>
      <c r="AD800" s="13"/>
      <c r="AE800" s="13"/>
    </row>
    <row r="801" spans="1:31" ht="21" x14ac:dyDescent="0.4">
      <c r="A801" s="210"/>
      <c r="B801" s="108">
        <v>791</v>
      </c>
      <c r="C801" s="297">
        <v>2288.9409519423225</v>
      </c>
      <c r="D801" s="297">
        <v>2761.5382155725938</v>
      </c>
      <c r="E801" s="297">
        <v>19.808730807137824</v>
      </c>
      <c r="F801" s="297">
        <v>14.292766348668598</v>
      </c>
      <c r="G801" s="322">
        <v>-472.5972636302713</v>
      </c>
      <c r="H801" s="322">
        <v>5.5159644584692256</v>
      </c>
      <c r="I801" s="322">
        <v>-85.678083531637753</v>
      </c>
      <c r="K801" s="223">
        <f t="shared" si="49"/>
        <v>1186234.9074763271</v>
      </c>
      <c r="L801" s="223">
        <f t="shared" si="49"/>
        <v>854804.44270454335</v>
      </c>
      <c r="M801" s="114">
        <f t="shared" si="50"/>
        <v>1</v>
      </c>
      <c r="N801" s="114">
        <f t="shared" si="51"/>
        <v>0</v>
      </c>
      <c r="T801" s="12"/>
      <c r="U801" s="210"/>
      <c r="V801" s="13"/>
      <c r="W801" s="13"/>
      <c r="X801" s="13"/>
      <c r="Y801" s="13"/>
      <c r="Z801" s="13"/>
      <c r="AA801" s="13"/>
      <c r="AB801" s="13"/>
      <c r="AC801" s="13"/>
      <c r="AD801" s="13"/>
      <c r="AE801" s="13"/>
    </row>
    <row r="802" spans="1:31" ht="21" x14ac:dyDescent="0.4">
      <c r="A802" s="210"/>
      <c r="B802" s="108">
        <v>792</v>
      </c>
      <c r="C802" s="297">
        <v>2174.5131189813337</v>
      </c>
      <c r="D802" s="297">
        <v>2895.2709640035973</v>
      </c>
      <c r="E802" s="297">
        <v>15.146855940948594</v>
      </c>
      <c r="F802" s="297">
        <v>9.6761184749245004</v>
      </c>
      <c r="G802" s="322">
        <v>-720.75784502226361</v>
      </c>
      <c r="H802" s="322">
        <v>5.4707374660240937</v>
      </c>
      <c r="I802" s="322">
        <v>-131.74784012183292</v>
      </c>
      <c r="K802" s="223">
        <f t="shared" si="49"/>
        <v>906636.84333793423</v>
      </c>
      <c r="L802" s="223">
        <f t="shared" si="49"/>
        <v>577671.83753146639</v>
      </c>
      <c r="M802" s="114">
        <f t="shared" si="50"/>
        <v>1</v>
      </c>
      <c r="N802" s="114">
        <f t="shared" si="51"/>
        <v>0</v>
      </c>
      <c r="T802" s="12"/>
      <c r="U802" s="210"/>
      <c r="V802" s="13"/>
      <c r="W802" s="13"/>
      <c r="X802" s="13"/>
      <c r="Y802" s="13"/>
      <c r="Z802" s="13"/>
      <c r="AA802" s="13"/>
      <c r="AB802" s="13"/>
      <c r="AC802" s="13"/>
      <c r="AD802" s="13"/>
      <c r="AE802" s="13"/>
    </row>
    <row r="803" spans="1:31" ht="21" x14ac:dyDescent="0.4">
      <c r="A803" s="210"/>
      <c r="B803" s="108">
        <v>793</v>
      </c>
      <c r="C803" s="297">
        <v>2217.4822632952655</v>
      </c>
      <c r="D803" s="297">
        <v>2947.2091057173002</v>
      </c>
      <c r="E803" s="297">
        <v>20.326319252051153</v>
      </c>
      <c r="F803" s="297">
        <v>14.411413801082626</v>
      </c>
      <c r="G803" s="322">
        <v>-729.72684242203468</v>
      </c>
      <c r="H803" s="322">
        <v>5.9149054509685275</v>
      </c>
      <c r="I803" s="322">
        <v>-123.37083804146803</v>
      </c>
      <c r="K803" s="223">
        <f t="shared" si="49"/>
        <v>1217361.672859774</v>
      </c>
      <c r="L803" s="223">
        <f t="shared" si="49"/>
        <v>861737.61895924027</v>
      </c>
      <c r="M803" s="114">
        <f t="shared" si="50"/>
        <v>1</v>
      </c>
      <c r="N803" s="114">
        <f t="shared" si="51"/>
        <v>0</v>
      </c>
      <c r="T803" s="12"/>
      <c r="U803" s="210"/>
      <c r="V803" s="13"/>
      <c r="W803" s="13"/>
      <c r="X803" s="13"/>
      <c r="Y803" s="13"/>
      <c r="Z803" s="13"/>
      <c r="AA803" s="13"/>
      <c r="AB803" s="13"/>
      <c r="AC803" s="13"/>
      <c r="AD803" s="13"/>
      <c r="AE803" s="13"/>
    </row>
    <row r="804" spans="1:31" ht="21" x14ac:dyDescent="0.4">
      <c r="A804" s="210"/>
      <c r="B804" s="108">
        <v>794</v>
      </c>
      <c r="C804" s="297">
        <v>2029.4979719790954</v>
      </c>
      <c r="D804" s="297">
        <v>2743.3666423480504</v>
      </c>
      <c r="E804" s="297">
        <v>18.390290225582397</v>
      </c>
      <c r="F804" s="297">
        <v>13.318157052385116</v>
      </c>
      <c r="G804" s="322">
        <v>-713.86867036895501</v>
      </c>
      <c r="H804" s="322">
        <v>5.0721331731972814</v>
      </c>
      <c r="I804" s="322">
        <v>-140.74328216405232</v>
      </c>
      <c r="K804" s="223">
        <f t="shared" si="49"/>
        <v>1101387.9155629647</v>
      </c>
      <c r="L804" s="223">
        <f t="shared" si="49"/>
        <v>796346.05650075898</v>
      </c>
      <c r="M804" s="114">
        <f t="shared" si="50"/>
        <v>1</v>
      </c>
      <c r="N804" s="114">
        <f t="shared" si="51"/>
        <v>0</v>
      </c>
      <c r="T804" s="12"/>
      <c r="U804" s="210"/>
      <c r="V804" s="13"/>
      <c r="W804" s="13"/>
      <c r="X804" s="13"/>
      <c r="Y804" s="13"/>
      <c r="Z804" s="13"/>
      <c r="AA804" s="13"/>
      <c r="AB804" s="13"/>
      <c r="AC804" s="13"/>
      <c r="AD804" s="13"/>
      <c r="AE804" s="13"/>
    </row>
    <row r="805" spans="1:31" ht="21" x14ac:dyDescent="0.4">
      <c r="A805" s="210"/>
      <c r="B805" s="108">
        <v>795</v>
      </c>
      <c r="C805" s="297">
        <v>2287.396019568811</v>
      </c>
      <c r="D805" s="297">
        <v>2921.6017483036831</v>
      </c>
      <c r="E805" s="297">
        <v>20.321664981895253</v>
      </c>
      <c r="F805" s="297">
        <v>15.105583149840278</v>
      </c>
      <c r="G805" s="322">
        <v>-634.20572873487208</v>
      </c>
      <c r="H805" s="322">
        <v>5.2160818320549751</v>
      </c>
      <c r="I805" s="322">
        <v>-121.58661408212889</v>
      </c>
      <c r="K805" s="223">
        <f t="shared" si="49"/>
        <v>1217012.5028941464</v>
      </c>
      <c r="L805" s="223">
        <f t="shared" si="49"/>
        <v>903413.38724211301</v>
      </c>
      <c r="M805" s="114">
        <f t="shared" si="50"/>
        <v>1</v>
      </c>
      <c r="N805" s="114">
        <f t="shared" si="51"/>
        <v>0</v>
      </c>
      <c r="T805" s="12"/>
      <c r="U805" s="210"/>
      <c r="V805" s="13"/>
      <c r="W805" s="13"/>
      <c r="X805" s="13"/>
      <c r="Y805" s="13"/>
      <c r="Z805" s="13"/>
      <c r="AA805" s="13"/>
      <c r="AB805" s="13"/>
      <c r="AC805" s="13"/>
      <c r="AD805" s="13"/>
      <c r="AE805" s="13"/>
    </row>
    <row r="806" spans="1:31" ht="21" x14ac:dyDescent="0.4">
      <c r="A806" s="210"/>
      <c r="B806" s="108">
        <v>796</v>
      </c>
      <c r="C806" s="297">
        <v>2000.2647888784302</v>
      </c>
      <c r="D806" s="297">
        <v>3275.5714849467267</v>
      </c>
      <c r="E806" s="297">
        <v>20.017825863253812</v>
      </c>
      <c r="F806" s="297">
        <v>13.983078978079435</v>
      </c>
      <c r="G806" s="322">
        <v>-1275.3066960682966</v>
      </c>
      <c r="H806" s="322">
        <v>6.0347468851743766</v>
      </c>
      <c r="I806" s="322">
        <v>-211.32728850672351</v>
      </c>
      <c r="K806" s="223">
        <f t="shared" si="49"/>
        <v>1199069.2870063502</v>
      </c>
      <c r="L806" s="223">
        <f t="shared" si="49"/>
        <v>835709.16719981935</v>
      </c>
      <c r="M806" s="114">
        <f t="shared" si="50"/>
        <v>1</v>
      </c>
      <c r="N806" s="114">
        <f t="shared" si="51"/>
        <v>0</v>
      </c>
      <c r="T806" s="12"/>
      <c r="U806" s="210"/>
      <c r="V806" s="13"/>
      <c r="W806" s="13"/>
      <c r="X806" s="13"/>
      <c r="Y806" s="13"/>
      <c r="Z806" s="13"/>
      <c r="AA806" s="13"/>
      <c r="AB806" s="13"/>
      <c r="AC806" s="13"/>
      <c r="AD806" s="13"/>
      <c r="AE806" s="13"/>
    </row>
    <row r="807" spans="1:31" ht="21" x14ac:dyDescent="0.4">
      <c r="A807" s="210"/>
      <c r="B807" s="108">
        <v>797</v>
      </c>
      <c r="C807" s="297">
        <v>1907.7316501495732</v>
      </c>
      <c r="D807" s="297">
        <v>2936.9211917376315</v>
      </c>
      <c r="E807" s="297">
        <v>18.992629605577907</v>
      </c>
      <c r="F807" s="297">
        <v>14.035115304142638</v>
      </c>
      <c r="G807" s="322">
        <v>-1029.1895415880583</v>
      </c>
      <c r="H807" s="322">
        <v>4.9575143014352694</v>
      </c>
      <c r="I807" s="322">
        <v>-207.60193092939613</v>
      </c>
      <c r="K807" s="223">
        <f t="shared" si="49"/>
        <v>1137650.0446845246</v>
      </c>
      <c r="L807" s="223">
        <f t="shared" si="49"/>
        <v>839169.99705682066</v>
      </c>
      <c r="M807" s="114">
        <f t="shared" si="50"/>
        <v>1</v>
      </c>
      <c r="N807" s="114">
        <f t="shared" si="51"/>
        <v>0</v>
      </c>
      <c r="T807" s="12"/>
      <c r="U807" s="210"/>
      <c r="V807" s="13"/>
      <c r="W807" s="13"/>
      <c r="X807" s="13"/>
      <c r="Y807" s="13"/>
      <c r="Z807" s="13"/>
      <c r="AA807" s="13"/>
      <c r="AB807" s="13"/>
      <c r="AC807" s="13"/>
      <c r="AD807" s="13"/>
      <c r="AE807" s="13"/>
    </row>
    <row r="808" spans="1:31" ht="21" x14ac:dyDescent="0.4">
      <c r="A808" s="210"/>
      <c r="B808" s="108">
        <v>798</v>
      </c>
      <c r="C808" s="297">
        <v>2171.943550446631</v>
      </c>
      <c r="D808" s="297">
        <v>3241.5963132767251</v>
      </c>
      <c r="E808" s="297">
        <v>18.709375025079634</v>
      </c>
      <c r="F808" s="297">
        <v>12.610309567632868</v>
      </c>
      <c r="G808" s="322">
        <v>-1069.6527628300942</v>
      </c>
      <c r="H808" s="322">
        <v>6.0990654574467662</v>
      </c>
      <c r="I808" s="322">
        <v>-175.37978077019685</v>
      </c>
      <c r="K808" s="223">
        <f t="shared" si="49"/>
        <v>1120390.5579543314</v>
      </c>
      <c r="L808" s="223">
        <f t="shared" si="49"/>
        <v>753376.97774469538</v>
      </c>
      <c r="M808" s="114">
        <f t="shared" si="50"/>
        <v>1</v>
      </c>
      <c r="N808" s="114">
        <f t="shared" si="51"/>
        <v>0</v>
      </c>
      <c r="T808" s="12"/>
      <c r="U808" s="210"/>
      <c r="V808" s="13"/>
      <c r="W808" s="13"/>
      <c r="X808" s="13"/>
      <c r="Y808" s="13"/>
      <c r="Z808" s="13"/>
      <c r="AA808" s="13"/>
      <c r="AB808" s="13"/>
      <c r="AC808" s="13"/>
      <c r="AD808" s="13"/>
      <c r="AE808" s="13"/>
    </row>
    <row r="809" spans="1:31" ht="21" x14ac:dyDescent="0.4">
      <c r="A809" s="210"/>
      <c r="B809" s="108">
        <v>799</v>
      </c>
      <c r="C809" s="297">
        <v>2002.7942948057057</v>
      </c>
      <c r="D809" s="297">
        <v>2599.1815677265845</v>
      </c>
      <c r="E809" s="297">
        <v>18.44292720753592</v>
      </c>
      <c r="F809" s="297">
        <v>12.975969432652933</v>
      </c>
      <c r="G809" s="322">
        <v>-596.38727292087879</v>
      </c>
      <c r="H809" s="322">
        <v>5.466957774882987</v>
      </c>
      <c r="I809" s="322">
        <v>-109.08942367560972</v>
      </c>
      <c r="K809" s="223">
        <f t="shared" si="49"/>
        <v>1104572.8381573495</v>
      </c>
      <c r="L809" s="223">
        <f t="shared" si="49"/>
        <v>775958.98439144948</v>
      </c>
      <c r="M809" s="114">
        <f t="shared" si="50"/>
        <v>1</v>
      </c>
      <c r="N809" s="114">
        <f t="shared" si="51"/>
        <v>0</v>
      </c>
      <c r="T809" s="12"/>
      <c r="U809" s="210"/>
      <c r="V809" s="13"/>
      <c r="W809" s="13"/>
      <c r="X809" s="13"/>
      <c r="Y809" s="13"/>
      <c r="Z809" s="13"/>
      <c r="AA809" s="13"/>
      <c r="AB809" s="13"/>
      <c r="AC809" s="13"/>
      <c r="AD809" s="13"/>
      <c r="AE809" s="13"/>
    </row>
    <row r="810" spans="1:31" ht="21" x14ac:dyDescent="0.4">
      <c r="A810" s="210"/>
      <c r="B810" s="108">
        <v>800</v>
      </c>
      <c r="C810" s="297">
        <v>2160.2142905679098</v>
      </c>
      <c r="D810" s="297">
        <v>3517.501071464384</v>
      </c>
      <c r="E810" s="297">
        <v>20.126230647663405</v>
      </c>
      <c r="F810" s="297">
        <v>14.565245288009343</v>
      </c>
      <c r="G810" s="322">
        <v>-1357.2867808964743</v>
      </c>
      <c r="H810" s="322">
        <v>5.5609853596540617</v>
      </c>
      <c r="I810" s="322">
        <v>-244.07307214721897</v>
      </c>
      <c r="K810" s="223">
        <f t="shared" si="49"/>
        <v>1205413.6245692363</v>
      </c>
      <c r="L810" s="223">
        <f t="shared" si="49"/>
        <v>870397.21620909625</v>
      </c>
      <c r="M810" s="114">
        <f t="shared" si="50"/>
        <v>1</v>
      </c>
      <c r="N810" s="114">
        <f t="shared" si="51"/>
        <v>0</v>
      </c>
      <c r="T810" s="12"/>
      <c r="U810" s="210"/>
      <c r="V810" s="13"/>
      <c r="W810" s="13"/>
      <c r="X810" s="13"/>
      <c r="Y810" s="13"/>
      <c r="Z810" s="13"/>
      <c r="AA810" s="13"/>
      <c r="AB810" s="13"/>
      <c r="AC810" s="13"/>
      <c r="AD810" s="13"/>
      <c r="AE810" s="13"/>
    </row>
    <row r="811" spans="1:31" ht="21" x14ac:dyDescent="0.4">
      <c r="A811" s="210"/>
      <c r="B811" s="108">
        <v>801</v>
      </c>
      <c r="C811" s="297">
        <v>1855.7791725210845</v>
      </c>
      <c r="D811" s="297">
        <v>2955.9873747265133</v>
      </c>
      <c r="E811" s="297">
        <v>20.835442084298773</v>
      </c>
      <c r="F811" s="297">
        <v>15.61391532885521</v>
      </c>
      <c r="G811" s="322">
        <v>-1100.2082022054287</v>
      </c>
      <c r="H811" s="322">
        <v>5.2215267554435627</v>
      </c>
      <c r="I811" s="322">
        <v>-210.70622707399443</v>
      </c>
      <c r="K811" s="223">
        <f t="shared" si="49"/>
        <v>1248270.7458854052</v>
      </c>
      <c r="L811" s="223">
        <f t="shared" si="49"/>
        <v>933878.9323565861</v>
      </c>
      <c r="M811" s="114">
        <f t="shared" si="50"/>
        <v>1</v>
      </c>
      <c r="N811" s="114">
        <f t="shared" si="51"/>
        <v>0</v>
      </c>
      <c r="T811" s="12"/>
      <c r="U811" s="210"/>
      <c r="V811" s="13"/>
      <c r="W811" s="13"/>
      <c r="X811" s="13"/>
      <c r="Y811" s="13"/>
      <c r="Z811" s="13"/>
      <c r="AA811" s="13"/>
      <c r="AB811" s="13"/>
      <c r="AC811" s="13"/>
      <c r="AD811" s="13"/>
      <c r="AE811" s="13"/>
    </row>
    <row r="812" spans="1:31" ht="21" x14ac:dyDescent="0.4">
      <c r="A812" s="210"/>
      <c r="B812" s="108">
        <v>802</v>
      </c>
      <c r="C812" s="297">
        <v>2382.5564293556035</v>
      </c>
      <c r="D812" s="297">
        <v>3493.8148278717949</v>
      </c>
      <c r="E812" s="297">
        <v>19.831706378910621</v>
      </c>
      <c r="F812" s="297">
        <v>14.112330992982747</v>
      </c>
      <c r="G812" s="322">
        <v>-1111.2583985161914</v>
      </c>
      <c r="H812" s="322">
        <v>5.719375385927874</v>
      </c>
      <c r="I812" s="322">
        <v>-194.29716070925605</v>
      </c>
      <c r="K812" s="223">
        <f t="shared" si="49"/>
        <v>1187519.8263052816</v>
      </c>
      <c r="L812" s="223">
        <f t="shared" si="49"/>
        <v>843246.04475109302</v>
      </c>
      <c r="M812" s="114">
        <f t="shared" si="50"/>
        <v>1</v>
      </c>
      <c r="N812" s="114">
        <f t="shared" si="51"/>
        <v>0</v>
      </c>
      <c r="T812" s="12"/>
      <c r="U812" s="210"/>
      <c r="V812" s="13"/>
      <c r="W812" s="13"/>
      <c r="X812" s="13"/>
      <c r="Y812" s="13"/>
      <c r="Z812" s="13"/>
      <c r="AA812" s="13"/>
      <c r="AB812" s="13"/>
      <c r="AC812" s="13"/>
      <c r="AD812" s="13"/>
      <c r="AE812" s="13"/>
    </row>
    <row r="813" spans="1:31" ht="21" x14ac:dyDescent="0.4">
      <c r="A813" s="210"/>
      <c r="B813" s="108">
        <v>803</v>
      </c>
      <c r="C813" s="297">
        <v>1959.7534235259479</v>
      </c>
      <c r="D813" s="297">
        <v>3423.1951043620902</v>
      </c>
      <c r="E813" s="297">
        <v>19.055574112222878</v>
      </c>
      <c r="F813" s="297">
        <v>13.695788675338074</v>
      </c>
      <c r="G813" s="322">
        <v>-1463.4416808361423</v>
      </c>
      <c r="H813" s="322">
        <v>5.3597854368848044</v>
      </c>
      <c r="I813" s="322">
        <v>-273.04109428804276</v>
      </c>
      <c r="K813" s="223">
        <f t="shared" si="49"/>
        <v>1141374.6933098468</v>
      </c>
      <c r="L813" s="223">
        <f t="shared" si="49"/>
        <v>818324.12541592238</v>
      </c>
      <c r="M813" s="114">
        <f t="shared" si="50"/>
        <v>1</v>
      </c>
      <c r="N813" s="114">
        <f t="shared" si="51"/>
        <v>0</v>
      </c>
      <c r="T813" s="12"/>
      <c r="U813" s="210"/>
      <c r="V813" s="13"/>
      <c r="W813" s="13"/>
      <c r="X813" s="13"/>
      <c r="Y813" s="13"/>
      <c r="Z813" s="13"/>
      <c r="AA813" s="13"/>
      <c r="AB813" s="13"/>
      <c r="AC813" s="13"/>
      <c r="AD813" s="13"/>
      <c r="AE813" s="13"/>
    </row>
    <row r="814" spans="1:31" ht="21" x14ac:dyDescent="0.4">
      <c r="A814" s="210"/>
      <c r="B814" s="108">
        <v>804</v>
      </c>
      <c r="C814" s="297">
        <v>2555.1647697047556</v>
      </c>
      <c r="D814" s="297">
        <v>3904.1280215321249</v>
      </c>
      <c r="E814" s="297">
        <v>21.853407457025561</v>
      </c>
      <c r="F814" s="297">
        <v>15.452966556526889</v>
      </c>
      <c r="G814" s="322">
        <v>-1348.9632518273693</v>
      </c>
      <c r="H814" s="322">
        <v>6.4004409004986726</v>
      </c>
      <c r="I814" s="322">
        <v>-210.76098862537245</v>
      </c>
      <c r="K814" s="223">
        <f t="shared" si="49"/>
        <v>1308649.2826518291</v>
      </c>
      <c r="L814" s="223">
        <f t="shared" si="49"/>
        <v>923273.86537008127</v>
      </c>
      <c r="M814" s="114">
        <f t="shared" si="50"/>
        <v>1</v>
      </c>
      <c r="N814" s="114">
        <f t="shared" si="51"/>
        <v>0</v>
      </c>
      <c r="T814" s="12"/>
      <c r="U814" s="210"/>
      <c r="V814" s="13"/>
      <c r="W814" s="13"/>
      <c r="X814" s="13"/>
      <c r="Y814" s="13"/>
      <c r="Z814" s="13"/>
      <c r="AA814" s="13"/>
      <c r="AB814" s="13"/>
      <c r="AC814" s="13"/>
      <c r="AD814" s="13"/>
      <c r="AE814" s="13"/>
    </row>
    <row r="815" spans="1:31" ht="21" x14ac:dyDescent="0.4">
      <c r="A815" s="210"/>
      <c r="B815" s="108">
        <v>805</v>
      </c>
      <c r="C815" s="297">
        <v>1990.738767057579</v>
      </c>
      <c r="D815" s="297">
        <v>2942.3485042784359</v>
      </c>
      <c r="E815" s="297">
        <v>18.605566623778024</v>
      </c>
      <c r="F815" s="297">
        <v>13.136374009337937</v>
      </c>
      <c r="G815" s="322">
        <v>-951.60973722085691</v>
      </c>
      <c r="H815" s="322">
        <v>5.4691926144400878</v>
      </c>
      <c r="I815" s="322">
        <v>-173.99455537703321</v>
      </c>
      <c r="K815" s="223">
        <f t="shared" si="49"/>
        <v>1114343.2586596238</v>
      </c>
      <c r="L815" s="223">
        <f t="shared" si="49"/>
        <v>785240.09205599769</v>
      </c>
      <c r="M815" s="114">
        <f t="shared" si="50"/>
        <v>1</v>
      </c>
      <c r="N815" s="114">
        <f t="shared" si="51"/>
        <v>0</v>
      </c>
      <c r="T815" s="12"/>
      <c r="U815" s="210"/>
      <c r="V815" s="13"/>
      <c r="W815" s="13"/>
      <c r="X815" s="13"/>
      <c r="Y815" s="13"/>
      <c r="Z815" s="13"/>
      <c r="AA815" s="13"/>
      <c r="AB815" s="13"/>
      <c r="AC815" s="13"/>
      <c r="AD815" s="13"/>
      <c r="AE815" s="13"/>
    </row>
    <row r="816" spans="1:31" ht="21" x14ac:dyDescent="0.4">
      <c r="A816" s="210"/>
      <c r="B816" s="108">
        <v>806</v>
      </c>
      <c r="C816" s="297">
        <v>1929.0254087349733</v>
      </c>
      <c r="D816" s="297">
        <v>2882.8534833203867</v>
      </c>
      <c r="E816" s="297">
        <v>18.891642628536637</v>
      </c>
      <c r="F816" s="297">
        <v>12.989482120378277</v>
      </c>
      <c r="G816" s="322">
        <v>-953.82807458541333</v>
      </c>
      <c r="H816" s="322">
        <v>5.9021605081583601</v>
      </c>
      <c r="I816" s="322">
        <v>-161.60659698545447</v>
      </c>
      <c r="K816" s="223">
        <f t="shared" si="49"/>
        <v>1131569.5323034632</v>
      </c>
      <c r="L816" s="223">
        <f t="shared" si="49"/>
        <v>776486.07373937627</v>
      </c>
      <c r="M816" s="114">
        <f t="shared" si="50"/>
        <v>1</v>
      </c>
      <c r="N816" s="114">
        <f t="shared" si="51"/>
        <v>0</v>
      </c>
      <c r="T816" s="12"/>
      <c r="U816" s="210"/>
      <c r="V816" s="13"/>
      <c r="W816" s="13"/>
      <c r="X816" s="13"/>
      <c r="Y816" s="13"/>
      <c r="Z816" s="13"/>
      <c r="AA816" s="13"/>
      <c r="AB816" s="13"/>
      <c r="AC816" s="13"/>
      <c r="AD816" s="13"/>
      <c r="AE816" s="13"/>
    </row>
    <row r="817" spans="1:31" ht="21" x14ac:dyDescent="0.4">
      <c r="A817" s="210"/>
      <c r="B817" s="108">
        <v>807</v>
      </c>
      <c r="C817" s="297">
        <v>2131.3395267900805</v>
      </c>
      <c r="D817" s="297">
        <v>2753.6157517169559</v>
      </c>
      <c r="E817" s="297">
        <v>18.228603073142089</v>
      </c>
      <c r="F817" s="297">
        <v>12.971881656291783</v>
      </c>
      <c r="G817" s="322">
        <v>-622.27622492687533</v>
      </c>
      <c r="H817" s="322">
        <v>5.256721416850306</v>
      </c>
      <c r="I817" s="322">
        <v>-118.37724992086939</v>
      </c>
      <c r="K817" s="223">
        <f t="shared" si="49"/>
        <v>1091584.8448617351</v>
      </c>
      <c r="L817" s="223">
        <f t="shared" si="49"/>
        <v>775559.28362579003</v>
      </c>
      <c r="M817" s="114">
        <f t="shared" si="50"/>
        <v>1</v>
      </c>
      <c r="N817" s="114">
        <f t="shared" si="51"/>
        <v>0</v>
      </c>
      <c r="T817" s="12"/>
      <c r="U817" s="210"/>
      <c r="V817" s="13"/>
      <c r="W817" s="13"/>
      <c r="X817" s="13"/>
      <c r="Y817" s="13"/>
      <c r="Z817" s="13"/>
      <c r="AA817" s="13"/>
      <c r="AB817" s="13"/>
      <c r="AC817" s="13"/>
      <c r="AD817" s="13"/>
      <c r="AE817" s="13"/>
    </row>
    <row r="818" spans="1:31" ht="21" x14ac:dyDescent="0.4">
      <c r="A818" s="210"/>
      <c r="B818" s="108">
        <v>808</v>
      </c>
      <c r="C818" s="297">
        <v>2087.6784239038438</v>
      </c>
      <c r="D818" s="297">
        <v>2929.5187046650826</v>
      </c>
      <c r="E818" s="297">
        <v>20.370140212385163</v>
      </c>
      <c r="F818" s="297">
        <v>15.898718178052659</v>
      </c>
      <c r="G818" s="322">
        <v>-841.84028076123877</v>
      </c>
      <c r="H818" s="322">
        <v>4.4714220343325035</v>
      </c>
      <c r="I818" s="322">
        <v>-188.27126455463494</v>
      </c>
      <c r="K818" s="223">
        <f t="shared" si="49"/>
        <v>1220120.7343192059</v>
      </c>
      <c r="L818" s="223">
        <f t="shared" si="49"/>
        <v>950993.57197849441</v>
      </c>
      <c r="M818" s="114">
        <f t="shared" si="50"/>
        <v>1</v>
      </c>
      <c r="N818" s="114">
        <f t="shared" si="51"/>
        <v>0</v>
      </c>
      <c r="T818" s="12"/>
      <c r="U818" s="210"/>
      <c r="V818" s="13"/>
      <c r="W818" s="13"/>
      <c r="X818" s="13"/>
      <c r="Y818" s="13"/>
      <c r="Z818" s="13"/>
      <c r="AA818" s="13"/>
      <c r="AB818" s="13"/>
      <c r="AC818" s="13"/>
      <c r="AD818" s="13"/>
      <c r="AE818" s="13"/>
    </row>
    <row r="819" spans="1:31" ht="21" x14ac:dyDescent="0.4">
      <c r="A819" s="210"/>
      <c r="B819" s="108">
        <v>809</v>
      </c>
      <c r="C819" s="297">
        <v>2155.6158011692632</v>
      </c>
      <c r="D819" s="297">
        <v>3440.0630420774332</v>
      </c>
      <c r="E819" s="297">
        <v>20.687025566591238</v>
      </c>
      <c r="F819" s="297">
        <v>15.333108511554103</v>
      </c>
      <c r="G819" s="322">
        <v>-1284.44724090817</v>
      </c>
      <c r="H819" s="322">
        <v>5.3539170550371349</v>
      </c>
      <c r="I819" s="322">
        <v>-239.90794547325333</v>
      </c>
      <c r="K819" s="223">
        <f t="shared" si="49"/>
        <v>1239065.9181943049</v>
      </c>
      <c r="L819" s="223">
        <f t="shared" si="49"/>
        <v>916546.44765116868</v>
      </c>
      <c r="M819" s="114">
        <f t="shared" si="50"/>
        <v>1</v>
      </c>
      <c r="N819" s="114">
        <f t="shared" si="51"/>
        <v>0</v>
      </c>
      <c r="T819" s="12"/>
      <c r="U819" s="210"/>
      <c r="V819" s="13"/>
      <c r="W819" s="13"/>
      <c r="X819" s="13"/>
      <c r="Y819" s="13"/>
      <c r="Z819" s="13"/>
      <c r="AA819" s="13"/>
      <c r="AB819" s="13"/>
      <c r="AC819" s="13"/>
      <c r="AD819" s="13"/>
      <c r="AE819" s="13"/>
    </row>
    <row r="820" spans="1:31" ht="21" x14ac:dyDescent="0.4">
      <c r="A820" s="210"/>
      <c r="B820" s="108">
        <v>810</v>
      </c>
      <c r="C820" s="297">
        <v>2345.0669299075107</v>
      </c>
      <c r="D820" s="297">
        <v>3321.9592477779729</v>
      </c>
      <c r="E820" s="297">
        <v>20.593927336479361</v>
      </c>
      <c r="F820" s="297">
        <v>14.890487879995364</v>
      </c>
      <c r="G820" s="322">
        <v>-976.89231787046219</v>
      </c>
      <c r="H820" s="322">
        <v>5.7034394564839968</v>
      </c>
      <c r="I820" s="322">
        <v>-171.28126375741132</v>
      </c>
      <c r="K820" s="223">
        <f t="shared" si="49"/>
        <v>1233290.5732588542</v>
      </c>
      <c r="L820" s="223">
        <f t="shared" si="49"/>
        <v>890107.31355194387</v>
      </c>
      <c r="M820" s="114">
        <f t="shared" si="50"/>
        <v>1</v>
      </c>
      <c r="N820" s="114">
        <f t="shared" si="51"/>
        <v>0</v>
      </c>
      <c r="T820" s="12"/>
      <c r="U820" s="210"/>
      <c r="V820" s="13"/>
      <c r="W820" s="13"/>
      <c r="X820" s="13"/>
      <c r="Y820" s="13"/>
      <c r="Z820" s="13"/>
      <c r="AA820" s="13"/>
      <c r="AB820" s="13"/>
      <c r="AC820" s="13"/>
      <c r="AD820" s="13"/>
      <c r="AE820" s="13"/>
    </row>
    <row r="821" spans="1:31" ht="21" x14ac:dyDescent="0.4">
      <c r="A821" s="210"/>
      <c r="B821" s="108">
        <v>811</v>
      </c>
      <c r="C821" s="297">
        <v>2130.909664697559</v>
      </c>
      <c r="D821" s="297">
        <v>3264.2326399902204</v>
      </c>
      <c r="E821" s="297">
        <v>17.5055183445279</v>
      </c>
      <c r="F821" s="297">
        <v>12.154560825938953</v>
      </c>
      <c r="G821" s="322">
        <v>-1133.3229752926613</v>
      </c>
      <c r="H821" s="322">
        <v>5.3509575185889471</v>
      </c>
      <c r="I821" s="322">
        <v>-211.79816347925703</v>
      </c>
      <c r="K821" s="223">
        <f t="shared" si="49"/>
        <v>1048200.1910069763</v>
      </c>
      <c r="L821" s="223">
        <f t="shared" si="49"/>
        <v>726009.41691634699</v>
      </c>
      <c r="M821" s="114">
        <f t="shared" si="50"/>
        <v>1</v>
      </c>
      <c r="N821" s="114">
        <f t="shared" si="51"/>
        <v>0</v>
      </c>
      <c r="T821" s="12"/>
      <c r="U821" s="210"/>
      <c r="V821" s="13"/>
      <c r="W821" s="13"/>
      <c r="X821" s="13"/>
      <c r="Y821" s="13"/>
      <c r="Z821" s="13"/>
      <c r="AA821" s="13"/>
      <c r="AB821" s="13"/>
      <c r="AC821" s="13"/>
      <c r="AD821" s="13"/>
      <c r="AE821" s="13"/>
    </row>
    <row r="822" spans="1:31" ht="21" x14ac:dyDescent="0.4">
      <c r="A822" s="210"/>
      <c r="B822" s="108">
        <v>812</v>
      </c>
      <c r="C822" s="297">
        <v>2262.681915637198</v>
      </c>
      <c r="D822" s="297">
        <v>2818.833997675184</v>
      </c>
      <c r="E822" s="297">
        <v>17.626317783449835</v>
      </c>
      <c r="F822" s="297">
        <v>13.222945574012224</v>
      </c>
      <c r="G822" s="322">
        <v>-556.15208203798602</v>
      </c>
      <c r="H822" s="322">
        <v>4.4033722094376113</v>
      </c>
      <c r="I822" s="322">
        <v>-126.30140164985428</v>
      </c>
      <c r="K822" s="223">
        <f t="shared" si="49"/>
        <v>1055316.385091353</v>
      </c>
      <c r="L822" s="223">
        <f t="shared" si="49"/>
        <v>790557.90044305823</v>
      </c>
      <c r="M822" s="114">
        <f t="shared" si="50"/>
        <v>1</v>
      </c>
      <c r="N822" s="114">
        <f t="shared" si="51"/>
        <v>0</v>
      </c>
      <c r="T822" s="12"/>
      <c r="U822" s="210"/>
      <c r="V822" s="13"/>
      <c r="W822" s="13"/>
      <c r="X822" s="13"/>
      <c r="Y822" s="13"/>
      <c r="Z822" s="13"/>
      <c r="AA822" s="13"/>
      <c r="AB822" s="13"/>
      <c r="AC822" s="13"/>
      <c r="AD822" s="13"/>
      <c r="AE822" s="13"/>
    </row>
    <row r="823" spans="1:31" ht="21" x14ac:dyDescent="0.4">
      <c r="A823" s="210"/>
      <c r="B823" s="108">
        <v>813</v>
      </c>
      <c r="C823" s="297">
        <v>1951.9171092163497</v>
      </c>
      <c r="D823" s="297">
        <v>2835.4424724363053</v>
      </c>
      <c r="E823" s="297">
        <v>19.280626396582409</v>
      </c>
      <c r="F823" s="297">
        <v>14.516400333344517</v>
      </c>
      <c r="G823" s="322">
        <v>-883.52536321995558</v>
      </c>
      <c r="H823" s="322">
        <v>4.7642260632378921</v>
      </c>
      <c r="I823" s="322">
        <v>-185.44992439327885</v>
      </c>
      <c r="K823" s="223">
        <f t="shared" si="49"/>
        <v>1154885.6666857281</v>
      </c>
      <c r="L823" s="223">
        <f t="shared" si="49"/>
        <v>868148.57752823469</v>
      </c>
      <c r="M823" s="114">
        <f t="shared" si="50"/>
        <v>1</v>
      </c>
      <c r="N823" s="114">
        <f t="shared" si="51"/>
        <v>0</v>
      </c>
      <c r="T823" s="12"/>
      <c r="U823" s="210"/>
      <c r="V823" s="13"/>
      <c r="W823" s="13"/>
      <c r="X823" s="13"/>
      <c r="Y823" s="13"/>
      <c r="Z823" s="13"/>
      <c r="AA823" s="13"/>
      <c r="AB823" s="13"/>
      <c r="AC823" s="13"/>
      <c r="AD823" s="13"/>
      <c r="AE823" s="13"/>
    </row>
    <row r="824" spans="1:31" ht="21" x14ac:dyDescent="0.4">
      <c r="A824" s="210"/>
      <c r="B824" s="108">
        <v>814</v>
      </c>
      <c r="C824" s="297">
        <v>2037.0191056579133</v>
      </c>
      <c r="D824" s="297">
        <v>3080.5878910317956</v>
      </c>
      <c r="E824" s="297">
        <v>17.340816408566113</v>
      </c>
      <c r="F824" s="297">
        <v>12.521800631738985</v>
      </c>
      <c r="G824" s="322">
        <v>-1043.5687853738823</v>
      </c>
      <c r="H824" s="322">
        <v>4.8190157768271273</v>
      </c>
      <c r="I824" s="322">
        <v>-216.55226579502403</v>
      </c>
      <c r="K824" s="223">
        <f t="shared" si="49"/>
        <v>1038411.9654083088</v>
      </c>
      <c r="L824" s="223">
        <f t="shared" si="49"/>
        <v>748227.45001330739</v>
      </c>
      <c r="M824" s="114">
        <f t="shared" si="50"/>
        <v>1</v>
      </c>
      <c r="N824" s="114">
        <f t="shared" si="51"/>
        <v>0</v>
      </c>
      <c r="T824" s="12"/>
      <c r="U824" s="210"/>
      <c r="V824" s="13"/>
      <c r="W824" s="13"/>
      <c r="X824" s="13"/>
      <c r="Y824" s="13"/>
      <c r="Z824" s="13"/>
      <c r="AA824" s="13"/>
      <c r="AB824" s="13"/>
      <c r="AC824" s="13"/>
      <c r="AD824" s="13"/>
      <c r="AE824" s="13"/>
    </row>
    <row r="825" spans="1:31" ht="21" x14ac:dyDescent="0.4">
      <c r="A825" s="210"/>
      <c r="B825" s="108">
        <v>815</v>
      </c>
      <c r="C825" s="297">
        <v>1996.3640846374847</v>
      </c>
      <c r="D825" s="297">
        <v>2955.070249793911</v>
      </c>
      <c r="E825" s="297">
        <v>17.712162125984129</v>
      </c>
      <c r="F825" s="297">
        <v>14.346146482849504</v>
      </c>
      <c r="G825" s="322">
        <v>-958.70616515642632</v>
      </c>
      <c r="H825" s="322">
        <v>3.3660156431346255</v>
      </c>
      <c r="I825" s="322">
        <v>-284.81928392454665</v>
      </c>
      <c r="K825" s="223">
        <f t="shared" si="49"/>
        <v>1060733.3634744103</v>
      </c>
      <c r="L825" s="223">
        <f t="shared" si="49"/>
        <v>857813.71872117626</v>
      </c>
      <c r="M825" s="114">
        <f t="shared" si="50"/>
        <v>1</v>
      </c>
      <c r="N825" s="114">
        <f t="shared" si="51"/>
        <v>0</v>
      </c>
      <c r="T825" s="12"/>
      <c r="U825" s="210"/>
      <c r="V825" s="13"/>
      <c r="W825" s="13"/>
      <c r="X825" s="13"/>
      <c r="Y825" s="13"/>
      <c r="Z825" s="13"/>
      <c r="AA825" s="13"/>
      <c r="AB825" s="13"/>
      <c r="AC825" s="13"/>
      <c r="AD825" s="13"/>
      <c r="AE825" s="13"/>
    </row>
    <row r="826" spans="1:31" ht="21" x14ac:dyDescent="0.4">
      <c r="A826" s="210"/>
      <c r="B826" s="108">
        <v>816</v>
      </c>
      <c r="C826" s="297">
        <v>2113.6332653852355</v>
      </c>
      <c r="D826" s="297">
        <v>3277.1416658630342</v>
      </c>
      <c r="E826" s="297">
        <v>19.836051885541462</v>
      </c>
      <c r="F826" s="297">
        <v>15.212605695678267</v>
      </c>
      <c r="G826" s="322">
        <v>-1163.5084004777987</v>
      </c>
      <c r="H826" s="322">
        <v>4.6234461898631949</v>
      </c>
      <c r="I826" s="322">
        <v>-251.65392927655685</v>
      </c>
      <c r="K826" s="223">
        <f t="shared" si="49"/>
        <v>1188049.4798671026</v>
      </c>
      <c r="L826" s="223">
        <f t="shared" si="49"/>
        <v>909479.200074833</v>
      </c>
      <c r="M826" s="114">
        <f t="shared" si="50"/>
        <v>1</v>
      </c>
      <c r="N826" s="114">
        <f t="shared" si="51"/>
        <v>0</v>
      </c>
      <c r="T826" s="12"/>
      <c r="U826" s="210"/>
      <c r="V826" s="13"/>
      <c r="W826" s="13"/>
      <c r="X826" s="13"/>
      <c r="Y826" s="13"/>
      <c r="Z826" s="13"/>
      <c r="AA826" s="13"/>
      <c r="AB826" s="13"/>
      <c r="AC826" s="13"/>
      <c r="AD826" s="13"/>
      <c r="AE826" s="13"/>
    </row>
    <row r="827" spans="1:31" ht="21" x14ac:dyDescent="0.4">
      <c r="A827" s="210"/>
      <c r="B827" s="108">
        <v>817</v>
      </c>
      <c r="C827" s="297">
        <v>2313.9798624511745</v>
      </c>
      <c r="D827" s="297">
        <v>3423.7270032661681</v>
      </c>
      <c r="E827" s="297">
        <v>19.970533749587791</v>
      </c>
      <c r="F827" s="297">
        <v>15.246442476401269</v>
      </c>
      <c r="G827" s="322">
        <v>-1109.7471408149936</v>
      </c>
      <c r="H827" s="322">
        <v>4.7240912731865219</v>
      </c>
      <c r="I827" s="322">
        <v>-234.91229881899392</v>
      </c>
      <c r="K827" s="223">
        <f t="shared" si="49"/>
        <v>1195918.0451128164</v>
      </c>
      <c r="L827" s="223">
        <f t="shared" si="49"/>
        <v>911362.82158080989</v>
      </c>
      <c r="M827" s="114">
        <f t="shared" si="50"/>
        <v>1</v>
      </c>
      <c r="N827" s="114">
        <f t="shared" si="51"/>
        <v>0</v>
      </c>
      <c r="T827" s="12"/>
      <c r="U827" s="210"/>
      <c r="V827" s="13"/>
      <c r="W827" s="13"/>
      <c r="X827" s="13"/>
      <c r="Y827" s="13"/>
      <c r="Z827" s="13"/>
      <c r="AA827" s="13"/>
      <c r="AB827" s="13"/>
      <c r="AC827" s="13"/>
      <c r="AD827" s="13"/>
      <c r="AE827" s="13"/>
    </row>
    <row r="828" spans="1:31" ht="21" x14ac:dyDescent="0.4">
      <c r="A828" s="210"/>
      <c r="B828" s="108">
        <v>818</v>
      </c>
      <c r="C828" s="297">
        <v>2129.8740402545873</v>
      </c>
      <c r="D828" s="297">
        <v>3069.0214626648603</v>
      </c>
      <c r="E828" s="297">
        <v>19.171848528498746</v>
      </c>
      <c r="F828" s="297">
        <v>13.784364206392077</v>
      </c>
      <c r="G828" s="322">
        <v>-939.14742241027307</v>
      </c>
      <c r="H828" s="322">
        <v>5.3874843221066691</v>
      </c>
      <c r="I828" s="322">
        <v>-174.32021445642704</v>
      </c>
      <c r="K828" s="223">
        <f t="shared" si="49"/>
        <v>1148181.0376696701</v>
      </c>
      <c r="L828" s="223">
        <f t="shared" si="49"/>
        <v>823992.83092085982</v>
      </c>
      <c r="M828" s="114">
        <f t="shared" si="50"/>
        <v>1</v>
      </c>
      <c r="N828" s="114">
        <f t="shared" si="51"/>
        <v>0</v>
      </c>
      <c r="T828" s="12"/>
      <c r="U828" s="210"/>
      <c r="V828" s="13"/>
      <c r="W828" s="13"/>
      <c r="X828" s="13"/>
      <c r="Y828" s="13"/>
      <c r="Z828" s="13"/>
      <c r="AA828" s="13"/>
      <c r="AB828" s="13"/>
      <c r="AC828" s="13"/>
      <c r="AD828" s="13"/>
      <c r="AE828" s="13"/>
    </row>
    <row r="829" spans="1:31" ht="21" x14ac:dyDescent="0.4">
      <c r="A829" s="210"/>
      <c r="B829" s="108">
        <v>819</v>
      </c>
      <c r="C829" s="297">
        <v>2193.648969311706</v>
      </c>
      <c r="D829" s="297">
        <v>2833.3553399028092</v>
      </c>
      <c r="E829" s="297">
        <v>18.389634803434539</v>
      </c>
      <c r="F829" s="297">
        <v>13.970955716508907</v>
      </c>
      <c r="G829" s="322">
        <v>-639.70637059110322</v>
      </c>
      <c r="H829" s="322">
        <v>4.418679086925632</v>
      </c>
      <c r="I829" s="322">
        <v>-144.77321344379172</v>
      </c>
      <c r="K829" s="223">
        <f t="shared" si="49"/>
        <v>1101184.4392367606</v>
      </c>
      <c r="L829" s="223">
        <f t="shared" si="49"/>
        <v>835423.98765063169</v>
      </c>
      <c r="M829" s="114">
        <f t="shared" si="50"/>
        <v>1</v>
      </c>
      <c r="N829" s="114">
        <f t="shared" si="51"/>
        <v>0</v>
      </c>
      <c r="T829" s="12"/>
      <c r="U829" s="210"/>
      <c r="V829" s="13"/>
      <c r="W829" s="13"/>
      <c r="X829" s="13"/>
      <c r="Y829" s="13"/>
      <c r="Z829" s="13"/>
      <c r="AA829" s="13"/>
      <c r="AB829" s="13"/>
      <c r="AC829" s="13"/>
      <c r="AD829" s="13"/>
      <c r="AE829" s="13"/>
    </row>
    <row r="830" spans="1:31" ht="21" x14ac:dyDescent="0.4">
      <c r="A830" s="210"/>
      <c r="B830" s="108">
        <v>820</v>
      </c>
      <c r="C830" s="297">
        <v>2371.6425756494218</v>
      </c>
      <c r="D830" s="297">
        <v>3210.2805061519011</v>
      </c>
      <c r="E830" s="297">
        <v>19.85592627442751</v>
      </c>
      <c r="F830" s="297">
        <v>14.24325835535214</v>
      </c>
      <c r="G830" s="322">
        <v>-838.63793050247932</v>
      </c>
      <c r="H830" s="322">
        <v>5.6126679190753705</v>
      </c>
      <c r="I830" s="322">
        <v>-149.41876886253343</v>
      </c>
      <c r="K830" s="223">
        <f t="shared" si="49"/>
        <v>1188983.9338900014</v>
      </c>
      <c r="L830" s="223">
        <f t="shared" si="49"/>
        <v>851385.22081497649</v>
      </c>
      <c r="M830" s="114">
        <f t="shared" si="50"/>
        <v>1</v>
      </c>
      <c r="N830" s="114">
        <f t="shared" si="51"/>
        <v>0</v>
      </c>
      <c r="T830" s="12"/>
      <c r="U830" s="210"/>
      <c r="V830" s="13"/>
      <c r="W830" s="13"/>
      <c r="X830" s="13"/>
      <c r="Y830" s="13"/>
      <c r="Z830" s="13"/>
      <c r="AA830" s="13"/>
      <c r="AB830" s="13"/>
      <c r="AC830" s="13"/>
      <c r="AD830" s="13"/>
      <c r="AE830" s="13"/>
    </row>
    <row r="831" spans="1:31" ht="21" x14ac:dyDescent="0.4">
      <c r="A831" s="210"/>
      <c r="B831" s="108">
        <v>821</v>
      </c>
      <c r="C831" s="297">
        <v>2329.3680550558183</v>
      </c>
      <c r="D831" s="297">
        <v>3392.7726437175234</v>
      </c>
      <c r="E831" s="297">
        <v>20.030855422153131</v>
      </c>
      <c r="F831" s="297">
        <v>14.454020983702272</v>
      </c>
      <c r="G831" s="322">
        <v>-1063.404588661705</v>
      </c>
      <c r="H831" s="322">
        <v>5.5768344384508595</v>
      </c>
      <c r="I831" s="322">
        <v>-190.68247415232557</v>
      </c>
      <c r="K831" s="223">
        <f t="shared" si="49"/>
        <v>1199521.9572741319</v>
      </c>
      <c r="L831" s="223">
        <f t="shared" si="49"/>
        <v>863848.48637841886</v>
      </c>
      <c r="M831" s="114">
        <f t="shared" si="50"/>
        <v>1</v>
      </c>
      <c r="N831" s="114">
        <f t="shared" si="51"/>
        <v>0</v>
      </c>
      <c r="T831" s="12"/>
      <c r="U831" s="210"/>
      <c r="V831" s="13"/>
      <c r="W831" s="13"/>
      <c r="X831" s="13"/>
      <c r="Y831" s="13"/>
      <c r="Z831" s="13"/>
      <c r="AA831" s="13"/>
      <c r="AB831" s="13"/>
      <c r="AC831" s="13"/>
      <c r="AD831" s="13"/>
      <c r="AE831" s="13"/>
    </row>
    <row r="832" spans="1:31" ht="21" x14ac:dyDescent="0.4">
      <c r="A832" s="210"/>
      <c r="B832" s="108">
        <v>822</v>
      </c>
      <c r="C832" s="297">
        <v>1763.1249888191765</v>
      </c>
      <c r="D832" s="297">
        <v>2615.2986844213547</v>
      </c>
      <c r="E832" s="297">
        <v>18.866440165244221</v>
      </c>
      <c r="F832" s="297">
        <v>14.500738475394138</v>
      </c>
      <c r="G832" s="322">
        <v>-852.17369560217821</v>
      </c>
      <c r="H832" s="322">
        <v>4.3657016898500824</v>
      </c>
      <c r="I832" s="322">
        <v>-195.19741753849465</v>
      </c>
      <c r="K832" s="223">
        <f t="shared" si="49"/>
        <v>1130223.284925834</v>
      </c>
      <c r="L832" s="223">
        <f t="shared" si="49"/>
        <v>867429.00983922696</v>
      </c>
      <c r="M832" s="114">
        <f t="shared" si="50"/>
        <v>1</v>
      </c>
      <c r="N832" s="114">
        <f t="shared" si="51"/>
        <v>0</v>
      </c>
      <c r="T832" s="12"/>
      <c r="U832" s="210"/>
      <c r="V832" s="13"/>
      <c r="W832" s="13"/>
      <c r="X832" s="13"/>
      <c r="Y832" s="13"/>
      <c r="Z832" s="13"/>
      <c r="AA832" s="13"/>
      <c r="AB832" s="13"/>
      <c r="AC832" s="13"/>
      <c r="AD832" s="13"/>
      <c r="AE832" s="13"/>
    </row>
    <row r="833" spans="1:31" ht="21" x14ac:dyDescent="0.4">
      <c r="A833" s="210"/>
      <c r="B833" s="108">
        <v>823</v>
      </c>
      <c r="C833" s="297">
        <v>2115.4278996508838</v>
      </c>
      <c r="D833" s="297">
        <v>3013.0304089551851</v>
      </c>
      <c r="E833" s="297">
        <v>21.107075996397477</v>
      </c>
      <c r="F833" s="297">
        <v>15.395464112524415</v>
      </c>
      <c r="G833" s="322">
        <v>-897.60250930430129</v>
      </c>
      <c r="H833" s="322">
        <v>5.7116118838730614</v>
      </c>
      <c r="I833" s="322">
        <v>-157.15397466671604</v>
      </c>
      <c r="K833" s="223">
        <f t="shared" si="49"/>
        <v>1264309.1318841977</v>
      </c>
      <c r="L833" s="223">
        <f t="shared" si="49"/>
        <v>920714.8163425097</v>
      </c>
      <c r="M833" s="114">
        <f t="shared" si="50"/>
        <v>1</v>
      </c>
      <c r="N833" s="114">
        <f t="shared" si="51"/>
        <v>0</v>
      </c>
      <c r="T833" s="12"/>
      <c r="U833" s="210"/>
      <c r="V833" s="13"/>
      <c r="W833" s="13"/>
      <c r="X833" s="13"/>
      <c r="Y833" s="13"/>
      <c r="Z833" s="13"/>
      <c r="AA833" s="13"/>
      <c r="AB833" s="13"/>
      <c r="AC833" s="13"/>
      <c r="AD833" s="13"/>
      <c r="AE833" s="13"/>
    </row>
    <row r="834" spans="1:31" ht="21" x14ac:dyDescent="0.4">
      <c r="A834" s="210"/>
      <c r="B834" s="108">
        <v>824</v>
      </c>
      <c r="C834" s="297">
        <v>2188.2540720139959</v>
      </c>
      <c r="D834" s="297">
        <v>3270.5074965016352</v>
      </c>
      <c r="E834" s="297">
        <v>19.702756424468664</v>
      </c>
      <c r="F834" s="297">
        <v>14.39461033798564</v>
      </c>
      <c r="G834" s="322">
        <v>-1082.2534244876392</v>
      </c>
      <c r="H834" s="322">
        <v>5.3081460864830241</v>
      </c>
      <c r="I834" s="322">
        <v>-203.88538801589374</v>
      </c>
      <c r="K834" s="223">
        <f t="shared" si="49"/>
        <v>1179977.1313961057</v>
      </c>
      <c r="L834" s="223">
        <f t="shared" si="49"/>
        <v>860406.11278263666</v>
      </c>
      <c r="M834" s="114">
        <f t="shared" si="50"/>
        <v>1</v>
      </c>
      <c r="N834" s="114">
        <f t="shared" si="51"/>
        <v>0</v>
      </c>
      <c r="T834" s="12"/>
      <c r="U834" s="210"/>
      <c r="V834" s="13"/>
      <c r="W834" s="13"/>
      <c r="X834" s="13"/>
      <c r="Y834" s="13"/>
      <c r="Z834" s="13"/>
      <c r="AA834" s="13"/>
      <c r="AB834" s="13"/>
      <c r="AC834" s="13"/>
      <c r="AD834" s="13"/>
      <c r="AE834" s="13"/>
    </row>
    <row r="835" spans="1:31" ht="21" x14ac:dyDescent="0.4">
      <c r="A835" s="210"/>
      <c r="B835" s="108">
        <v>825</v>
      </c>
      <c r="C835" s="297">
        <v>1987.3897043946042</v>
      </c>
      <c r="D835" s="297">
        <v>2762.5252493676826</v>
      </c>
      <c r="E835" s="297">
        <v>19.539224134982597</v>
      </c>
      <c r="F835" s="297">
        <v>14.0873194675414</v>
      </c>
      <c r="G835" s="322">
        <v>-775.13554497307837</v>
      </c>
      <c r="H835" s="322">
        <v>5.4519046674411964</v>
      </c>
      <c r="I835" s="322">
        <v>-142.17701743799591</v>
      </c>
      <c r="K835" s="223">
        <f t="shared" si="49"/>
        <v>1170366.0583945613</v>
      </c>
      <c r="L835" s="223">
        <f t="shared" si="49"/>
        <v>842476.64280311635</v>
      </c>
      <c r="M835" s="114">
        <f t="shared" si="50"/>
        <v>1</v>
      </c>
      <c r="N835" s="114">
        <f t="shared" si="51"/>
        <v>0</v>
      </c>
      <c r="T835" s="12"/>
      <c r="U835" s="210"/>
      <c r="V835" s="13"/>
      <c r="W835" s="13"/>
      <c r="X835" s="13"/>
      <c r="Y835" s="13"/>
      <c r="Z835" s="13"/>
      <c r="AA835" s="13"/>
      <c r="AB835" s="13"/>
      <c r="AC835" s="13"/>
      <c r="AD835" s="13"/>
      <c r="AE835" s="13"/>
    </row>
    <row r="836" spans="1:31" ht="21" x14ac:dyDescent="0.4">
      <c r="A836" s="210"/>
      <c r="B836" s="108">
        <v>826</v>
      </c>
      <c r="C836" s="297">
        <v>2055.9229882994077</v>
      </c>
      <c r="D836" s="297">
        <v>3075.7412483094067</v>
      </c>
      <c r="E836" s="297">
        <v>18.823542227676757</v>
      </c>
      <c r="F836" s="297">
        <v>13.053010610044369</v>
      </c>
      <c r="G836" s="322">
        <v>-1019.818260009999</v>
      </c>
      <c r="H836" s="322">
        <v>5.770531617632388</v>
      </c>
      <c r="I836" s="322">
        <v>-176.72864955697511</v>
      </c>
      <c r="K836" s="223">
        <f t="shared" si="49"/>
        <v>1127356.6106723058</v>
      </c>
      <c r="L836" s="223">
        <f t="shared" si="49"/>
        <v>780104.89535435278</v>
      </c>
      <c r="M836" s="114">
        <f t="shared" si="50"/>
        <v>1</v>
      </c>
      <c r="N836" s="114">
        <f t="shared" si="51"/>
        <v>0</v>
      </c>
      <c r="T836" s="12"/>
      <c r="U836" s="210"/>
      <c r="V836" s="13"/>
      <c r="W836" s="13"/>
      <c r="X836" s="13"/>
      <c r="Y836" s="13"/>
      <c r="Z836" s="13"/>
      <c r="AA836" s="13"/>
      <c r="AB836" s="13"/>
      <c r="AC836" s="13"/>
      <c r="AD836" s="13"/>
      <c r="AE836" s="13"/>
    </row>
    <row r="837" spans="1:31" ht="21" x14ac:dyDescent="0.4">
      <c r="A837" s="210"/>
      <c r="B837" s="108">
        <v>827</v>
      </c>
      <c r="C837" s="297">
        <v>2038.0309265991198</v>
      </c>
      <c r="D837" s="297">
        <v>2891.4300609456259</v>
      </c>
      <c r="E837" s="297">
        <v>19.213465085453571</v>
      </c>
      <c r="F837" s="297">
        <v>13.14149865593359</v>
      </c>
      <c r="G837" s="322">
        <v>-853.39913434650612</v>
      </c>
      <c r="H837" s="322">
        <v>6.0719664295199802</v>
      </c>
      <c r="I837" s="322">
        <v>-140.54740655309777</v>
      </c>
      <c r="K837" s="223">
        <f t="shared" si="49"/>
        <v>1150769.8742006151</v>
      </c>
      <c r="L837" s="223">
        <f t="shared" si="49"/>
        <v>785598.48929506983</v>
      </c>
      <c r="M837" s="114">
        <f t="shared" si="50"/>
        <v>1</v>
      </c>
      <c r="N837" s="114">
        <f t="shared" si="51"/>
        <v>0</v>
      </c>
      <c r="T837" s="12"/>
      <c r="U837" s="210"/>
      <c r="V837" s="13"/>
      <c r="W837" s="13"/>
      <c r="X837" s="13"/>
      <c r="Y837" s="13"/>
      <c r="Z837" s="13"/>
      <c r="AA837" s="13"/>
      <c r="AB837" s="13"/>
      <c r="AC837" s="13"/>
      <c r="AD837" s="13"/>
      <c r="AE837" s="13"/>
    </row>
    <row r="838" spans="1:31" ht="21" x14ac:dyDescent="0.4">
      <c r="A838" s="210"/>
      <c r="B838" s="108">
        <v>828</v>
      </c>
      <c r="C838" s="297">
        <v>2139.9632548371296</v>
      </c>
      <c r="D838" s="297">
        <v>3180.53514313303</v>
      </c>
      <c r="E838" s="297">
        <v>19.547805242720649</v>
      </c>
      <c r="F838" s="297">
        <v>13.49952155990454</v>
      </c>
      <c r="G838" s="322">
        <v>-1040.5718882959004</v>
      </c>
      <c r="H838" s="322">
        <v>6.0482836828161091</v>
      </c>
      <c r="I838" s="322">
        <v>-172.04416043716475</v>
      </c>
      <c r="K838" s="223">
        <f t="shared" si="49"/>
        <v>1170728.3513084019</v>
      </c>
      <c r="L838" s="223">
        <f t="shared" si="49"/>
        <v>806790.75845113944</v>
      </c>
      <c r="M838" s="114">
        <f t="shared" si="50"/>
        <v>1</v>
      </c>
      <c r="N838" s="114">
        <f t="shared" si="51"/>
        <v>0</v>
      </c>
      <c r="T838" s="12"/>
      <c r="U838" s="210"/>
      <c r="V838" s="13"/>
      <c r="W838" s="13"/>
      <c r="X838" s="13"/>
      <c r="Y838" s="13"/>
      <c r="Z838" s="13"/>
      <c r="AA838" s="13"/>
      <c r="AB838" s="13"/>
      <c r="AC838" s="13"/>
      <c r="AD838" s="13"/>
      <c r="AE838" s="13"/>
    </row>
    <row r="839" spans="1:31" ht="21" x14ac:dyDescent="0.4">
      <c r="A839" s="210"/>
      <c r="B839" s="108">
        <v>829</v>
      </c>
      <c r="C839" s="297">
        <v>2469.9152963454112</v>
      </c>
      <c r="D839" s="297">
        <v>3252.5767340827824</v>
      </c>
      <c r="E839" s="297">
        <v>20.47471001686872</v>
      </c>
      <c r="F839" s="297">
        <v>14.851646272691241</v>
      </c>
      <c r="G839" s="322">
        <v>-782.66143773737122</v>
      </c>
      <c r="H839" s="322">
        <v>5.6230637441774789</v>
      </c>
      <c r="I839" s="322">
        <v>-139.18772280463557</v>
      </c>
      <c r="K839" s="223">
        <f t="shared" si="49"/>
        <v>1226012.6857157778</v>
      </c>
      <c r="L839" s="223">
        <f t="shared" si="49"/>
        <v>887846.19962739164</v>
      </c>
      <c r="M839" s="114">
        <f t="shared" si="50"/>
        <v>1</v>
      </c>
      <c r="N839" s="114">
        <f t="shared" si="51"/>
        <v>0</v>
      </c>
      <c r="T839" s="12"/>
      <c r="U839" s="210"/>
      <c r="V839" s="13"/>
      <c r="W839" s="13"/>
      <c r="X839" s="13"/>
      <c r="Y839" s="13"/>
      <c r="Z839" s="13"/>
      <c r="AA839" s="13"/>
      <c r="AB839" s="13"/>
      <c r="AC839" s="13"/>
      <c r="AD839" s="13"/>
      <c r="AE839" s="13"/>
    </row>
    <row r="840" spans="1:31" ht="21" x14ac:dyDescent="0.4">
      <c r="A840" s="210"/>
      <c r="B840" s="108">
        <v>830</v>
      </c>
      <c r="C840" s="297">
        <v>2007.7703793504375</v>
      </c>
      <c r="D840" s="297">
        <v>2540.3782738083173</v>
      </c>
      <c r="E840" s="297">
        <v>18.239974028524017</v>
      </c>
      <c r="F840" s="297">
        <v>13.192030304203563</v>
      </c>
      <c r="G840" s="322">
        <v>-532.60789445787987</v>
      </c>
      <c r="H840" s="322">
        <v>5.0479437243204544</v>
      </c>
      <c r="I840" s="322">
        <v>-105.50987165166518</v>
      </c>
      <c r="K840" s="223">
        <f t="shared" si="49"/>
        <v>1092390.6713320904</v>
      </c>
      <c r="L840" s="223">
        <f t="shared" si="49"/>
        <v>788981.43997840548</v>
      </c>
      <c r="M840" s="114">
        <f t="shared" si="50"/>
        <v>1</v>
      </c>
      <c r="N840" s="114">
        <f t="shared" si="51"/>
        <v>0</v>
      </c>
      <c r="T840" s="12"/>
      <c r="U840" s="210"/>
      <c r="V840" s="13"/>
      <c r="W840" s="13"/>
      <c r="X840" s="13"/>
      <c r="Y840" s="13"/>
      <c r="Z840" s="13"/>
      <c r="AA840" s="13"/>
      <c r="AB840" s="13"/>
      <c r="AC840" s="13"/>
      <c r="AD840" s="13"/>
      <c r="AE840" s="13"/>
    </row>
    <row r="841" spans="1:31" ht="21" x14ac:dyDescent="0.4">
      <c r="A841" s="210"/>
      <c r="B841" s="108">
        <v>831</v>
      </c>
      <c r="C841" s="297">
        <v>1836.1008928768053</v>
      </c>
      <c r="D841" s="297">
        <v>2643.8974585122423</v>
      </c>
      <c r="E841" s="297">
        <v>20.888611577642148</v>
      </c>
      <c r="F841" s="297">
        <v>15.773959984873924</v>
      </c>
      <c r="G841" s="322">
        <v>-807.79656563543699</v>
      </c>
      <c r="H841" s="322">
        <v>5.1146515927682241</v>
      </c>
      <c r="I841" s="322">
        <v>-157.93775020328019</v>
      </c>
      <c r="K841" s="223">
        <f t="shared" si="49"/>
        <v>1251480.5937656523</v>
      </c>
      <c r="L841" s="223">
        <f t="shared" si="49"/>
        <v>943793.70163392322</v>
      </c>
      <c r="M841" s="114">
        <f t="shared" si="50"/>
        <v>1</v>
      </c>
      <c r="N841" s="114">
        <f t="shared" si="51"/>
        <v>0</v>
      </c>
      <c r="T841" s="12"/>
      <c r="U841" s="210"/>
      <c r="V841" s="13"/>
      <c r="W841" s="13"/>
      <c r="X841" s="13"/>
      <c r="Y841" s="13"/>
      <c r="Z841" s="13"/>
      <c r="AA841" s="13"/>
      <c r="AB841" s="13"/>
      <c r="AC841" s="13"/>
      <c r="AD841" s="13"/>
      <c r="AE841" s="13"/>
    </row>
    <row r="842" spans="1:31" ht="21" x14ac:dyDescent="0.4">
      <c r="A842" s="210"/>
      <c r="B842" s="108">
        <v>832</v>
      </c>
      <c r="C842" s="297">
        <v>2055.4499243583641</v>
      </c>
      <c r="D842" s="297">
        <v>3250.4364069758608</v>
      </c>
      <c r="E842" s="297">
        <v>19.105456516869332</v>
      </c>
      <c r="F842" s="297">
        <v>13.829972195715289</v>
      </c>
      <c r="G842" s="322">
        <v>-1194.9864826174967</v>
      </c>
      <c r="H842" s="322">
        <v>5.2754843211540425</v>
      </c>
      <c r="I842" s="322">
        <v>-226.51692429939524</v>
      </c>
      <c r="K842" s="223">
        <f t="shared" si="49"/>
        <v>1144271.9410878015</v>
      </c>
      <c r="L842" s="223">
        <f t="shared" si="49"/>
        <v>826547.89533594146</v>
      </c>
      <c r="M842" s="114">
        <f t="shared" si="50"/>
        <v>1</v>
      </c>
      <c r="N842" s="114">
        <f t="shared" si="51"/>
        <v>0</v>
      </c>
      <c r="T842" s="12"/>
      <c r="U842" s="210"/>
      <c r="V842" s="13"/>
      <c r="W842" s="13"/>
      <c r="X842" s="13"/>
      <c r="Y842" s="13"/>
      <c r="Z842" s="13"/>
      <c r="AA842" s="13"/>
      <c r="AB842" s="13"/>
      <c r="AC842" s="13"/>
      <c r="AD842" s="13"/>
      <c r="AE842" s="13"/>
    </row>
    <row r="843" spans="1:31" ht="21" x14ac:dyDescent="0.4">
      <c r="A843" s="210"/>
      <c r="B843" s="108">
        <v>833</v>
      </c>
      <c r="C843" s="297">
        <v>1964.6228500605193</v>
      </c>
      <c r="D843" s="297">
        <v>2885.4049168371071</v>
      </c>
      <c r="E843" s="297">
        <v>19.250138270500692</v>
      </c>
      <c r="F843" s="297">
        <v>14.660224213363758</v>
      </c>
      <c r="G843" s="322">
        <v>-920.78206677658773</v>
      </c>
      <c r="H843" s="322">
        <v>4.5899140571369337</v>
      </c>
      <c r="I843" s="322">
        <v>-200.60987097238745</v>
      </c>
      <c r="K843" s="223">
        <f t="shared" si="49"/>
        <v>1153043.673379981</v>
      </c>
      <c r="L843" s="223">
        <f t="shared" si="49"/>
        <v>876728.04788498837</v>
      </c>
      <c r="M843" s="114">
        <f t="shared" si="50"/>
        <v>1</v>
      </c>
      <c r="N843" s="114">
        <f t="shared" si="51"/>
        <v>0</v>
      </c>
      <c r="T843" s="12"/>
      <c r="U843" s="210"/>
      <c r="V843" s="13"/>
      <c r="W843" s="13"/>
      <c r="X843" s="13"/>
      <c r="Y843" s="13"/>
      <c r="Z843" s="13"/>
      <c r="AA843" s="13"/>
      <c r="AB843" s="13"/>
      <c r="AC843" s="13"/>
      <c r="AD843" s="13"/>
      <c r="AE843" s="13"/>
    </row>
    <row r="844" spans="1:31" ht="21" x14ac:dyDescent="0.4">
      <c r="A844" s="210"/>
      <c r="B844" s="108">
        <v>834</v>
      </c>
      <c r="C844" s="297">
        <v>2449.0506763786743</v>
      </c>
      <c r="D844" s="297">
        <v>3270.2685646604305</v>
      </c>
      <c r="E844" s="297">
        <v>19.049667189836839</v>
      </c>
      <c r="F844" s="297">
        <v>14.092641605160143</v>
      </c>
      <c r="G844" s="322">
        <v>-821.21788828175613</v>
      </c>
      <c r="H844" s="322">
        <v>4.9570255846766962</v>
      </c>
      <c r="I844" s="322">
        <v>-165.66747019025465</v>
      </c>
      <c r="K844" s="223">
        <f t="shared" ref="K844:L907" si="52">E844*$N$4-C844</f>
        <v>1140530.9807138317</v>
      </c>
      <c r="L844" s="223">
        <f t="shared" si="52"/>
        <v>842288.22774494812</v>
      </c>
      <c r="M844" s="114">
        <f t="shared" ref="M844:M907" si="53">IF(MAX(K844:L844)=K844,1,0)</f>
        <v>1</v>
      </c>
      <c r="N844" s="114">
        <f t="shared" ref="N844:N907" si="54">IF(MAX(K844:L844)=L844,1,0)</f>
        <v>0</v>
      </c>
      <c r="T844" s="12"/>
      <c r="U844" s="210"/>
      <c r="V844" s="13"/>
      <c r="W844" s="13"/>
      <c r="X844" s="13"/>
      <c r="Y844" s="13"/>
      <c r="Z844" s="13"/>
      <c r="AA844" s="13"/>
      <c r="AB844" s="13"/>
      <c r="AC844" s="13"/>
      <c r="AD844" s="13"/>
      <c r="AE844" s="13"/>
    </row>
    <row r="845" spans="1:31" ht="21" x14ac:dyDescent="0.4">
      <c r="A845" s="210"/>
      <c r="B845" s="108">
        <v>835</v>
      </c>
      <c r="C845" s="297">
        <v>2017.8913101408161</v>
      </c>
      <c r="D845" s="297">
        <v>2801.9064140879591</v>
      </c>
      <c r="E845" s="297">
        <v>19.974842383019098</v>
      </c>
      <c r="F845" s="297">
        <v>13.784000283828085</v>
      </c>
      <c r="G845" s="322">
        <v>-784.01510394714296</v>
      </c>
      <c r="H845" s="322">
        <v>6.1908420991910127</v>
      </c>
      <c r="I845" s="322">
        <v>-126.64110817001681</v>
      </c>
      <c r="K845" s="223">
        <f t="shared" si="52"/>
        <v>1196472.6516710052</v>
      </c>
      <c r="L845" s="223">
        <f t="shared" si="52"/>
        <v>824238.11061559711</v>
      </c>
      <c r="M845" s="114">
        <f t="shared" si="53"/>
        <v>1</v>
      </c>
      <c r="N845" s="114">
        <f t="shared" si="54"/>
        <v>0</v>
      </c>
      <c r="T845" s="12"/>
      <c r="U845" s="210"/>
      <c r="V845" s="13"/>
      <c r="W845" s="13"/>
      <c r="X845" s="13"/>
      <c r="Y845" s="13"/>
      <c r="Z845" s="13"/>
      <c r="AA845" s="13"/>
      <c r="AB845" s="13"/>
      <c r="AC845" s="13"/>
      <c r="AD845" s="13"/>
      <c r="AE845" s="13"/>
    </row>
    <row r="846" spans="1:31" ht="21" x14ac:dyDescent="0.4">
      <c r="A846" s="210"/>
      <c r="B846" s="108">
        <v>836</v>
      </c>
      <c r="C846" s="297">
        <v>1942.9683007857989</v>
      </c>
      <c r="D846" s="297">
        <v>3073.787806794302</v>
      </c>
      <c r="E846" s="297">
        <v>19.781202925939063</v>
      </c>
      <c r="F846" s="297">
        <v>14.867307468227171</v>
      </c>
      <c r="G846" s="322">
        <v>-1130.8195060085031</v>
      </c>
      <c r="H846" s="322">
        <v>4.9138954577118916</v>
      </c>
      <c r="I846" s="322">
        <v>-230.12689540103858</v>
      </c>
      <c r="K846" s="223">
        <f t="shared" si="52"/>
        <v>1184929.2072555579</v>
      </c>
      <c r="L846" s="223">
        <f t="shared" si="52"/>
        <v>888964.66028683598</v>
      </c>
      <c r="M846" s="114">
        <f t="shared" si="53"/>
        <v>1</v>
      </c>
      <c r="N846" s="114">
        <f t="shared" si="54"/>
        <v>0</v>
      </c>
      <c r="T846" s="12"/>
      <c r="U846" s="210"/>
      <c r="V846" s="13"/>
      <c r="W846" s="13"/>
      <c r="X846" s="13"/>
      <c r="Y846" s="13"/>
      <c r="Z846" s="13"/>
      <c r="AA846" s="13"/>
      <c r="AB846" s="13"/>
      <c r="AC846" s="13"/>
      <c r="AD846" s="13"/>
      <c r="AE846" s="13"/>
    </row>
    <row r="847" spans="1:31" ht="21" x14ac:dyDescent="0.4">
      <c r="A847" s="210"/>
      <c r="B847" s="108">
        <v>837</v>
      </c>
      <c r="C847" s="297">
        <v>2307.1808698013929</v>
      </c>
      <c r="D847" s="297">
        <v>3117.8229559879392</v>
      </c>
      <c r="E847" s="297">
        <v>20.497365848622046</v>
      </c>
      <c r="F847" s="297">
        <v>15.298363293709276</v>
      </c>
      <c r="G847" s="322">
        <v>-810.64208618654629</v>
      </c>
      <c r="H847" s="322">
        <v>5.1990025549127701</v>
      </c>
      <c r="I847" s="322">
        <v>-155.92261739139448</v>
      </c>
      <c r="K847" s="223">
        <f t="shared" si="52"/>
        <v>1227534.7700475212</v>
      </c>
      <c r="L847" s="223">
        <f t="shared" si="52"/>
        <v>914783.97466656868</v>
      </c>
      <c r="M847" s="114">
        <f t="shared" si="53"/>
        <v>1</v>
      </c>
      <c r="N847" s="114">
        <f t="shared" si="54"/>
        <v>0</v>
      </c>
      <c r="T847" s="12"/>
      <c r="U847" s="210"/>
      <c r="V847" s="13"/>
      <c r="W847" s="13"/>
      <c r="X847" s="13"/>
      <c r="Y847" s="13"/>
      <c r="Z847" s="13"/>
      <c r="AA847" s="13"/>
      <c r="AB847" s="13"/>
      <c r="AC847" s="13"/>
      <c r="AD847" s="13"/>
      <c r="AE847" s="13"/>
    </row>
    <row r="848" spans="1:31" ht="21" x14ac:dyDescent="0.4">
      <c r="A848" s="210"/>
      <c r="B848" s="108">
        <v>838</v>
      </c>
      <c r="C848" s="297">
        <v>2096.3675496433752</v>
      </c>
      <c r="D848" s="297">
        <v>3211.1602912042681</v>
      </c>
      <c r="E848" s="297">
        <v>19.359300085002637</v>
      </c>
      <c r="F848" s="297">
        <v>14.099818574575801</v>
      </c>
      <c r="G848" s="322">
        <v>-1114.7927415608929</v>
      </c>
      <c r="H848" s="322">
        <v>5.259481510426836</v>
      </c>
      <c r="I848" s="322">
        <v>-211.95867679177778</v>
      </c>
      <c r="K848" s="223">
        <f t="shared" si="52"/>
        <v>1159461.6375505149</v>
      </c>
      <c r="L848" s="223">
        <f t="shared" si="52"/>
        <v>842777.9541833438</v>
      </c>
      <c r="M848" s="114">
        <f t="shared" si="53"/>
        <v>1</v>
      </c>
      <c r="N848" s="114">
        <f t="shared" si="54"/>
        <v>0</v>
      </c>
      <c r="T848" s="12"/>
      <c r="U848" s="210"/>
      <c r="V848" s="13"/>
      <c r="W848" s="13"/>
      <c r="X848" s="13"/>
      <c r="Y848" s="13"/>
      <c r="Z848" s="13"/>
      <c r="AA848" s="13"/>
      <c r="AB848" s="13"/>
      <c r="AC848" s="13"/>
      <c r="AD848" s="13"/>
      <c r="AE848" s="13"/>
    </row>
    <row r="849" spans="1:31" ht="21" x14ac:dyDescent="0.4">
      <c r="A849" s="210"/>
      <c r="B849" s="108">
        <v>839</v>
      </c>
      <c r="C849" s="297">
        <v>1963.7074826315566</v>
      </c>
      <c r="D849" s="297">
        <v>2641.2277534399268</v>
      </c>
      <c r="E849" s="297">
        <v>17.715791588903073</v>
      </c>
      <c r="F849" s="297">
        <v>12.819119929915487</v>
      </c>
      <c r="G849" s="322">
        <v>-677.52027080837024</v>
      </c>
      <c r="H849" s="322">
        <v>4.8966716589875858</v>
      </c>
      <c r="I849" s="322">
        <v>-138.36342683194147</v>
      </c>
      <c r="K849" s="223">
        <f t="shared" si="52"/>
        <v>1060983.7878515529</v>
      </c>
      <c r="L849" s="223">
        <f t="shared" si="52"/>
        <v>766505.96804148937</v>
      </c>
      <c r="M849" s="114">
        <f t="shared" si="53"/>
        <v>1</v>
      </c>
      <c r="N849" s="114">
        <f t="shared" si="54"/>
        <v>0</v>
      </c>
      <c r="T849" s="12"/>
      <c r="U849" s="210"/>
      <c r="V849" s="13"/>
      <c r="W849" s="13"/>
      <c r="X849" s="13"/>
      <c r="Y849" s="13"/>
      <c r="Z849" s="13"/>
      <c r="AA849" s="13"/>
      <c r="AB849" s="13"/>
      <c r="AC849" s="13"/>
      <c r="AD849" s="13"/>
      <c r="AE849" s="13"/>
    </row>
    <row r="850" spans="1:31" ht="21" x14ac:dyDescent="0.4">
      <c r="A850" s="210"/>
      <c r="B850" s="108">
        <v>840</v>
      </c>
      <c r="C850" s="297">
        <v>2414.8114815241561</v>
      </c>
      <c r="D850" s="297">
        <v>3414.0032915353872</v>
      </c>
      <c r="E850" s="297">
        <v>20.081717369544943</v>
      </c>
      <c r="F850" s="297">
        <v>15.502592859454921</v>
      </c>
      <c r="G850" s="322">
        <v>-999.19181001123115</v>
      </c>
      <c r="H850" s="322">
        <v>4.579124510090022</v>
      </c>
      <c r="I850" s="322">
        <v>-218.2058617994617</v>
      </c>
      <c r="K850" s="223">
        <f t="shared" si="52"/>
        <v>1202488.2306911724</v>
      </c>
      <c r="L850" s="223">
        <f t="shared" si="52"/>
        <v>926741.56827575981</v>
      </c>
      <c r="M850" s="114">
        <f t="shared" si="53"/>
        <v>1</v>
      </c>
      <c r="N850" s="114">
        <f t="shared" si="54"/>
        <v>0</v>
      </c>
      <c r="T850" s="12"/>
      <c r="U850" s="210"/>
      <c r="V850" s="13"/>
      <c r="W850" s="13"/>
      <c r="X850" s="13"/>
      <c r="Y850" s="13"/>
      <c r="Z850" s="13"/>
      <c r="AA850" s="13"/>
      <c r="AB850" s="13"/>
      <c r="AC850" s="13"/>
      <c r="AD850" s="13"/>
      <c r="AE850" s="13"/>
    </row>
    <row r="851" spans="1:31" ht="21" x14ac:dyDescent="0.4">
      <c r="A851" s="210"/>
      <c r="B851" s="108">
        <v>841</v>
      </c>
      <c r="C851" s="297">
        <v>2141.0883342104917</v>
      </c>
      <c r="D851" s="297">
        <v>3155.5301192762358</v>
      </c>
      <c r="E851" s="297">
        <v>19.286503750136852</v>
      </c>
      <c r="F851" s="297">
        <v>13.138131542842659</v>
      </c>
      <c r="G851" s="322">
        <v>-1014.4417850657442</v>
      </c>
      <c r="H851" s="322">
        <v>6.1483722072941926</v>
      </c>
      <c r="I851" s="322">
        <v>-164.99355453175872</v>
      </c>
      <c r="K851" s="223">
        <f t="shared" si="52"/>
        <v>1155049.1366740006</v>
      </c>
      <c r="L851" s="223">
        <f t="shared" si="52"/>
        <v>785132.36245128326</v>
      </c>
      <c r="M851" s="114">
        <f t="shared" si="53"/>
        <v>1</v>
      </c>
      <c r="N851" s="114">
        <f t="shared" si="54"/>
        <v>0</v>
      </c>
      <c r="T851" s="12"/>
      <c r="U851" s="210"/>
      <c r="V851" s="13"/>
      <c r="W851" s="13"/>
      <c r="X851" s="13"/>
      <c r="Y851" s="13"/>
      <c r="Z851" s="13"/>
      <c r="AA851" s="13"/>
      <c r="AB851" s="13"/>
      <c r="AC851" s="13"/>
      <c r="AD851" s="13"/>
      <c r="AE851" s="13"/>
    </row>
    <row r="852" spans="1:31" ht="21" x14ac:dyDescent="0.4">
      <c r="A852" s="210"/>
      <c r="B852" s="108">
        <v>842</v>
      </c>
      <c r="C852" s="297">
        <v>2068.732056556993</v>
      </c>
      <c r="D852" s="297">
        <v>3003.6554922574751</v>
      </c>
      <c r="E852" s="297">
        <v>18.897546545377676</v>
      </c>
      <c r="F852" s="297">
        <v>13.437238386176976</v>
      </c>
      <c r="G852" s="322">
        <v>-934.92343570048206</v>
      </c>
      <c r="H852" s="322">
        <v>5.4603081592007001</v>
      </c>
      <c r="I852" s="322">
        <v>-171.22173482555598</v>
      </c>
      <c r="K852" s="223">
        <f t="shared" si="52"/>
        <v>1131784.0606661036</v>
      </c>
      <c r="L852" s="223">
        <f t="shared" si="52"/>
        <v>803230.64767836104</v>
      </c>
      <c r="M852" s="114">
        <f t="shared" si="53"/>
        <v>1</v>
      </c>
      <c r="N852" s="114">
        <f t="shared" si="54"/>
        <v>0</v>
      </c>
      <c r="T852" s="12"/>
      <c r="U852" s="210"/>
      <c r="V852" s="13"/>
      <c r="W852" s="13"/>
      <c r="X852" s="13"/>
      <c r="Y852" s="13"/>
      <c r="Z852" s="13"/>
      <c r="AA852" s="13"/>
      <c r="AB852" s="13"/>
      <c r="AC852" s="13"/>
      <c r="AD852" s="13"/>
      <c r="AE852" s="13"/>
    </row>
    <row r="853" spans="1:31" ht="21" x14ac:dyDescent="0.4">
      <c r="A853" s="210"/>
      <c r="B853" s="108">
        <v>843</v>
      </c>
      <c r="C853" s="297">
        <v>1774.8796019943766</v>
      </c>
      <c r="D853" s="297">
        <v>3037.6670957400629</v>
      </c>
      <c r="E853" s="297">
        <v>21.122330967766402</v>
      </c>
      <c r="F853" s="297">
        <v>15.081010266656214</v>
      </c>
      <c r="G853" s="322">
        <v>-1262.7874937456863</v>
      </c>
      <c r="H853" s="322">
        <v>6.0413207011101875</v>
      </c>
      <c r="I853" s="322">
        <v>-209.02507187106113</v>
      </c>
      <c r="K853" s="223">
        <f t="shared" si="52"/>
        <v>1265564.9784639899</v>
      </c>
      <c r="L853" s="223">
        <f t="shared" si="52"/>
        <v>901822.94890363282</v>
      </c>
      <c r="M853" s="114">
        <f t="shared" si="53"/>
        <v>1</v>
      </c>
      <c r="N853" s="114">
        <f t="shared" si="54"/>
        <v>0</v>
      </c>
      <c r="T853" s="12"/>
      <c r="U853" s="210"/>
      <c r="V853" s="13"/>
      <c r="W853" s="13"/>
      <c r="X853" s="13"/>
      <c r="Y853" s="13"/>
      <c r="Z853" s="13"/>
      <c r="AA853" s="13"/>
      <c r="AB853" s="13"/>
      <c r="AC853" s="13"/>
      <c r="AD853" s="13"/>
      <c r="AE853" s="13"/>
    </row>
    <row r="854" spans="1:31" ht="21" x14ac:dyDescent="0.4">
      <c r="A854" s="210"/>
      <c r="B854" s="108">
        <v>844</v>
      </c>
      <c r="C854" s="297">
        <v>2331.7642289878895</v>
      </c>
      <c r="D854" s="297">
        <v>3493.037389355346</v>
      </c>
      <c r="E854" s="297">
        <v>20.353561532730094</v>
      </c>
      <c r="F854" s="297">
        <v>15.482063727606157</v>
      </c>
      <c r="G854" s="322">
        <v>-1161.2731603674565</v>
      </c>
      <c r="H854" s="322">
        <v>4.871497805123937</v>
      </c>
      <c r="I854" s="322">
        <v>-238.38113180426902</v>
      </c>
      <c r="K854" s="223">
        <f t="shared" si="52"/>
        <v>1218881.9277348176</v>
      </c>
      <c r="L854" s="223">
        <f t="shared" si="52"/>
        <v>925430.78626701399</v>
      </c>
      <c r="M854" s="114">
        <f t="shared" si="53"/>
        <v>1</v>
      </c>
      <c r="N854" s="114">
        <f t="shared" si="54"/>
        <v>0</v>
      </c>
      <c r="T854" s="12"/>
      <c r="U854" s="210"/>
      <c r="V854" s="13"/>
      <c r="W854" s="13"/>
      <c r="X854" s="13"/>
      <c r="Y854" s="13"/>
      <c r="Z854" s="13"/>
      <c r="AA854" s="13"/>
      <c r="AB854" s="13"/>
      <c r="AC854" s="13"/>
      <c r="AD854" s="13"/>
      <c r="AE854" s="13"/>
    </row>
    <row r="855" spans="1:31" ht="21" x14ac:dyDescent="0.4">
      <c r="A855" s="210"/>
      <c r="B855" s="108">
        <v>845</v>
      </c>
      <c r="C855" s="297">
        <v>2254.6835255395804</v>
      </c>
      <c r="D855" s="297">
        <v>2927.8518319378741</v>
      </c>
      <c r="E855" s="297">
        <v>18.509370074457994</v>
      </c>
      <c r="F855" s="297">
        <v>13.296991807140236</v>
      </c>
      <c r="G855" s="322">
        <v>-673.16830639829368</v>
      </c>
      <c r="H855" s="322">
        <v>5.2123782673177583</v>
      </c>
      <c r="I855" s="322">
        <v>-129.14801495109063</v>
      </c>
      <c r="K855" s="223">
        <f t="shared" si="52"/>
        <v>1108307.5209419401</v>
      </c>
      <c r="L855" s="223">
        <f t="shared" si="52"/>
        <v>794891.65659647621</v>
      </c>
      <c r="M855" s="114">
        <f t="shared" si="53"/>
        <v>1</v>
      </c>
      <c r="N855" s="114">
        <f t="shared" si="54"/>
        <v>0</v>
      </c>
      <c r="T855" s="12"/>
      <c r="U855" s="210"/>
      <c r="V855" s="13"/>
      <c r="W855" s="13"/>
      <c r="X855" s="13"/>
      <c r="Y855" s="13"/>
      <c r="Z855" s="13"/>
      <c r="AA855" s="13"/>
      <c r="AB855" s="13"/>
      <c r="AC855" s="13"/>
      <c r="AD855" s="13"/>
      <c r="AE855" s="13"/>
    </row>
    <row r="856" spans="1:31" ht="21" x14ac:dyDescent="0.4">
      <c r="A856" s="210"/>
      <c r="B856" s="108">
        <v>846</v>
      </c>
      <c r="C856" s="297">
        <v>1919.8713531737753</v>
      </c>
      <c r="D856" s="297">
        <v>2871.7589366768098</v>
      </c>
      <c r="E856" s="297">
        <v>18.089912285460763</v>
      </c>
      <c r="F856" s="297">
        <v>12.20500105519503</v>
      </c>
      <c r="G856" s="322">
        <v>-951.88758350303442</v>
      </c>
      <c r="H856" s="322">
        <v>5.8849112302657325</v>
      </c>
      <c r="I856" s="322">
        <v>-161.7505424053868</v>
      </c>
      <c r="K856" s="223">
        <f t="shared" si="52"/>
        <v>1083474.8657744718</v>
      </c>
      <c r="L856" s="223">
        <f t="shared" si="52"/>
        <v>729428.30437502498</v>
      </c>
      <c r="M856" s="114">
        <f t="shared" si="53"/>
        <v>1</v>
      </c>
      <c r="N856" s="114">
        <f t="shared" si="54"/>
        <v>0</v>
      </c>
      <c r="T856" s="12"/>
      <c r="U856" s="210"/>
      <c r="V856" s="13"/>
      <c r="W856" s="13"/>
      <c r="X856" s="13"/>
      <c r="Y856" s="13"/>
      <c r="Z856" s="13"/>
      <c r="AA856" s="13"/>
      <c r="AB856" s="13"/>
      <c r="AC856" s="13"/>
      <c r="AD856" s="13"/>
      <c r="AE856" s="13"/>
    </row>
    <row r="857" spans="1:31" ht="21" x14ac:dyDescent="0.4">
      <c r="A857" s="210"/>
      <c r="B857" s="108">
        <v>847</v>
      </c>
      <c r="C857" s="297">
        <v>2363.2211781715278</v>
      </c>
      <c r="D857" s="297">
        <v>3316.2942696651257</v>
      </c>
      <c r="E857" s="297">
        <v>19.347181172272926</v>
      </c>
      <c r="F857" s="297">
        <v>13.466794800082587</v>
      </c>
      <c r="G857" s="322">
        <v>-953.07309149359799</v>
      </c>
      <c r="H857" s="322">
        <v>5.8803863721903387</v>
      </c>
      <c r="I857" s="322">
        <v>-162.07661047595334</v>
      </c>
      <c r="K857" s="223">
        <f t="shared" si="52"/>
        <v>1158467.649158204</v>
      </c>
      <c r="L857" s="223">
        <f t="shared" si="52"/>
        <v>804691.39373529004</v>
      </c>
      <c r="M857" s="114">
        <f t="shared" si="53"/>
        <v>1</v>
      </c>
      <c r="N857" s="114">
        <f t="shared" si="54"/>
        <v>0</v>
      </c>
      <c r="T857" s="12"/>
      <c r="U857" s="210"/>
      <c r="V857" s="13"/>
      <c r="W857" s="13"/>
      <c r="X857" s="13"/>
      <c r="Y857" s="13"/>
      <c r="Z857" s="13"/>
      <c r="AA857" s="13"/>
      <c r="AB857" s="13"/>
      <c r="AC857" s="13"/>
      <c r="AD857" s="13"/>
      <c r="AE857" s="13"/>
    </row>
    <row r="858" spans="1:31" ht="21" x14ac:dyDescent="0.4">
      <c r="A858" s="210"/>
      <c r="B858" s="108">
        <v>848</v>
      </c>
      <c r="C858" s="297">
        <v>1931.5187524732869</v>
      </c>
      <c r="D858" s="297">
        <v>2543.6966740581593</v>
      </c>
      <c r="E858" s="297">
        <v>18.168228054036383</v>
      </c>
      <c r="F858" s="297">
        <v>14.237453366990087</v>
      </c>
      <c r="G858" s="322">
        <v>-612.17792158487237</v>
      </c>
      <c r="H858" s="322">
        <v>3.9307746870462967</v>
      </c>
      <c r="I858" s="322">
        <v>-155.73976386951892</v>
      </c>
      <c r="K858" s="223">
        <f t="shared" si="52"/>
        <v>1088162.1644897098</v>
      </c>
      <c r="L858" s="223">
        <f t="shared" si="52"/>
        <v>851703.50534534699</v>
      </c>
      <c r="M858" s="114">
        <f t="shared" si="53"/>
        <v>1</v>
      </c>
      <c r="N858" s="114">
        <f t="shared" si="54"/>
        <v>0</v>
      </c>
      <c r="T858" s="12"/>
      <c r="U858" s="210"/>
      <c r="V858" s="13"/>
      <c r="W858" s="13"/>
      <c r="X858" s="13"/>
      <c r="Y858" s="13"/>
      <c r="Z858" s="13"/>
      <c r="AA858" s="13"/>
      <c r="AB858" s="13"/>
      <c r="AC858" s="13"/>
      <c r="AD858" s="13"/>
      <c r="AE858" s="13"/>
    </row>
    <row r="859" spans="1:31" ht="21" x14ac:dyDescent="0.4">
      <c r="A859" s="210"/>
      <c r="B859" s="108">
        <v>849</v>
      </c>
      <c r="C859" s="297">
        <v>2079.1905490290446</v>
      </c>
      <c r="D859" s="297">
        <v>3177.6332656455425</v>
      </c>
      <c r="E859" s="297">
        <v>19.769128628498855</v>
      </c>
      <c r="F859" s="297">
        <v>14.41980054171815</v>
      </c>
      <c r="G859" s="322">
        <v>-1098.4427166164978</v>
      </c>
      <c r="H859" s="322">
        <v>5.3493280867807051</v>
      </c>
      <c r="I859" s="322">
        <v>-205.34218481214054</v>
      </c>
      <c r="K859" s="223">
        <f t="shared" si="52"/>
        <v>1184068.5271609023</v>
      </c>
      <c r="L859" s="223">
        <f t="shared" si="52"/>
        <v>862010.39923744334</v>
      </c>
      <c r="M859" s="114">
        <f t="shared" si="53"/>
        <v>1</v>
      </c>
      <c r="N859" s="114">
        <f t="shared" si="54"/>
        <v>0</v>
      </c>
      <c r="T859" s="12"/>
      <c r="U859" s="210"/>
      <c r="V859" s="13"/>
      <c r="W859" s="13"/>
      <c r="X859" s="13"/>
      <c r="Y859" s="13"/>
      <c r="Z859" s="13"/>
      <c r="AA859" s="13"/>
      <c r="AB859" s="13"/>
      <c r="AC859" s="13"/>
      <c r="AD859" s="13"/>
      <c r="AE859" s="13"/>
    </row>
    <row r="860" spans="1:31" ht="21" x14ac:dyDescent="0.4">
      <c r="A860" s="210"/>
      <c r="B860" s="108">
        <v>850</v>
      </c>
      <c r="C860" s="297">
        <v>2056.110610536572</v>
      </c>
      <c r="D860" s="297">
        <v>3120.2548262950268</v>
      </c>
      <c r="E860" s="297">
        <v>16.589225284673702</v>
      </c>
      <c r="F860" s="297">
        <v>11.961129439116442</v>
      </c>
      <c r="G860" s="322">
        <v>-1064.1442157584547</v>
      </c>
      <c r="H860" s="322">
        <v>4.6280958455572598</v>
      </c>
      <c r="I860" s="322">
        <v>-229.93132624510787</v>
      </c>
      <c r="K860" s="223">
        <f t="shared" si="52"/>
        <v>993297.40646988561</v>
      </c>
      <c r="L860" s="223">
        <f t="shared" si="52"/>
        <v>714547.51152069145</v>
      </c>
      <c r="M860" s="114">
        <f t="shared" si="53"/>
        <v>1</v>
      </c>
      <c r="N860" s="114">
        <f t="shared" si="54"/>
        <v>0</v>
      </c>
      <c r="T860" s="12"/>
      <c r="U860" s="210"/>
      <c r="V860" s="13"/>
      <c r="W860" s="13"/>
      <c r="X860" s="13"/>
      <c r="Y860" s="13"/>
      <c r="Z860" s="13"/>
      <c r="AA860" s="13"/>
      <c r="AB860" s="13"/>
      <c r="AC860" s="13"/>
      <c r="AD860" s="13"/>
      <c r="AE860" s="13"/>
    </row>
    <row r="861" spans="1:31" ht="21" x14ac:dyDescent="0.4">
      <c r="A861" s="210"/>
      <c r="B861" s="108">
        <v>851</v>
      </c>
      <c r="C861" s="297">
        <v>2078.5415127461033</v>
      </c>
      <c r="D861" s="297">
        <v>2646.0325562568773</v>
      </c>
      <c r="E861" s="297">
        <v>21.068013047514146</v>
      </c>
      <c r="F861" s="297">
        <v>15.258265619408789</v>
      </c>
      <c r="G861" s="322">
        <v>-567.49104351077403</v>
      </c>
      <c r="H861" s="322">
        <v>5.8097474281053572</v>
      </c>
      <c r="I861" s="322">
        <v>-97.679124700923722</v>
      </c>
      <c r="K861" s="223">
        <f t="shared" si="52"/>
        <v>1262002.2413381026</v>
      </c>
      <c r="L861" s="223">
        <f t="shared" si="52"/>
        <v>912849.9046082705</v>
      </c>
      <c r="M861" s="114">
        <f t="shared" si="53"/>
        <v>1</v>
      </c>
      <c r="N861" s="114">
        <f t="shared" si="54"/>
        <v>0</v>
      </c>
      <c r="T861" s="12"/>
      <c r="U861" s="210"/>
      <c r="V861" s="13"/>
      <c r="W861" s="13"/>
      <c r="X861" s="13"/>
      <c r="Y861" s="13"/>
      <c r="Z861" s="13"/>
      <c r="AA861" s="13"/>
      <c r="AB861" s="13"/>
      <c r="AC861" s="13"/>
      <c r="AD861" s="13"/>
      <c r="AE861" s="13"/>
    </row>
    <row r="862" spans="1:31" ht="21" x14ac:dyDescent="0.4">
      <c r="A862" s="210"/>
      <c r="B862" s="108">
        <v>852</v>
      </c>
      <c r="C862" s="297">
        <v>2208.5049125365667</v>
      </c>
      <c r="D862" s="297">
        <v>2876.3107847336132</v>
      </c>
      <c r="E862" s="297">
        <v>19.912748230300704</v>
      </c>
      <c r="F862" s="297">
        <v>13.819999979966584</v>
      </c>
      <c r="G862" s="322">
        <v>-667.80587219704648</v>
      </c>
      <c r="H862" s="322">
        <v>6.0927482503341199</v>
      </c>
      <c r="I862" s="322">
        <v>-109.60667415733528</v>
      </c>
      <c r="K862" s="223">
        <f t="shared" si="52"/>
        <v>1192556.3889055056</v>
      </c>
      <c r="L862" s="223">
        <f t="shared" si="52"/>
        <v>826323.68801326142</v>
      </c>
      <c r="M862" s="114">
        <f t="shared" si="53"/>
        <v>1</v>
      </c>
      <c r="N862" s="114">
        <f t="shared" si="54"/>
        <v>0</v>
      </c>
      <c r="T862" s="12"/>
      <c r="U862" s="210"/>
      <c r="V862" s="13"/>
      <c r="W862" s="13"/>
      <c r="X862" s="13"/>
      <c r="Y862" s="13"/>
      <c r="Z862" s="13"/>
      <c r="AA862" s="13"/>
      <c r="AB862" s="13"/>
      <c r="AC862" s="13"/>
      <c r="AD862" s="13"/>
      <c r="AE862" s="13"/>
    </row>
    <row r="863" spans="1:31" ht="21" x14ac:dyDescent="0.4">
      <c r="A863" s="210"/>
      <c r="B863" s="108">
        <v>853</v>
      </c>
      <c r="C863" s="297">
        <v>2024.1722660981509</v>
      </c>
      <c r="D863" s="297">
        <v>3008.5720432322519</v>
      </c>
      <c r="E863" s="297">
        <v>20.675599282105541</v>
      </c>
      <c r="F863" s="297">
        <v>15.085294651386985</v>
      </c>
      <c r="G863" s="322">
        <v>-984.39977713410099</v>
      </c>
      <c r="H863" s="322">
        <v>5.5903046307185562</v>
      </c>
      <c r="I863" s="322">
        <v>-176.09054285250463</v>
      </c>
      <c r="K863" s="223">
        <f t="shared" si="52"/>
        <v>1238511.7846602343</v>
      </c>
      <c r="L863" s="223">
        <f t="shared" si="52"/>
        <v>902109.10703998676</v>
      </c>
      <c r="M863" s="114">
        <f t="shared" si="53"/>
        <v>1</v>
      </c>
      <c r="N863" s="114">
        <f t="shared" si="54"/>
        <v>0</v>
      </c>
      <c r="T863" s="12"/>
      <c r="U863" s="210"/>
      <c r="V863" s="13"/>
      <c r="W863" s="13"/>
      <c r="X863" s="13"/>
      <c r="Y863" s="13"/>
      <c r="Z863" s="13"/>
      <c r="AA863" s="13"/>
      <c r="AB863" s="13"/>
      <c r="AC863" s="13"/>
      <c r="AD863" s="13"/>
      <c r="AE863" s="13"/>
    </row>
    <row r="864" spans="1:31" ht="21" x14ac:dyDescent="0.4">
      <c r="A864" s="210"/>
      <c r="B864" s="108">
        <v>854</v>
      </c>
      <c r="C864" s="297">
        <v>2188.6798235816673</v>
      </c>
      <c r="D864" s="297">
        <v>2953.4519003201426</v>
      </c>
      <c r="E864" s="297">
        <v>18.159322430429022</v>
      </c>
      <c r="F864" s="297">
        <v>12.86165677234931</v>
      </c>
      <c r="G864" s="322">
        <v>-764.77207673847533</v>
      </c>
      <c r="H864" s="322">
        <v>5.2976656580797119</v>
      </c>
      <c r="I864" s="322">
        <v>-144.36020052947029</v>
      </c>
      <c r="K864" s="223">
        <f t="shared" si="52"/>
        <v>1087370.6660021597</v>
      </c>
      <c r="L864" s="223">
        <f t="shared" si="52"/>
        <v>768745.95444063842</v>
      </c>
      <c r="M864" s="114">
        <f t="shared" si="53"/>
        <v>1</v>
      </c>
      <c r="N864" s="114">
        <f t="shared" si="54"/>
        <v>0</v>
      </c>
      <c r="T864" s="12"/>
      <c r="U864" s="210"/>
      <c r="V864" s="13"/>
      <c r="W864" s="13"/>
      <c r="X864" s="13"/>
      <c r="Y864" s="13"/>
      <c r="Z864" s="13"/>
      <c r="AA864" s="13"/>
      <c r="AB864" s="13"/>
      <c r="AC864" s="13"/>
      <c r="AD864" s="13"/>
      <c r="AE864" s="13"/>
    </row>
    <row r="865" spans="1:31" ht="21" x14ac:dyDescent="0.4">
      <c r="A865" s="210"/>
      <c r="B865" s="108">
        <v>855</v>
      </c>
      <c r="C865" s="297">
        <v>1828.078354657529</v>
      </c>
      <c r="D865" s="297">
        <v>2874.1576810632755</v>
      </c>
      <c r="E865" s="297">
        <v>17.351511420447174</v>
      </c>
      <c r="F865" s="297">
        <v>13.56345100062051</v>
      </c>
      <c r="G865" s="322">
        <v>-1046.0793264057465</v>
      </c>
      <c r="H865" s="322">
        <v>3.7880604198266639</v>
      </c>
      <c r="I865" s="322">
        <v>-276.15170046670312</v>
      </c>
      <c r="K865" s="223">
        <f t="shared" si="52"/>
        <v>1039262.6068721729</v>
      </c>
      <c r="L865" s="223">
        <f t="shared" si="52"/>
        <v>810932.90235616732</v>
      </c>
      <c r="M865" s="114">
        <f t="shared" si="53"/>
        <v>1</v>
      </c>
      <c r="N865" s="114">
        <f t="shared" si="54"/>
        <v>0</v>
      </c>
      <c r="T865" s="12"/>
      <c r="U865" s="210"/>
      <c r="V865" s="13"/>
      <c r="W865" s="13"/>
      <c r="X865" s="13"/>
      <c r="Y865" s="13"/>
      <c r="Z865" s="13"/>
      <c r="AA865" s="13"/>
      <c r="AB865" s="13"/>
      <c r="AC865" s="13"/>
      <c r="AD865" s="13"/>
      <c r="AE865" s="13"/>
    </row>
    <row r="866" spans="1:31" ht="21" x14ac:dyDescent="0.4">
      <c r="A866" s="210"/>
      <c r="B866" s="108">
        <v>856</v>
      </c>
      <c r="C866" s="297">
        <v>2068.8492192725689</v>
      </c>
      <c r="D866" s="297">
        <v>2792.4380159921957</v>
      </c>
      <c r="E866" s="297">
        <v>16.990309011644726</v>
      </c>
      <c r="F866" s="297">
        <v>12.064800173571232</v>
      </c>
      <c r="G866" s="322">
        <v>-723.58879671962677</v>
      </c>
      <c r="H866" s="322">
        <v>4.9255088380734939</v>
      </c>
      <c r="I866" s="322">
        <v>-146.906405106085</v>
      </c>
      <c r="K866" s="223">
        <f t="shared" si="52"/>
        <v>1017349.691479411</v>
      </c>
      <c r="L866" s="223">
        <f t="shared" si="52"/>
        <v>721095.57239828177</v>
      </c>
      <c r="M866" s="114">
        <f t="shared" si="53"/>
        <v>1</v>
      </c>
      <c r="N866" s="114">
        <f t="shared" si="54"/>
        <v>0</v>
      </c>
      <c r="T866" s="12"/>
      <c r="U866" s="210"/>
      <c r="V866" s="13"/>
      <c r="W866" s="13"/>
      <c r="X866" s="13"/>
      <c r="Y866" s="13"/>
      <c r="Z866" s="13"/>
      <c r="AA866" s="13"/>
      <c r="AB866" s="13"/>
      <c r="AC866" s="13"/>
      <c r="AD866" s="13"/>
      <c r="AE866" s="13"/>
    </row>
    <row r="867" spans="1:31" ht="21" x14ac:dyDescent="0.4">
      <c r="A867" s="210"/>
      <c r="B867" s="108">
        <v>857</v>
      </c>
      <c r="C867" s="297">
        <v>2022.3583853464797</v>
      </c>
      <c r="D867" s="297">
        <v>3316.8759475616557</v>
      </c>
      <c r="E867" s="297">
        <v>20.343945781383937</v>
      </c>
      <c r="F867" s="297">
        <v>14.777243741199767</v>
      </c>
      <c r="G867" s="322">
        <v>-1294.517562215176</v>
      </c>
      <c r="H867" s="322">
        <v>5.56670204018417</v>
      </c>
      <c r="I867" s="322">
        <v>-232.54658734570026</v>
      </c>
      <c r="K867" s="223">
        <f t="shared" si="52"/>
        <v>1218614.3884976897</v>
      </c>
      <c r="L867" s="223">
        <f t="shared" si="52"/>
        <v>883317.74852442427</v>
      </c>
      <c r="M867" s="114">
        <f t="shared" si="53"/>
        <v>1</v>
      </c>
      <c r="N867" s="114">
        <f t="shared" si="54"/>
        <v>0</v>
      </c>
      <c r="T867" s="12"/>
      <c r="U867" s="210"/>
      <c r="V867" s="13"/>
      <c r="W867" s="13"/>
      <c r="X867" s="13"/>
      <c r="Y867" s="13"/>
      <c r="Z867" s="13"/>
      <c r="AA867" s="13"/>
      <c r="AB867" s="13"/>
      <c r="AC867" s="13"/>
      <c r="AD867" s="13"/>
      <c r="AE867" s="13"/>
    </row>
    <row r="868" spans="1:31" ht="21" x14ac:dyDescent="0.4">
      <c r="A868" s="210"/>
      <c r="B868" s="108">
        <v>858</v>
      </c>
      <c r="C868" s="297">
        <v>2051.4970885390458</v>
      </c>
      <c r="D868" s="297">
        <v>2756.0375467556778</v>
      </c>
      <c r="E868" s="297">
        <v>18.878249704202428</v>
      </c>
      <c r="F868" s="297">
        <v>14.126665496150981</v>
      </c>
      <c r="G868" s="322">
        <v>-704.54045821663203</v>
      </c>
      <c r="H868" s="322">
        <v>4.7515842080514474</v>
      </c>
      <c r="I868" s="322">
        <v>-148.27485473640661</v>
      </c>
      <c r="K868" s="223">
        <f t="shared" si="52"/>
        <v>1130643.4851636067</v>
      </c>
      <c r="L868" s="223">
        <f t="shared" si="52"/>
        <v>844843.8922223032</v>
      </c>
      <c r="M868" s="114">
        <f t="shared" si="53"/>
        <v>1</v>
      </c>
      <c r="N868" s="114">
        <f t="shared" si="54"/>
        <v>0</v>
      </c>
      <c r="T868" s="12"/>
      <c r="U868" s="210"/>
      <c r="V868" s="13"/>
      <c r="W868" s="13"/>
      <c r="X868" s="13"/>
      <c r="Y868" s="13"/>
      <c r="Z868" s="13"/>
      <c r="AA868" s="13"/>
      <c r="AB868" s="13"/>
      <c r="AC868" s="13"/>
      <c r="AD868" s="13"/>
      <c r="AE868" s="13"/>
    </row>
    <row r="869" spans="1:31" ht="21" x14ac:dyDescent="0.4">
      <c r="A869" s="210"/>
      <c r="B869" s="108">
        <v>859</v>
      </c>
      <c r="C869" s="297">
        <v>2175.2731794996344</v>
      </c>
      <c r="D869" s="297">
        <v>3133.8941137162374</v>
      </c>
      <c r="E869" s="297">
        <v>19.207465462594357</v>
      </c>
      <c r="F869" s="297">
        <v>14.63907826352618</v>
      </c>
      <c r="G869" s="322">
        <v>-958.62093421660302</v>
      </c>
      <c r="H869" s="322">
        <v>4.5683871990681766</v>
      </c>
      <c r="I869" s="322">
        <v>-209.83793458053094</v>
      </c>
      <c r="K869" s="223">
        <f t="shared" si="52"/>
        <v>1150272.6545761616</v>
      </c>
      <c r="L869" s="223">
        <f t="shared" si="52"/>
        <v>875210.80169785465</v>
      </c>
      <c r="M869" s="114">
        <f t="shared" si="53"/>
        <v>1</v>
      </c>
      <c r="N869" s="114">
        <f t="shared" si="54"/>
        <v>0</v>
      </c>
      <c r="T869" s="12"/>
      <c r="U869" s="210"/>
      <c r="V869" s="13"/>
      <c r="W869" s="13"/>
      <c r="X869" s="13"/>
      <c r="Y869" s="13"/>
      <c r="Z869" s="13"/>
      <c r="AA869" s="13"/>
      <c r="AB869" s="13"/>
      <c r="AC869" s="13"/>
      <c r="AD869" s="13"/>
      <c r="AE869" s="13"/>
    </row>
    <row r="870" spans="1:31" ht="21" x14ac:dyDescent="0.4">
      <c r="A870" s="210"/>
      <c r="B870" s="108">
        <v>860</v>
      </c>
      <c r="C870" s="297">
        <v>2273.0821181281235</v>
      </c>
      <c r="D870" s="297">
        <v>3518.5127461430984</v>
      </c>
      <c r="E870" s="297">
        <v>17.709797108630678</v>
      </c>
      <c r="F870" s="297">
        <v>13.301719641403626</v>
      </c>
      <c r="G870" s="322">
        <v>-1245.4306280149749</v>
      </c>
      <c r="H870" s="322">
        <v>4.4080774672270522</v>
      </c>
      <c r="I870" s="322">
        <v>-282.53374340048208</v>
      </c>
      <c r="K870" s="223">
        <f t="shared" si="52"/>
        <v>1060314.7443997124</v>
      </c>
      <c r="L870" s="223">
        <f t="shared" si="52"/>
        <v>794584.66573807434</v>
      </c>
      <c r="M870" s="114">
        <f t="shared" si="53"/>
        <v>1</v>
      </c>
      <c r="N870" s="114">
        <f t="shared" si="54"/>
        <v>0</v>
      </c>
      <c r="T870" s="12"/>
      <c r="U870" s="210"/>
      <c r="V870" s="13"/>
      <c r="W870" s="13"/>
      <c r="X870" s="13"/>
      <c r="Y870" s="13"/>
      <c r="Z870" s="13"/>
      <c r="AA870" s="13"/>
      <c r="AB870" s="13"/>
      <c r="AC870" s="13"/>
      <c r="AD870" s="13"/>
      <c r="AE870" s="13"/>
    </row>
    <row r="871" spans="1:31" ht="21" x14ac:dyDescent="0.4">
      <c r="A871" s="210"/>
      <c r="B871" s="108">
        <v>861</v>
      </c>
      <c r="C871" s="297">
        <v>1984.6551872071091</v>
      </c>
      <c r="D871" s="297">
        <v>2784.2911573091033</v>
      </c>
      <c r="E871" s="297">
        <v>17.105594685170427</v>
      </c>
      <c r="F871" s="297">
        <v>12.07170961822905</v>
      </c>
      <c r="G871" s="322">
        <v>-799.63597010199419</v>
      </c>
      <c r="H871" s="322">
        <v>5.0338850669413766</v>
      </c>
      <c r="I871" s="322">
        <v>-158.85066096430734</v>
      </c>
      <c r="K871" s="223">
        <f t="shared" si="52"/>
        <v>1024351.0259230185</v>
      </c>
      <c r="L871" s="223">
        <f t="shared" si="52"/>
        <v>721518.28593643394</v>
      </c>
      <c r="M871" s="114">
        <f t="shared" si="53"/>
        <v>1</v>
      </c>
      <c r="N871" s="114">
        <f t="shared" si="54"/>
        <v>0</v>
      </c>
      <c r="T871" s="12"/>
      <c r="U871" s="210"/>
      <c r="V871" s="13"/>
      <c r="W871" s="13"/>
      <c r="X871" s="13"/>
      <c r="Y871" s="13"/>
      <c r="Z871" s="13"/>
      <c r="AA871" s="13"/>
      <c r="AB871" s="13"/>
      <c r="AC871" s="13"/>
      <c r="AD871" s="13"/>
      <c r="AE871" s="13"/>
    </row>
    <row r="872" spans="1:31" ht="21" x14ac:dyDescent="0.4">
      <c r="A872" s="210"/>
      <c r="B872" s="108">
        <v>862</v>
      </c>
      <c r="C872" s="297">
        <v>2327.5065845913164</v>
      </c>
      <c r="D872" s="297">
        <v>3415.2896714693588</v>
      </c>
      <c r="E872" s="297">
        <v>18.828408445264873</v>
      </c>
      <c r="F872" s="297">
        <v>14.449772219216829</v>
      </c>
      <c r="G872" s="322">
        <v>-1087.7830868780425</v>
      </c>
      <c r="H872" s="322">
        <v>4.3786362260480445</v>
      </c>
      <c r="I872" s="322">
        <v>-248.4296549704074</v>
      </c>
      <c r="K872" s="223">
        <f t="shared" si="52"/>
        <v>1127377.0001313011</v>
      </c>
      <c r="L872" s="223">
        <f t="shared" si="52"/>
        <v>863571.0434815404</v>
      </c>
      <c r="M872" s="114">
        <f t="shared" si="53"/>
        <v>1</v>
      </c>
      <c r="N872" s="114">
        <f t="shared" si="54"/>
        <v>0</v>
      </c>
      <c r="T872" s="12"/>
      <c r="U872" s="210"/>
      <c r="V872" s="13"/>
      <c r="W872" s="13"/>
      <c r="X872" s="13"/>
      <c r="Y872" s="13"/>
      <c r="Z872" s="13"/>
      <c r="AA872" s="13"/>
      <c r="AB872" s="13"/>
      <c r="AC872" s="13"/>
      <c r="AD872" s="13"/>
      <c r="AE872" s="13"/>
    </row>
    <row r="873" spans="1:31" ht="21" x14ac:dyDescent="0.4">
      <c r="A873" s="210"/>
      <c r="B873" s="108">
        <v>863</v>
      </c>
      <c r="C873" s="297">
        <v>2171.1747842564755</v>
      </c>
      <c r="D873" s="297">
        <v>3111.5706831142234</v>
      </c>
      <c r="E873" s="297">
        <v>19.806005861687012</v>
      </c>
      <c r="F873" s="297">
        <v>13.425724083868449</v>
      </c>
      <c r="G873" s="322">
        <v>-940.39589885774785</v>
      </c>
      <c r="H873" s="322">
        <v>6.3802817778185634</v>
      </c>
      <c r="I873" s="322">
        <v>-147.39096666969965</v>
      </c>
      <c r="K873" s="223">
        <f t="shared" si="52"/>
        <v>1186189.1769169644</v>
      </c>
      <c r="L873" s="223">
        <f t="shared" si="52"/>
        <v>802431.87434899271</v>
      </c>
      <c r="M873" s="114">
        <f t="shared" si="53"/>
        <v>1</v>
      </c>
      <c r="N873" s="114">
        <f t="shared" si="54"/>
        <v>0</v>
      </c>
      <c r="T873" s="12"/>
      <c r="U873" s="210"/>
      <c r="V873" s="13"/>
      <c r="W873" s="13"/>
      <c r="X873" s="13"/>
      <c r="Y873" s="13"/>
      <c r="Z873" s="13"/>
      <c r="AA873" s="13"/>
      <c r="AB873" s="13"/>
      <c r="AC873" s="13"/>
      <c r="AD873" s="13"/>
      <c r="AE873" s="13"/>
    </row>
    <row r="874" spans="1:31" ht="21" x14ac:dyDescent="0.4">
      <c r="A874" s="210"/>
      <c r="B874" s="108">
        <v>864</v>
      </c>
      <c r="C874" s="297">
        <v>2106.0034937428027</v>
      </c>
      <c r="D874" s="297">
        <v>2601.5059683010522</v>
      </c>
      <c r="E874" s="297">
        <v>19.687230273486954</v>
      </c>
      <c r="F874" s="297">
        <v>14.630814396756481</v>
      </c>
      <c r="G874" s="322">
        <v>-495.50247455824956</v>
      </c>
      <c r="H874" s="322">
        <v>5.0564158767304725</v>
      </c>
      <c r="I874" s="322">
        <v>-97.994802373464239</v>
      </c>
      <c r="K874" s="223">
        <f t="shared" si="52"/>
        <v>1179127.8129154744</v>
      </c>
      <c r="L874" s="223">
        <f t="shared" si="52"/>
        <v>875247.35783708782</v>
      </c>
      <c r="M874" s="114">
        <f t="shared" si="53"/>
        <v>1</v>
      </c>
      <c r="N874" s="114">
        <f t="shared" si="54"/>
        <v>0</v>
      </c>
      <c r="T874" s="12"/>
      <c r="U874" s="210"/>
      <c r="V874" s="13"/>
      <c r="W874" s="13"/>
      <c r="X874" s="13"/>
      <c r="Y874" s="13"/>
      <c r="Z874" s="13"/>
      <c r="AA874" s="13"/>
      <c r="AB874" s="13"/>
      <c r="AC874" s="13"/>
      <c r="AD874" s="13"/>
      <c r="AE874" s="13"/>
    </row>
    <row r="875" spans="1:31" ht="21" x14ac:dyDescent="0.4">
      <c r="A875" s="210"/>
      <c r="B875" s="108">
        <v>865</v>
      </c>
      <c r="C875" s="297">
        <v>2101.9179861245307</v>
      </c>
      <c r="D875" s="297">
        <v>2886.981041618224</v>
      </c>
      <c r="E875" s="297">
        <v>19.73391702114828</v>
      </c>
      <c r="F875" s="297">
        <v>14.504942357006149</v>
      </c>
      <c r="G875" s="322">
        <v>-785.06305549369335</v>
      </c>
      <c r="H875" s="322">
        <v>5.2289746641421306</v>
      </c>
      <c r="I875" s="322">
        <v>-150.13709300932163</v>
      </c>
      <c r="K875" s="223">
        <f t="shared" si="52"/>
        <v>1181933.1032827722</v>
      </c>
      <c r="L875" s="223">
        <f t="shared" si="52"/>
        <v>867409.56037875067</v>
      </c>
      <c r="M875" s="114">
        <f t="shared" si="53"/>
        <v>1</v>
      </c>
      <c r="N875" s="114">
        <f t="shared" si="54"/>
        <v>0</v>
      </c>
      <c r="T875" s="12"/>
      <c r="U875" s="210"/>
      <c r="V875" s="13"/>
      <c r="W875" s="13"/>
      <c r="X875" s="13"/>
      <c r="Y875" s="13"/>
      <c r="Z875" s="13"/>
      <c r="AA875" s="13"/>
      <c r="AB875" s="13"/>
      <c r="AC875" s="13"/>
      <c r="AD875" s="13"/>
      <c r="AE875" s="13"/>
    </row>
    <row r="876" spans="1:31" ht="21" x14ac:dyDescent="0.4">
      <c r="A876" s="210"/>
      <c r="B876" s="108">
        <v>866</v>
      </c>
      <c r="C876" s="297">
        <v>1954.1874663511328</v>
      </c>
      <c r="D876" s="297">
        <v>3130.4543609908874</v>
      </c>
      <c r="E876" s="297">
        <v>18.290426391349804</v>
      </c>
      <c r="F876" s="297">
        <v>12.798376598426737</v>
      </c>
      <c r="G876" s="322">
        <v>-1176.2668946397546</v>
      </c>
      <c r="H876" s="322">
        <v>5.4920497929230674</v>
      </c>
      <c r="I876" s="322">
        <v>-214.17629828401516</v>
      </c>
      <c r="K876" s="223">
        <f t="shared" si="52"/>
        <v>1095471.3960146371</v>
      </c>
      <c r="L876" s="223">
        <f t="shared" si="52"/>
        <v>764772.14154461329</v>
      </c>
      <c r="M876" s="114">
        <f t="shared" si="53"/>
        <v>1</v>
      </c>
      <c r="N876" s="114">
        <f t="shared" si="54"/>
        <v>0</v>
      </c>
      <c r="T876" s="12"/>
      <c r="U876" s="210"/>
      <c r="V876" s="13"/>
      <c r="W876" s="13"/>
      <c r="X876" s="13"/>
      <c r="Y876" s="13"/>
      <c r="Z876" s="13"/>
      <c r="AA876" s="13"/>
      <c r="AB876" s="13"/>
      <c r="AC876" s="13"/>
      <c r="AD876" s="13"/>
      <c r="AE876" s="13"/>
    </row>
    <row r="877" spans="1:31" ht="21" x14ac:dyDescent="0.4">
      <c r="A877" s="210"/>
      <c r="B877" s="108">
        <v>867</v>
      </c>
      <c r="C877" s="297">
        <v>1892.445568680982</v>
      </c>
      <c r="D877" s="297">
        <v>2821.8646686622551</v>
      </c>
      <c r="E877" s="297">
        <v>17.634518984198259</v>
      </c>
      <c r="F877" s="297">
        <v>12.156569996069095</v>
      </c>
      <c r="G877" s="322">
        <v>-929.41909998127312</v>
      </c>
      <c r="H877" s="322">
        <v>5.4779489881291639</v>
      </c>
      <c r="I877" s="322">
        <v>-169.66552664059938</v>
      </c>
      <c r="K877" s="223">
        <f t="shared" si="52"/>
        <v>1056178.6934832146</v>
      </c>
      <c r="L877" s="223">
        <f t="shared" si="52"/>
        <v>726572.33509548334</v>
      </c>
      <c r="M877" s="114">
        <f t="shared" si="53"/>
        <v>1</v>
      </c>
      <c r="N877" s="114">
        <f t="shared" si="54"/>
        <v>0</v>
      </c>
      <c r="T877" s="12"/>
      <c r="U877" s="210"/>
      <c r="V877" s="13"/>
      <c r="W877" s="13"/>
      <c r="X877" s="13"/>
      <c r="Y877" s="13"/>
      <c r="Z877" s="13"/>
      <c r="AA877" s="13"/>
      <c r="AB877" s="13"/>
      <c r="AC877" s="13"/>
      <c r="AD877" s="13"/>
      <c r="AE877" s="13"/>
    </row>
    <row r="878" spans="1:31" ht="21" x14ac:dyDescent="0.4">
      <c r="A878" s="210"/>
      <c r="B878" s="108">
        <v>868</v>
      </c>
      <c r="C878" s="297">
        <v>2184.6225161183575</v>
      </c>
      <c r="D878" s="297">
        <v>3193.7102782267611</v>
      </c>
      <c r="E878" s="297">
        <v>15.286000337085429</v>
      </c>
      <c r="F878" s="297">
        <v>10.10631568354661</v>
      </c>
      <c r="G878" s="322">
        <v>-1009.0877621084037</v>
      </c>
      <c r="H878" s="322">
        <v>5.1796846535388195</v>
      </c>
      <c r="I878" s="322">
        <v>-194.81644725591229</v>
      </c>
      <c r="K878" s="223">
        <f t="shared" si="52"/>
        <v>914975.39770900737</v>
      </c>
      <c r="L878" s="223">
        <f t="shared" si="52"/>
        <v>603185.23073456984</v>
      </c>
      <c r="M878" s="114">
        <f t="shared" si="53"/>
        <v>1</v>
      </c>
      <c r="N878" s="114">
        <f t="shared" si="54"/>
        <v>0</v>
      </c>
      <c r="T878" s="12"/>
      <c r="U878" s="210"/>
      <c r="V878" s="13"/>
      <c r="W878" s="13"/>
      <c r="X878" s="13"/>
      <c r="Y878" s="13"/>
      <c r="Z878" s="13"/>
      <c r="AA878" s="13"/>
      <c r="AB878" s="13"/>
      <c r="AC878" s="13"/>
      <c r="AD878" s="13"/>
      <c r="AE878" s="13"/>
    </row>
    <row r="879" spans="1:31" ht="21" x14ac:dyDescent="0.4">
      <c r="A879" s="210"/>
      <c r="B879" s="108">
        <v>869</v>
      </c>
      <c r="C879" s="297">
        <v>2196.9054588113368</v>
      </c>
      <c r="D879" s="297">
        <v>3496.8524747531678</v>
      </c>
      <c r="E879" s="297">
        <v>20.731083345127406</v>
      </c>
      <c r="F879" s="297">
        <v>15.013440070995655</v>
      </c>
      <c r="G879" s="322">
        <v>-1299.9470159418311</v>
      </c>
      <c r="H879" s="322">
        <v>5.7176432741317509</v>
      </c>
      <c r="I879" s="322">
        <v>-227.35713887978324</v>
      </c>
      <c r="K879" s="223">
        <f t="shared" si="52"/>
        <v>1241668.0952488328</v>
      </c>
      <c r="L879" s="223">
        <f t="shared" si="52"/>
        <v>897309.55178498616</v>
      </c>
      <c r="M879" s="114">
        <f t="shared" si="53"/>
        <v>1</v>
      </c>
      <c r="N879" s="114">
        <f t="shared" si="54"/>
        <v>0</v>
      </c>
      <c r="T879" s="12"/>
      <c r="U879" s="210"/>
      <c r="V879" s="13"/>
      <c r="W879" s="13"/>
      <c r="X879" s="13"/>
      <c r="Y879" s="13"/>
      <c r="Z879" s="13"/>
      <c r="AA879" s="13"/>
      <c r="AB879" s="13"/>
      <c r="AC879" s="13"/>
      <c r="AD879" s="13"/>
      <c r="AE879" s="13"/>
    </row>
    <row r="880" spans="1:31" ht="21" x14ac:dyDescent="0.4">
      <c r="A880" s="210"/>
      <c r="B880" s="108">
        <v>870</v>
      </c>
      <c r="C880" s="297">
        <v>1854.2590471050455</v>
      </c>
      <c r="D880" s="297">
        <v>2774.7240180315175</v>
      </c>
      <c r="E880" s="297">
        <v>21.509728991439026</v>
      </c>
      <c r="F880" s="297">
        <v>15.762147875132403</v>
      </c>
      <c r="G880" s="322">
        <v>-920.46497092647201</v>
      </c>
      <c r="H880" s="322">
        <v>5.7475811163066233</v>
      </c>
      <c r="I880" s="322">
        <v>-160.14823493573584</v>
      </c>
      <c r="K880" s="223">
        <f t="shared" si="52"/>
        <v>1288729.4804392366</v>
      </c>
      <c r="L880" s="223">
        <f t="shared" si="52"/>
        <v>942954.14848991262</v>
      </c>
      <c r="M880" s="114">
        <f t="shared" si="53"/>
        <v>1</v>
      </c>
      <c r="N880" s="114">
        <f t="shared" si="54"/>
        <v>0</v>
      </c>
      <c r="T880" s="12"/>
      <c r="U880" s="210"/>
      <c r="V880" s="13"/>
      <c r="W880" s="13"/>
      <c r="X880" s="13"/>
      <c r="Y880" s="13"/>
      <c r="Z880" s="13"/>
      <c r="AA880" s="13"/>
      <c r="AB880" s="13"/>
      <c r="AC880" s="13"/>
      <c r="AD880" s="13"/>
      <c r="AE880" s="13"/>
    </row>
    <row r="881" spans="1:31" ht="21" x14ac:dyDescent="0.4">
      <c r="A881" s="210"/>
      <c r="B881" s="108">
        <v>871</v>
      </c>
      <c r="C881" s="297">
        <v>2117.9648762743418</v>
      </c>
      <c r="D881" s="297">
        <v>2962.1829614805183</v>
      </c>
      <c r="E881" s="297">
        <v>15.176636625502454</v>
      </c>
      <c r="F881" s="297">
        <v>10.017662528628716</v>
      </c>
      <c r="G881" s="322">
        <v>-844.21808520617651</v>
      </c>
      <c r="H881" s="322">
        <v>5.1589740968737381</v>
      </c>
      <c r="I881" s="322">
        <v>-163.64069083381523</v>
      </c>
      <c r="K881" s="223">
        <f t="shared" si="52"/>
        <v>908480.23265387292</v>
      </c>
      <c r="L881" s="223">
        <f t="shared" si="52"/>
        <v>598097.5687562424</v>
      </c>
      <c r="M881" s="114">
        <f t="shared" si="53"/>
        <v>1</v>
      </c>
      <c r="N881" s="114">
        <f t="shared" si="54"/>
        <v>0</v>
      </c>
      <c r="T881" s="12"/>
      <c r="U881" s="210"/>
      <c r="V881" s="13"/>
      <c r="W881" s="13"/>
      <c r="X881" s="13"/>
      <c r="Y881" s="13"/>
      <c r="Z881" s="13"/>
      <c r="AA881" s="13"/>
      <c r="AB881" s="13"/>
      <c r="AC881" s="13"/>
      <c r="AD881" s="13"/>
      <c r="AE881" s="13"/>
    </row>
    <row r="882" spans="1:31" ht="21" x14ac:dyDescent="0.4">
      <c r="A882" s="210"/>
      <c r="B882" s="108">
        <v>872</v>
      </c>
      <c r="C882" s="297">
        <v>2117.648517735724</v>
      </c>
      <c r="D882" s="297">
        <v>3100.805007513583</v>
      </c>
      <c r="E882" s="297">
        <v>19.198042707419965</v>
      </c>
      <c r="F882" s="297">
        <v>14.44318255160748</v>
      </c>
      <c r="G882" s="322">
        <v>-983.15648977785895</v>
      </c>
      <c r="H882" s="322">
        <v>4.7548601558124854</v>
      </c>
      <c r="I882" s="322">
        <v>-206.76874977616714</v>
      </c>
      <c r="K882" s="223">
        <f t="shared" si="52"/>
        <v>1149764.9139274622</v>
      </c>
      <c r="L882" s="223">
        <f t="shared" si="52"/>
        <v>863490.14808893518</v>
      </c>
      <c r="M882" s="114">
        <f t="shared" si="53"/>
        <v>1</v>
      </c>
      <c r="N882" s="114">
        <f t="shared" si="54"/>
        <v>0</v>
      </c>
      <c r="T882" s="12"/>
      <c r="U882" s="210"/>
      <c r="V882" s="13"/>
      <c r="W882" s="13"/>
      <c r="X882" s="13"/>
      <c r="Y882" s="13"/>
      <c r="Z882" s="13"/>
      <c r="AA882" s="13"/>
      <c r="AB882" s="13"/>
      <c r="AC882" s="13"/>
      <c r="AD882" s="13"/>
      <c r="AE882" s="13"/>
    </row>
    <row r="883" spans="1:31" ht="21" x14ac:dyDescent="0.4">
      <c r="A883" s="210"/>
      <c r="B883" s="108">
        <v>873</v>
      </c>
      <c r="C883" s="297">
        <v>2138.0799904785781</v>
      </c>
      <c r="D883" s="297">
        <v>2919.9894139728399</v>
      </c>
      <c r="E883" s="297">
        <v>18.487762628569683</v>
      </c>
      <c r="F883" s="297">
        <v>14.301700290630716</v>
      </c>
      <c r="G883" s="322">
        <v>-781.90942349426177</v>
      </c>
      <c r="H883" s="322">
        <v>4.1860623379389672</v>
      </c>
      <c r="I883" s="322">
        <v>-186.78876719242541</v>
      </c>
      <c r="K883" s="223">
        <f t="shared" si="52"/>
        <v>1107127.6777237025</v>
      </c>
      <c r="L883" s="223">
        <f t="shared" si="52"/>
        <v>855182.0280238702</v>
      </c>
      <c r="M883" s="114">
        <f t="shared" si="53"/>
        <v>1</v>
      </c>
      <c r="N883" s="114">
        <f t="shared" si="54"/>
        <v>0</v>
      </c>
      <c r="T883" s="12"/>
      <c r="U883" s="210"/>
      <c r="V883" s="13"/>
      <c r="W883" s="13"/>
      <c r="X883" s="13"/>
      <c r="Y883" s="13"/>
      <c r="Z883" s="13"/>
      <c r="AA883" s="13"/>
      <c r="AB883" s="13"/>
      <c r="AC883" s="13"/>
      <c r="AD883" s="13"/>
      <c r="AE883" s="13"/>
    </row>
    <row r="884" spans="1:31" ht="21" x14ac:dyDescent="0.4">
      <c r="A884" s="210"/>
      <c r="B884" s="108">
        <v>874</v>
      </c>
      <c r="C884" s="297">
        <v>2215.8081559591342</v>
      </c>
      <c r="D884" s="297">
        <v>3087.3134493273851</v>
      </c>
      <c r="E884" s="297">
        <v>18.96494522874146</v>
      </c>
      <c r="F884" s="297">
        <v>13.894495211962667</v>
      </c>
      <c r="G884" s="322">
        <v>-871.50529336825093</v>
      </c>
      <c r="H884" s="322">
        <v>5.0704500167787927</v>
      </c>
      <c r="I884" s="322">
        <v>-171.87927905498015</v>
      </c>
      <c r="K884" s="223">
        <f t="shared" si="52"/>
        <v>1135680.9055685285</v>
      </c>
      <c r="L884" s="223">
        <f t="shared" si="52"/>
        <v>830582.39926843264</v>
      </c>
      <c r="M884" s="114">
        <f t="shared" si="53"/>
        <v>1</v>
      </c>
      <c r="N884" s="114">
        <f t="shared" si="54"/>
        <v>0</v>
      </c>
      <c r="T884" s="12"/>
      <c r="U884" s="210"/>
      <c r="V884" s="13"/>
      <c r="W884" s="13"/>
      <c r="X884" s="13"/>
      <c r="Y884" s="13"/>
      <c r="Z884" s="13"/>
      <c r="AA884" s="13"/>
      <c r="AB884" s="13"/>
      <c r="AC884" s="13"/>
      <c r="AD884" s="13"/>
      <c r="AE884" s="13"/>
    </row>
    <row r="885" spans="1:31" ht="21" x14ac:dyDescent="0.4">
      <c r="A885" s="210"/>
      <c r="B885" s="108">
        <v>875</v>
      </c>
      <c r="C885" s="297">
        <v>2043.8655568426457</v>
      </c>
      <c r="D885" s="297">
        <v>2649.7953464068205</v>
      </c>
      <c r="E885" s="297">
        <v>18.108231144267513</v>
      </c>
      <c r="F885" s="297">
        <v>13.434634704248561</v>
      </c>
      <c r="G885" s="322">
        <v>-605.92978956417483</v>
      </c>
      <c r="H885" s="322">
        <v>4.6735964400189527</v>
      </c>
      <c r="I885" s="322">
        <v>-129.64957444244322</v>
      </c>
      <c r="K885" s="223">
        <f t="shared" si="52"/>
        <v>1084450.0030992082</v>
      </c>
      <c r="L885" s="223">
        <f t="shared" si="52"/>
        <v>803428.28690850677</v>
      </c>
      <c r="M885" s="114">
        <f t="shared" si="53"/>
        <v>1</v>
      </c>
      <c r="N885" s="114">
        <f t="shared" si="54"/>
        <v>0</v>
      </c>
      <c r="T885" s="12"/>
      <c r="U885" s="210"/>
      <c r="V885" s="13"/>
      <c r="W885" s="13"/>
      <c r="X885" s="13"/>
      <c r="Y885" s="13"/>
      <c r="Z885" s="13"/>
      <c r="AA885" s="13"/>
      <c r="AB885" s="13"/>
      <c r="AC885" s="13"/>
      <c r="AD885" s="13"/>
      <c r="AE885" s="13"/>
    </row>
    <row r="886" spans="1:31" ht="21" x14ac:dyDescent="0.4">
      <c r="A886" s="210"/>
      <c r="B886" s="108">
        <v>876</v>
      </c>
      <c r="C886" s="297">
        <v>2005.0915666803758</v>
      </c>
      <c r="D886" s="297">
        <v>2769.0273302360615</v>
      </c>
      <c r="E886" s="297">
        <v>16.411467353313071</v>
      </c>
      <c r="F886" s="297">
        <v>11.364019399291951</v>
      </c>
      <c r="G886" s="322">
        <v>-763.93576355568575</v>
      </c>
      <c r="H886" s="322">
        <v>5.0474479540211199</v>
      </c>
      <c r="I886" s="322">
        <v>-151.35089465302673</v>
      </c>
      <c r="K886" s="223">
        <f t="shared" si="52"/>
        <v>982682.9496321039</v>
      </c>
      <c r="L886" s="223">
        <f t="shared" si="52"/>
        <v>679072.13662728108</v>
      </c>
      <c r="M886" s="114">
        <f t="shared" si="53"/>
        <v>1</v>
      </c>
      <c r="N886" s="114">
        <f t="shared" si="54"/>
        <v>0</v>
      </c>
      <c r="T886" s="12"/>
      <c r="U886" s="210"/>
      <c r="V886" s="13"/>
      <c r="W886" s="13"/>
      <c r="X886" s="13"/>
      <c r="Y886" s="13"/>
      <c r="Z886" s="13"/>
      <c r="AA886" s="13"/>
      <c r="AB886" s="13"/>
      <c r="AC886" s="13"/>
      <c r="AD886" s="13"/>
      <c r="AE886" s="13"/>
    </row>
    <row r="887" spans="1:31" ht="21" x14ac:dyDescent="0.4">
      <c r="A887" s="210"/>
      <c r="B887" s="108">
        <v>877</v>
      </c>
      <c r="C887" s="297">
        <v>1964.0599111802521</v>
      </c>
      <c r="D887" s="297">
        <v>3212.0808796479887</v>
      </c>
      <c r="E887" s="297">
        <v>19.132245663347376</v>
      </c>
      <c r="F887" s="297">
        <v>14.946550685868152</v>
      </c>
      <c r="G887" s="322">
        <v>-1248.0209684677366</v>
      </c>
      <c r="H887" s="322">
        <v>4.1856949774792245</v>
      </c>
      <c r="I887" s="322">
        <v>-298.16338151313153</v>
      </c>
      <c r="K887" s="223">
        <f t="shared" si="52"/>
        <v>1145970.6798896622</v>
      </c>
      <c r="L887" s="223">
        <f t="shared" si="52"/>
        <v>893580.96027244115</v>
      </c>
      <c r="M887" s="114">
        <f t="shared" si="53"/>
        <v>1</v>
      </c>
      <c r="N887" s="114">
        <f t="shared" si="54"/>
        <v>0</v>
      </c>
      <c r="T887" s="12"/>
      <c r="U887" s="210"/>
      <c r="V887" s="13"/>
      <c r="W887" s="13"/>
      <c r="X887" s="13"/>
      <c r="Y887" s="13"/>
      <c r="Z887" s="13"/>
      <c r="AA887" s="13"/>
      <c r="AB887" s="13"/>
      <c r="AC887" s="13"/>
      <c r="AD887" s="13"/>
      <c r="AE887" s="13"/>
    </row>
    <row r="888" spans="1:31" ht="21" x14ac:dyDescent="0.4">
      <c r="A888" s="210"/>
      <c r="B888" s="108">
        <v>878</v>
      </c>
      <c r="C888" s="297">
        <v>1849.9163530120982</v>
      </c>
      <c r="D888" s="297">
        <v>2802.0095350906886</v>
      </c>
      <c r="E888" s="297">
        <v>17.050890804900547</v>
      </c>
      <c r="F888" s="297">
        <v>11.818793218121019</v>
      </c>
      <c r="G888" s="322">
        <v>-952.09318207859042</v>
      </c>
      <c r="H888" s="322">
        <v>5.2320975867795276</v>
      </c>
      <c r="I888" s="322">
        <v>-181.97160245717529</v>
      </c>
      <c r="K888" s="223">
        <f t="shared" si="52"/>
        <v>1021203.5319410207</v>
      </c>
      <c r="L888" s="223">
        <f t="shared" si="52"/>
        <v>706325.58355217054</v>
      </c>
      <c r="M888" s="114">
        <f t="shared" si="53"/>
        <v>1</v>
      </c>
      <c r="N888" s="114">
        <f t="shared" si="54"/>
        <v>0</v>
      </c>
      <c r="T888" s="12"/>
      <c r="U888" s="210"/>
      <c r="V888" s="13"/>
      <c r="W888" s="13"/>
      <c r="X888" s="13"/>
      <c r="Y888" s="13"/>
      <c r="Z888" s="13"/>
      <c r="AA888" s="13"/>
      <c r="AB888" s="13"/>
      <c r="AC888" s="13"/>
      <c r="AD888" s="13"/>
      <c r="AE888" s="13"/>
    </row>
    <row r="889" spans="1:31" ht="21" x14ac:dyDescent="0.4">
      <c r="A889" s="210"/>
      <c r="B889" s="108">
        <v>879</v>
      </c>
      <c r="C889" s="297">
        <v>2073.4268518827189</v>
      </c>
      <c r="D889" s="297">
        <v>3236.6629357354605</v>
      </c>
      <c r="E889" s="297">
        <v>20.511017592665649</v>
      </c>
      <c r="F889" s="297">
        <v>15.301005465163431</v>
      </c>
      <c r="G889" s="322">
        <v>-1163.2360838527416</v>
      </c>
      <c r="H889" s="322">
        <v>5.2100121275022175</v>
      </c>
      <c r="I889" s="322">
        <v>-223.26936202553907</v>
      </c>
      <c r="K889" s="223">
        <f t="shared" si="52"/>
        <v>1228587.6287080562</v>
      </c>
      <c r="L889" s="223">
        <f t="shared" si="52"/>
        <v>914823.6649740705</v>
      </c>
      <c r="M889" s="114">
        <f t="shared" si="53"/>
        <v>1</v>
      </c>
      <c r="N889" s="114">
        <f t="shared" si="54"/>
        <v>0</v>
      </c>
      <c r="T889" s="12"/>
      <c r="U889" s="210"/>
      <c r="V889" s="13"/>
      <c r="W889" s="13"/>
      <c r="X889" s="13"/>
      <c r="Y889" s="13"/>
      <c r="Z889" s="13"/>
      <c r="AA889" s="13"/>
      <c r="AB889" s="13"/>
      <c r="AC889" s="13"/>
      <c r="AD889" s="13"/>
      <c r="AE889" s="13"/>
    </row>
    <row r="890" spans="1:31" ht="21" x14ac:dyDescent="0.4">
      <c r="A890" s="210"/>
      <c r="B890" s="108">
        <v>880</v>
      </c>
      <c r="C890" s="297">
        <v>1977.6804179762712</v>
      </c>
      <c r="D890" s="297">
        <v>3092.6221213613239</v>
      </c>
      <c r="E890" s="297">
        <v>16.453497067737736</v>
      </c>
      <c r="F890" s="297">
        <v>11.338493407697996</v>
      </c>
      <c r="G890" s="322">
        <v>-1114.9417033850527</v>
      </c>
      <c r="H890" s="322">
        <v>5.1150036600397399</v>
      </c>
      <c r="I890" s="322">
        <v>-217.97476160093117</v>
      </c>
      <c r="K890" s="223">
        <f t="shared" si="52"/>
        <v>985232.14364628796</v>
      </c>
      <c r="L890" s="223">
        <f t="shared" si="52"/>
        <v>677216.98234051839</v>
      </c>
      <c r="M890" s="114">
        <f t="shared" si="53"/>
        <v>1</v>
      </c>
      <c r="N890" s="114">
        <f t="shared" si="54"/>
        <v>0</v>
      </c>
      <c r="T890" s="12"/>
      <c r="U890" s="210"/>
      <c r="V890" s="13"/>
      <c r="W890" s="13"/>
      <c r="X890" s="13"/>
      <c r="Y890" s="13"/>
      <c r="Z890" s="13"/>
      <c r="AA890" s="13"/>
      <c r="AB890" s="13"/>
      <c r="AC890" s="13"/>
      <c r="AD890" s="13"/>
      <c r="AE890" s="13"/>
    </row>
    <row r="891" spans="1:31" ht="21" x14ac:dyDescent="0.4">
      <c r="A891" s="210"/>
      <c r="B891" s="108">
        <v>881</v>
      </c>
      <c r="C891" s="297">
        <v>2176.2205987236007</v>
      </c>
      <c r="D891" s="297">
        <v>3145.8700130737907</v>
      </c>
      <c r="E891" s="297">
        <v>15.679255460494332</v>
      </c>
      <c r="F891" s="297">
        <v>10.50128488639616</v>
      </c>
      <c r="G891" s="322">
        <v>-969.64941435019</v>
      </c>
      <c r="H891" s="322">
        <v>5.1779705740981719</v>
      </c>
      <c r="I891" s="322">
        <v>-187.26437326636804</v>
      </c>
      <c r="K891" s="223">
        <f t="shared" si="52"/>
        <v>938579.10703093628</v>
      </c>
      <c r="L891" s="223">
        <f t="shared" si="52"/>
        <v>626931.22317069583</v>
      </c>
      <c r="M891" s="114">
        <f t="shared" si="53"/>
        <v>1</v>
      </c>
      <c r="N891" s="114">
        <f t="shared" si="54"/>
        <v>0</v>
      </c>
      <c r="T891" s="12"/>
      <c r="U891" s="210"/>
      <c r="V891" s="13"/>
      <c r="W891" s="13"/>
      <c r="X891" s="13"/>
      <c r="Y891" s="13"/>
      <c r="Z891" s="13"/>
      <c r="AA891" s="13"/>
      <c r="AB891" s="13"/>
      <c r="AC891" s="13"/>
      <c r="AD891" s="13"/>
      <c r="AE891" s="13"/>
    </row>
    <row r="892" spans="1:31" ht="21" x14ac:dyDescent="0.4">
      <c r="A892" s="210"/>
      <c r="B892" s="108">
        <v>882</v>
      </c>
      <c r="C892" s="297">
        <v>2177.9844169452922</v>
      </c>
      <c r="D892" s="297">
        <v>3399.4878262576913</v>
      </c>
      <c r="E892" s="297">
        <v>19.559856897507288</v>
      </c>
      <c r="F892" s="297">
        <v>14.668804552675894</v>
      </c>
      <c r="G892" s="322">
        <v>-1221.5034093123991</v>
      </c>
      <c r="H892" s="322">
        <v>4.8910523448313938</v>
      </c>
      <c r="I892" s="322">
        <v>-249.74245278794029</v>
      </c>
      <c r="K892" s="223">
        <f t="shared" si="52"/>
        <v>1171413.429433492</v>
      </c>
      <c r="L892" s="223">
        <f t="shared" si="52"/>
        <v>876728.78533429594</v>
      </c>
      <c r="M892" s="114">
        <f t="shared" si="53"/>
        <v>1</v>
      </c>
      <c r="N892" s="114">
        <f t="shared" si="54"/>
        <v>0</v>
      </c>
      <c r="T892" s="12"/>
      <c r="U892" s="210"/>
      <c r="V892" s="13"/>
      <c r="W892" s="13"/>
      <c r="X892" s="13"/>
      <c r="Y892" s="13"/>
      <c r="Z892" s="13"/>
      <c r="AA892" s="13"/>
      <c r="AB892" s="13"/>
      <c r="AC892" s="13"/>
      <c r="AD892" s="13"/>
      <c r="AE892" s="13"/>
    </row>
    <row r="893" spans="1:31" ht="21" x14ac:dyDescent="0.4">
      <c r="A893" s="210"/>
      <c r="B893" s="108">
        <v>883</v>
      </c>
      <c r="C893" s="297">
        <v>2084.3680695083121</v>
      </c>
      <c r="D893" s="297">
        <v>3119.4544214484845</v>
      </c>
      <c r="E893" s="297">
        <v>16.12246076764762</v>
      </c>
      <c r="F893" s="297">
        <v>10.924503260181924</v>
      </c>
      <c r="G893" s="322">
        <v>-1035.0863519401723</v>
      </c>
      <c r="H893" s="322">
        <v>5.1979575074656967</v>
      </c>
      <c r="I893" s="322">
        <v>-199.13328465142388</v>
      </c>
      <c r="K893" s="223">
        <f t="shared" si="52"/>
        <v>965263.27798934886</v>
      </c>
      <c r="L893" s="223">
        <f t="shared" si="52"/>
        <v>652350.74118946691</v>
      </c>
      <c r="M893" s="114">
        <f t="shared" si="53"/>
        <v>1</v>
      </c>
      <c r="N893" s="114">
        <f t="shared" si="54"/>
        <v>0</v>
      </c>
      <c r="T893" s="12"/>
      <c r="U893" s="210"/>
      <c r="V893" s="13"/>
      <c r="W893" s="13"/>
      <c r="X893" s="13"/>
      <c r="Y893" s="13"/>
      <c r="Z893" s="13"/>
      <c r="AA893" s="13"/>
      <c r="AB893" s="13"/>
      <c r="AC893" s="13"/>
      <c r="AD893" s="13"/>
      <c r="AE893" s="13"/>
    </row>
    <row r="894" spans="1:31" ht="21" x14ac:dyDescent="0.4">
      <c r="A894" s="210"/>
      <c r="B894" s="108">
        <v>884</v>
      </c>
      <c r="C894" s="297">
        <v>2344.1797042854296</v>
      </c>
      <c r="D894" s="297">
        <v>3203.3626205214609</v>
      </c>
      <c r="E894" s="297">
        <v>18.164842594586219</v>
      </c>
      <c r="F894" s="297">
        <v>13.473850970114759</v>
      </c>
      <c r="G894" s="322">
        <v>-859.18291623603136</v>
      </c>
      <c r="H894" s="322">
        <v>4.6909916244714598</v>
      </c>
      <c r="I894" s="322">
        <v>-183.15592629795765</v>
      </c>
      <c r="K894" s="223">
        <f t="shared" si="52"/>
        <v>1087546.3759708877</v>
      </c>
      <c r="L894" s="223">
        <f t="shared" si="52"/>
        <v>805227.69558636413</v>
      </c>
      <c r="M894" s="114">
        <f t="shared" si="53"/>
        <v>1</v>
      </c>
      <c r="N894" s="114">
        <f t="shared" si="54"/>
        <v>0</v>
      </c>
      <c r="T894" s="12"/>
      <c r="U894" s="210"/>
      <c r="V894" s="13"/>
      <c r="W894" s="13"/>
      <c r="X894" s="13"/>
      <c r="Y894" s="13"/>
      <c r="Z894" s="13"/>
      <c r="AA894" s="13"/>
      <c r="AB894" s="13"/>
      <c r="AC894" s="13"/>
      <c r="AD894" s="13"/>
      <c r="AE894" s="13"/>
    </row>
    <row r="895" spans="1:31" ht="21" x14ac:dyDescent="0.4">
      <c r="A895" s="210"/>
      <c r="B895" s="108">
        <v>885</v>
      </c>
      <c r="C895" s="297">
        <v>2150.0422210752358</v>
      </c>
      <c r="D895" s="297">
        <v>3269.1728757453629</v>
      </c>
      <c r="E895" s="297">
        <v>20.318928668760378</v>
      </c>
      <c r="F895" s="297">
        <v>15.013911550969679</v>
      </c>
      <c r="G895" s="322">
        <v>-1119.1306546701271</v>
      </c>
      <c r="H895" s="322">
        <v>5.3050171177906993</v>
      </c>
      <c r="I895" s="322">
        <v>-210.95702988724656</v>
      </c>
      <c r="K895" s="223">
        <f t="shared" si="52"/>
        <v>1216985.6779045474</v>
      </c>
      <c r="L895" s="223">
        <f t="shared" si="52"/>
        <v>897565.5201824354</v>
      </c>
      <c r="M895" s="114">
        <f t="shared" si="53"/>
        <v>1</v>
      </c>
      <c r="N895" s="114">
        <f t="shared" si="54"/>
        <v>0</v>
      </c>
      <c r="T895" s="12"/>
      <c r="U895" s="210"/>
      <c r="V895" s="13"/>
      <c r="W895" s="13"/>
      <c r="X895" s="13"/>
      <c r="Y895" s="13"/>
      <c r="Z895" s="13"/>
      <c r="AA895" s="13"/>
      <c r="AB895" s="13"/>
      <c r="AC895" s="13"/>
      <c r="AD895" s="13"/>
      <c r="AE895" s="13"/>
    </row>
    <row r="896" spans="1:31" ht="21" x14ac:dyDescent="0.4">
      <c r="A896" s="210"/>
      <c r="B896" s="108">
        <v>886</v>
      </c>
      <c r="C896" s="297">
        <v>2017.4593044472394</v>
      </c>
      <c r="D896" s="297">
        <v>2915.8553563375563</v>
      </c>
      <c r="E896" s="297">
        <v>18.113765128948017</v>
      </c>
      <c r="F896" s="297">
        <v>13.282548162696735</v>
      </c>
      <c r="G896" s="322">
        <v>-898.39605189031681</v>
      </c>
      <c r="H896" s="322">
        <v>4.8312169662512829</v>
      </c>
      <c r="I896" s="322">
        <v>-185.95646980173092</v>
      </c>
      <c r="K896" s="223">
        <f t="shared" si="52"/>
        <v>1084808.4484324337</v>
      </c>
      <c r="L896" s="223">
        <f t="shared" si="52"/>
        <v>794037.03440546652</v>
      </c>
      <c r="M896" s="114">
        <f t="shared" si="53"/>
        <v>1</v>
      </c>
      <c r="N896" s="114">
        <f t="shared" si="54"/>
        <v>0</v>
      </c>
      <c r="T896" s="12"/>
      <c r="U896" s="210"/>
      <c r="V896" s="13"/>
      <c r="W896" s="13"/>
      <c r="X896" s="13"/>
      <c r="Y896" s="13"/>
      <c r="Z896" s="13"/>
      <c r="AA896" s="13"/>
      <c r="AB896" s="13"/>
      <c r="AC896" s="13"/>
      <c r="AD896" s="13"/>
      <c r="AE896" s="13"/>
    </row>
    <row r="897" spans="1:31" ht="21" x14ac:dyDescent="0.4">
      <c r="A897" s="210"/>
      <c r="B897" s="108">
        <v>887</v>
      </c>
      <c r="C897" s="297">
        <v>1900.440152329209</v>
      </c>
      <c r="D897" s="297">
        <v>3059.9140893148501</v>
      </c>
      <c r="E897" s="297">
        <v>16.32320883993312</v>
      </c>
      <c r="F897" s="297">
        <v>11.900587049398306</v>
      </c>
      <c r="G897" s="322">
        <v>-1159.4739369856411</v>
      </c>
      <c r="H897" s="322">
        <v>4.422621790534814</v>
      </c>
      <c r="I897" s="322">
        <v>-262.16891063737773</v>
      </c>
      <c r="K897" s="223">
        <f t="shared" si="52"/>
        <v>977492.09024365805</v>
      </c>
      <c r="L897" s="223">
        <f t="shared" si="52"/>
        <v>710975.30887458345</v>
      </c>
      <c r="M897" s="114">
        <f t="shared" si="53"/>
        <v>1</v>
      </c>
      <c r="N897" s="114">
        <f t="shared" si="54"/>
        <v>0</v>
      </c>
      <c r="T897" s="12"/>
      <c r="U897" s="210"/>
      <c r="V897" s="13"/>
      <c r="W897" s="13"/>
      <c r="X897" s="13"/>
      <c r="Y897" s="13"/>
      <c r="Z897" s="13"/>
      <c r="AA897" s="13"/>
      <c r="AB897" s="13"/>
      <c r="AC897" s="13"/>
      <c r="AD897" s="13"/>
      <c r="AE897" s="13"/>
    </row>
    <row r="898" spans="1:31" ht="21" x14ac:dyDescent="0.4">
      <c r="A898" s="210"/>
      <c r="B898" s="108">
        <v>888</v>
      </c>
      <c r="C898" s="297">
        <v>2145.2776512224814</v>
      </c>
      <c r="D898" s="297">
        <v>3139.1054279868722</v>
      </c>
      <c r="E898" s="297">
        <v>15.564368390473302</v>
      </c>
      <c r="F898" s="297">
        <v>11.858988900468475</v>
      </c>
      <c r="G898" s="322">
        <v>-993.82777676439082</v>
      </c>
      <c r="H898" s="322">
        <v>3.7053794900048267</v>
      </c>
      <c r="I898" s="322">
        <v>-268.21214384254506</v>
      </c>
      <c r="K898" s="223">
        <f t="shared" si="52"/>
        <v>931716.8257771756</v>
      </c>
      <c r="L898" s="223">
        <f t="shared" si="52"/>
        <v>708400.22860012169</v>
      </c>
      <c r="M898" s="114">
        <f t="shared" si="53"/>
        <v>1</v>
      </c>
      <c r="N898" s="114">
        <f t="shared" si="54"/>
        <v>0</v>
      </c>
      <c r="T898" s="12"/>
      <c r="U898" s="210"/>
      <c r="V898" s="13"/>
      <c r="W898" s="13"/>
      <c r="X898" s="13"/>
      <c r="Y898" s="13"/>
      <c r="Z898" s="13"/>
      <c r="AA898" s="13"/>
      <c r="AB898" s="13"/>
      <c r="AC898" s="13"/>
      <c r="AD898" s="13"/>
      <c r="AE898" s="13"/>
    </row>
    <row r="899" spans="1:31" ht="21" x14ac:dyDescent="0.4">
      <c r="A899" s="210"/>
      <c r="B899" s="108">
        <v>889</v>
      </c>
      <c r="C899" s="297">
        <v>2079.9873884348899</v>
      </c>
      <c r="D899" s="297">
        <v>3157.7233238930366</v>
      </c>
      <c r="E899" s="297">
        <v>20.212023482068567</v>
      </c>
      <c r="F899" s="297">
        <v>15.168815229705022</v>
      </c>
      <c r="G899" s="322">
        <v>-1077.7359354581467</v>
      </c>
      <c r="H899" s="322">
        <v>5.0432082523635451</v>
      </c>
      <c r="I899" s="322">
        <v>-213.70046238980041</v>
      </c>
      <c r="K899" s="223">
        <f t="shared" si="52"/>
        <v>1210641.4215356791</v>
      </c>
      <c r="L899" s="223">
        <f t="shared" si="52"/>
        <v>906971.19045840821</v>
      </c>
      <c r="M899" s="114">
        <f t="shared" si="53"/>
        <v>1</v>
      </c>
      <c r="N899" s="114">
        <f t="shared" si="54"/>
        <v>0</v>
      </c>
      <c r="T899" s="12"/>
      <c r="U899" s="210"/>
      <c r="V899" s="13"/>
      <c r="W899" s="13"/>
      <c r="X899" s="13"/>
      <c r="Y899" s="13"/>
      <c r="Z899" s="13"/>
      <c r="AA899" s="13"/>
      <c r="AB899" s="13"/>
      <c r="AC899" s="13"/>
      <c r="AD899" s="13"/>
      <c r="AE899" s="13"/>
    </row>
    <row r="900" spans="1:31" ht="21" x14ac:dyDescent="0.4">
      <c r="A900" s="210"/>
      <c r="B900" s="108">
        <v>890</v>
      </c>
      <c r="C900" s="297">
        <v>2332.4833454051186</v>
      </c>
      <c r="D900" s="297">
        <v>3286.2659832013446</v>
      </c>
      <c r="E900" s="297">
        <v>19.337842020635755</v>
      </c>
      <c r="F900" s="297">
        <v>14.042779409968803</v>
      </c>
      <c r="G900" s="322">
        <v>-953.78263779622603</v>
      </c>
      <c r="H900" s="322">
        <v>5.2950626106669514</v>
      </c>
      <c r="I900" s="322">
        <v>-180.12679130079073</v>
      </c>
      <c r="K900" s="223">
        <f t="shared" si="52"/>
        <v>1157938.03789274</v>
      </c>
      <c r="L900" s="223">
        <f t="shared" si="52"/>
        <v>839280.49861492682</v>
      </c>
      <c r="M900" s="114">
        <f t="shared" si="53"/>
        <v>1</v>
      </c>
      <c r="N900" s="114">
        <f t="shared" si="54"/>
        <v>0</v>
      </c>
      <c r="T900" s="12"/>
      <c r="U900" s="210"/>
      <c r="V900" s="13"/>
      <c r="W900" s="13"/>
      <c r="X900" s="13"/>
      <c r="Y900" s="13"/>
      <c r="Z900" s="13"/>
      <c r="AA900" s="13"/>
      <c r="AB900" s="13"/>
      <c r="AC900" s="13"/>
      <c r="AD900" s="13"/>
      <c r="AE900" s="13"/>
    </row>
    <row r="901" spans="1:31" ht="21" x14ac:dyDescent="0.4">
      <c r="A901" s="210"/>
      <c r="B901" s="108">
        <v>891</v>
      </c>
      <c r="C901" s="297">
        <v>1831.3098725223881</v>
      </c>
      <c r="D901" s="297">
        <v>3305.7043270558752</v>
      </c>
      <c r="E901" s="297">
        <v>17.974762043494916</v>
      </c>
      <c r="F901" s="297">
        <v>13.030070651765312</v>
      </c>
      <c r="G901" s="322">
        <v>-1474.3944545334871</v>
      </c>
      <c r="H901" s="322">
        <v>4.944691391729604</v>
      </c>
      <c r="I901" s="322">
        <v>-298.17724458993155</v>
      </c>
      <c r="K901" s="223">
        <f t="shared" si="52"/>
        <v>1076654.4127371726</v>
      </c>
      <c r="L901" s="223">
        <f t="shared" si="52"/>
        <v>778498.53477886284</v>
      </c>
      <c r="M901" s="114">
        <f t="shared" si="53"/>
        <v>1</v>
      </c>
      <c r="N901" s="114">
        <f t="shared" si="54"/>
        <v>0</v>
      </c>
      <c r="T901" s="12"/>
      <c r="U901" s="210"/>
      <c r="V901" s="13"/>
      <c r="W901" s="13"/>
      <c r="X901" s="13"/>
      <c r="Y901" s="13"/>
      <c r="Z901" s="13"/>
      <c r="AA901" s="13"/>
      <c r="AB901" s="13"/>
      <c r="AC901" s="13"/>
      <c r="AD901" s="13"/>
      <c r="AE901" s="13"/>
    </row>
    <row r="902" spans="1:31" ht="21" x14ac:dyDescent="0.4">
      <c r="A902" s="210"/>
      <c r="B902" s="108">
        <v>892</v>
      </c>
      <c r="C902" s="297">
        <v>2190.6532957808577</v>
      </c>
      <c r="D902" s="297">
        <v>3103.9561981466113</v>
      </c>
      <c r="E902" s="297">
        <v>18.198603997225526</v>
      </c>
      <c r="F902" s="297">
        <v>13.907383770937635</v>
      </c>
      <c r="G902" s="322">
        <v>-913.30290236575365</v>
      </c>
      <c r="H902" s="322">
        <v>4.2912202262878907</v>
      </c>
      <c r="I902" s="322">
        <v>-212.83058295887182</v>
      </c>
      <c r="K902" s="223">
        <f t="shared" si="52"/>
        <v>1089725.5865377507</v>
      </c>
      <c r="L902" s="223">
        <f t="shared" si="52"/>
        <v>831339.07005811157</v>
      </c>
      <c r="M902" s="114">
        <f t="shared" si="53"/>
        <v>1</v>
      </c>
      <c r="N902" s="114">
        <f t="shared" si="54"/>
        <v>0</v>
      </c>
      <c r="T902" s="12"/>
      <c r="U902" s="210"/>
      <c r="V902" s="13"/>
      <c r="W902" s="13"/>
      <c r="X902" s="13"/>
      <c r="Y902" s="13"/>
      <c r="Z902" s="13"/>
      <c r="AA902" s="13"/>
      <c r="AB902" s="13"/>
      <c r="AC902" s="13"/>
      <c r="AD902" s="13"/>
      <c r="AE902" s="13"/>
    </row>
    <row r="903" spans="1:31" ht="21" x14ac:dyDescent="0.4">
      <c r="A903" s="210"/>
      <c r="B903" s="108">
        <v>893</v>
      </c>
      <c r="C903" s="297">
        <v>1949.5403882251994</v>
      </c>
      <c r="D903" s="297">
        <v>2866.3692915882616</v>
      </c>
      <c r="E903" s="297">
        <v>20.245716730813133</v>
      </c>
      <c r="F903" s="297">
        <v>14.572460488312027</v>
      </c>
      <c r="G903" s="322">
        <v>-916.82890336306218</v>
      </c>
      <c r="H903" s="322">
        <v>5.6732562425011057</v>
      </c>
      <c r="I903" s="322">
        <v>-161.60541039811557</v>
      </c>
      <c r="K903" s="223">
        <f t="shared" si="52"/>
        <v>1212793.4634605628</v>
      </c>
      <c r="L903" s="223">
        <f t="shared" si="52"/>
        <v>871481.26000713324</v>
      </c>
      <c r="M903" s="114">
        <f t="shared" si="53"/>
        <v>1</v>
      </c>
      <c r="N903" s="114">
        <f t="shared" si="54"/>
        <v>0</v>
      </c>
      <c r="T903" s="12"/>
      <c r="U903" s="210"/>
      <c r="V903" s="13"/>
      <c r="W903" s="13"/>
      <c r="X903" s="13"/>
      <c r="Y903" s="13"/>
      <c r="Z903" s="13"/>
      <c r="AA903" s="13"/>
      <c r="AB903" s="13"/>
      <c r="AC903" s="13"/>
      <c r="AD903" s="13"/>
      <c r="AE903" s="13"/>
    </row>
    <row r="904" spans="1:31" ht="21" x14ac:dyDescent="0.4">
      <c r="A904" s="210"/>
      <c r="B904" s="108">
        <v>894</v>
      </c>
      <c r="C904" s="297">
        <v>2133.2849763958429</v>
      </c>
      <c r="D904" s="297">
        <v>3391.9647750815548</v>
      </c>
      <c r="E904" s="297">
        <v>19.120434468945334</v>
      </c>
      <c r="F904" s="297">
        <v>14.426180010677387</v>
      </c>
      <c r="G904" s="322">
        <v>-1258.6797986857118</v>
      </c>
      <c r="H904" s="322">
        <v>4.6942544582679471</v>
      </c>
      <c r="I904" s="322">
        <v>-268.13199196494571</v>
      </c>
      <c r="K904" s="223">
        <f t="shared" si="52"/>
        <v>1145092.7831603242</v>
      </c>
      <c r="L904" s="223">
        <f t="shared" si="52"/>
        <v>862178.83586556162</v>
      </c>
      <c r="M904" s="114">
        <f t="shared" si="53"/>
        <v>1</v>
      </c>
      <c r="N904" s="114">
        <f t="shared" si="54"/>
        <v>0</v>
      </c>
      <c r="T904" s="12"/>
      <c r="U904" s="210"/>
      <c r="V904" s="13"/>
      <c r="W904" s="13"/>
      <c r="X904" s="13"/>
      <c r="Y904" s="13"/>
      <c r="Z904" s="13"/>
      <c r="AA904" s="13"/>
      <c r="AB904" s="13"/>
      <c r="AC904" s="13"/>
      <c r="AD904" s="13"/>
      <c r="AE904" s="13"/>
    </row>
    <row r="905" spans="1:31" ht="21" x14ac:dyDescent="0.4">
      <c r="A905" s="210"/>
      <c r="B905" s="108">
        <v>895</v>
      </c>
      <c r="C905" s="297">
        <v>2015.2239996631738</v>
      </c>
      <c r="D905" s="297">
        <v>2345.4848047812002</v>
      </c>
      <c r="E905" s="297">
        <v>18.319847752907158</v>
      </c>
      <c r="F905" s="297">
        <v>12.626300219443742</v>
      </c>
      <c r="G905" s="322">
        <v>-330.26080511802638</v>
      </c>
      <c r="H905" s="322">
        <v>5.6935475334634162</v>
      </c>
      <c r="I905" s="322">
        <v>-58.00615577141356</v>
      </c>
      <c r="K905" s="223">
        <f t="shared" si="52"/>
        <v>1097175.6411747662</v>
      </c>
      <c r="L905" s="223">
        <f t="shared" si="52"/>
        <v>755232.52836184332</v>
      </c>
      <c r="M905" s="114">
        <f t="shared" si="53"/>
        <v>1</v>
      </c>
      <c r="N905" s="114">
        <f t="shared" si="54"/>
        <v>0</v>
      </c>
      <c r="T905" s="12"/>
      <c r="U905" s="210"/>
      <c r="V905" s="13"/>
      <c r="W905" s="13"/>
      <c r="X905" s="13"/>
      <c r="Y905" s="13"/>
      <c r="Z905" s="13"/>
      <c r="AA905" s="13"/>
      <c r="AB905" s="13"/>
      <c r="AC905" s="13"/>
      <c r="AD905" s="13"/>
      <c r="AE905" s="13"/>
    </row>
    <row r="906" spans="1:31" ht="21" x14ac:dyDescent="0.4">
      <c r="A906" s="210"/>
      <c r="B906" s="108">
        <v>896</v>
      </c>
      <c r="C906" s="297">
        <v>2149.863643317492</v>
      </c>
      <c r="D906" s="297">
        <v>3410.2903634574968</v>
      </c>
      <c r="E906" s="297">
        <v>18.935388380847808</v>
      </c>
      <c r="F906" s="297">
        <v>13.647752772566232</v>
      </c>
      <c r="G906" s="322">
        <v>-1260.4267201400048</v>
      </c>
      <c r="H906" s="322">
        <v>5.2876356082815761</v>
      </c>
      <c r="I906" s="322">
        <v>-238.37246238487106</v>
      </c>
      <c r="K906" s="223">
        <f t="shared" si="52"/>
        <v>1133973.4392075511</v>
      </c>
      <c r="L906" s="223">
        <f t="shared" si="52"/>
        <v>815454.87599051639</v>
      </c>
      <c r="M906" s="114">
        <f t="shared" si="53"/>
        <v>1</v>
      </c>
      <c r="N906" s="114">
        <f t="shared" si="54"/>
        <v>0</v>
      </c>
      <c r="T906" s="12"/>
      <c r="U906" s="210"/>
      <c r="V906" s="13"/>
      <c r="W906" s="13"/>
      <c r="X906" s="13"/>
      <c r="Y906" s="13"/>
      <c r="Z906" s="13"/>
      <c r="AA906" s="13"/>
      <c r="AB906" s="13"/>
      <c r="AC906" s="13"/>
      <c r="AD906" s="13"/>
      <c r="AE906" s="13"/>
    </row>
    <row r="907" spans="1:31" ht="21" x14ac:dyDescent="0.4">
      <c r="A907" s="210"/>
      <c r="B907" s="108">
        <v>897</v>
      </c>
      <c r="C907" s="297">
        <v>1902.1236323723431</v>
      </c>
      <c r="D907" s="297">
        <v>2955.9329580405915</v>
      </c>
      <c r="E907" s="297">
        <v>20.690440569361165</v>
      </c>
      <c r="F907" s="297">
        <v>15.979141741394701</v>
      </c>
      <c r="G907" s="322">
        <v>-1053.8093256682484</v>
      </c>
      <c r="H907" s="322">
        <v>4.7112988279664645</v>
      </c>
      <c r="I907" s="322">
        <v>-223.67702923295647</v>
      </c>
      <c r="K907" s="223">
        <f t="shared" si="52"/>
        <v>1239524.3105292975</v>
      </c>
      <c r="L907" s="223">
        <f t="shared" si="52"/>
        <v>955792.57152564137</v>
      </c>
      <c r="M907" s="114">
        <f t="shared" si="53"/>
        <v>1</v>
      </c>
      <c r="N907" s="114">
        <f t="shared" si="54"/>
        <v>0</v>
      </c>
      <c r="T907" s="12"/>
      <c r="U907" s="210"/>
      <c r="V907" s="13"/>
      <c r="W907" s="13"/>
      <c r="X907" s="13"/>
      <c r="Y907" s="13"/>
      <c r="Z907" s="13"/>
      <c r="AA907" s="13"/>
      <c r="AB907" s="13"/>
      <c r="AC907" s="13"/>
      <c r="AD907" s="13"/>
      <c r="AE907" s="13"/>
    </row>
    <row r="908" spans="1:31" ht="21" x14ac:dyDescent="0.4">
      <c r="A908" s="210"/>
      <c r="B908" s="108">
        <v>898</v>
      </c>
      <c r="C908" s="297">
        <v>1917.0708839141785</v>
      </c>
      <c r="D908" s="297">
        <v>2912.8841043613193</v>
      </c>
      <c r="E908" s="297">
        <v>18.999559635332496</v>
      </c>
      <c r="F908" s="297">
        <v>13.680929001517431</v>
      </c>
      <c r="G908" s="322">
        <v>-995.81322044714079</v>
      </c>
      <c r="H908" s="322">
        <v>5.3186306338150651</v>
      </c>
      <c r="I908" s="322">
        <v>-187.23112940310386</v>
      </c>
      <c r="K908" s="223">
        <f t="shared" ref="K908:L971" si="55">E908*$N$4-C908</f>
        <v>1138056.5072360355</v>
      </c>
      <c r="L908" s="223">
        <f t="shared" si="55"/>
        <v>817942.85598668456</v>
      </c>
      <c r="M908" s="114">
        <f t="shared" ref="M908:M971" si="56">IF(MAX(K908:L908)=K908,1,0)</f>
        <v>1</v>
      </c>
      <c r="N908" s="114">
        <f t="shared" ref="N908:N971" si="57">IF(MAX(K908:L908)=L908,1,0)</f>
        <v>0</v>
      </c>
      <c r="T908" s="12"/>
      <c r="U908" s="210"/>
      <c r="V908" s="13"/>
      <c r="W908" s="13"/>
      <c r="X908" s="13"/>
      <c r="Y908" s="13"/>
      <c r="Z908" s="13"/>
      <c r="AA908" s="13"/>
      <c r="AB908" s="13"/>
      <c r="AC908" s="13"/>
      <c r="AD908" s="13"/>
      <c r="AE908" s="13"/>
    </row>
    <row r="909" spans="1:31" ht="21" x14ac:dyDescent="0.4">
      <c r="A909" s="210"/>
      <c r="B909" s="108">
        <v>899</v>
      </c>
      <c r="C909" s="297">
        <v>1940.7900386821784</v>
      </c>
      <c r="D909" s="297">
        <v>2859.4032569018923</v>
      </c>
      <c r="E909" s="297">
        <v>17.038980530979178</v>
      </c>
      <c r="F909" s="297">
        <v>12.075330128231599</v>
      </c>
      <c r="G909" s="322">
        <v>-918.61321821971387</v>
      </c>
      <c r="H909" s="322">
        <v>4.9636504027475787</v>
      </c>
      <c r="I909" s="322">
        <v>-185.06807363210447</v>
      </c>
      <c r="K909" s="223">
        <f t="shared" si="55"/>
        <v>1020398.0418200685</v>
      </c>
      <c r="L909" s="223">
        <f t="shared" si="55"/>
        <v>721660.40443699399</v>
      </c>
      <c r="M909" s="114">
        <f t="shared" si="56"/>
        <v>1</v>
      </c>
      <c r="N909" s="114">
        <f t="shared" si="57"/>
        <v>0</v>
      </c>
      <c r="T909" s="12"/>
      <c r="U909" s="210"/>
      <c r="V909" s="13"/>
      <c r="W909" s="13"/>
      <c r="X909" s="13"/>
      <c r="Y909" s="13"/>
      <c r="Z909" s="13"/>
      <c r="AA909" s="13"/>
      <c r="AB909" s="13"/>
      <c r="AC909" s="13"/>
      <c r="AD909" s="13"/>
      <c r="AE909" s="13"/>
    </row>
    <row r="910" spans="1:31" ht="21" x14ac:dyDescent="0.4">
      <c r="A910" s="210"/>
      <c r="B910" s="108">
        <v>900</v>
      </c>
      <c r="C910" s="297">
        <v>2303.7172565284768</v>
      </c>
      <c r="D910" s="297">
        <v>2779.9206308078087</v>
      </c>
      <c r="E910" s="297">
        <v>18.379902582270915</v>
      </c>
      <c r="F910" s="297">
        <v>12.88360986656744</v>
      </c>
      <c r="G910" s="322">
        <v>-476.20337427933191</v>
      </c>
      <c r="H910" s="322">
        <v>5.4962927157034756</v>
      </c>
      <c r="I910" s="322">
        <v>-86.640832086466162</v>
      </c>
      <c r="K910" s="223">
        <f t="shared" si="55"/>
        <v>1100490.4376797264</v>
      </c>
      <c r="L910" s="223">
        <f t="shared" si="55"/>
        <v>770236.67136323859</v>
      </c>
      <c r="M910" s="114">
        <f t="shared" si="56"/>
        <v>1</v>
      </c>
      <c r="N910" s="114">
        <f t="shared" si="57"/>
        <v>0</v>
      </c>
      <c r="T910" s="12"/>
      <c r="U910" s="210"/>
      <c r="V910" s="13"/>
      <c r="W910" s="13"/>
      <c r="X910" s="13"/>
      <c r="Y910" s="13"/>
      <c r="Z910" s="13"/>
      <c r="AA910" s="13"/>
      <c r="AB910" s="13"/>
      <c r="AC910" s="13"/>
      <c r="AD910" s="13"/>
      <c r="AE910" s="13"/>
    </row>
    <row r="911" spans="1:31" ht="21" x14ac:dyDescent="0.4">
      <c r="A911" s="210"/>
      <c r="B911" s="108">
        <v>901</v>
      </c>
      <c r="C911" s="297">
        <v>2114.9614252389192</v>
      </c>
      <c r="D911" s="297">
        <v>2673.9494247751381</v>
      </c>
      <c r="E911" s="297">
        <v>18.524556728228781</v>
      </c>
      <c r="F911" s="297">
        <v>14.149859564738787</v>
      </c>
      <c r="G911" s="322">
        <v>-558.98799953621892</v>
      </c>
      <c r="H911" s="322">
        <v>4.3746971634899943</v>
      </c>
      <c r="I911" s="322">
        <v>-127.77753034001468</v>
      </c>
      <c r="K911" s="223">
        <f t="shared" si="55"/>
        <v>1109358.4422684878</v>
      </c>
      <c r="L911" s="223">
        <f t="shared" si="55"/>
        <v>846317.62445955211</v>
      </c>
      <c r="M911" s="114">
        <f t="shared" si="56"/>
        <v>1</v>
      </c>
      <c r="N911" s="114">
        <f t="shared" si="57"/>
        <v>0</v>
      </c>
      <c r="T911" s="12"/>
      <c r="U911" s="210"/>
      <c r="V911" s="13"/>
      <c r="W911" s="13"/>
      <c r="X911" s="13"/>
      <c r="Y911" s="13"/>
      <c r="Z911" s="13"/>
      <c r="AA911" s="13"/>
      <c r="AB911" s="13"/>
      <c r="AC911" s="13"/>
      <c r="AD911" s="13"/>
      <c r="AE911" s="13"/>
    </row>
    <row r="912" spans="1:31" ht="21" x14ac:dyDescent="0.4">
      <c r="A912" s="210"/>
      <c r="B912" s="108">
        <v>902</v>
      </c>
      <c r="C912" s="297">
        <v>2140.8889046515833</v>
      </c>
      <c r="D912" s="297">
        <v>3281.6340811753635</v>
      </c>
      <c r="E912" s="297">
        <v>18.832589146866511</v>
      </c>
      <c r="F912" s="297">
        <v>13.224116438933518</v>
      </c>
      <c r="G912" s="322">
        <v>-1140.7451765237802</v>
      </c>
      <c r="H912" s="322">
        <v>5.608472707932993</v>
      </c>
      <c r="I912" s="322">
        <v>-203.39675985411057</v>
      </c>
      <c r="K912" s="223">
        <f t="shared" si="55"/>
        <v>1127814.459907339</v>
      </c>
      <c r="L912" s="223">
        <f t="shared" si="55"/>
        <v>790165.35225483577</v>
      </c>
      <c r="M912" s="114">
        <f t="shared" si="56"/>
        <v>1</v>
      </c>
      <c r="N912" s="114">
        <f t="shared" si="57"/>
        <v>0</v>
      </c>
      <c r="T912" s="12"/>
      <c r="U912" s="210"/>
      <c r="V912" s="13"/>
      <c r="W912" s="13"/>
      <c r="X912" s="13"/>
      <c r="Y912" s="13"/>
      <c r="Z912" s="13"/>
      <c r="AA912" s="13"/>
      <c r="AB912" s="13"/>
      <c r="AC912" s="13"/>
      <c r="AD912" s="13"/>
      <c r="AE912" s="13"/>
    </row>
    <row r="913" spans="1:31" ht="21" x14ac:dyDescent="0.4">
      <c r="A913" s="210"/>
      <c r="B913" s="108">
        <v>903</v>
      </c>
      <c r="C913" s="297">
        <v>2139.32534793177</v>
      </c>
      <c r="D913" s="297">
        <v>3213.5203338168158</v>
      </c>
      <c r="E913" s="297">
        <v>20.514668567882474</v>
      </c>
      <c r="F913" s="297">
        <v>15.045550683615575</v>
      </c>
      <c r="G913" s="322">
        <v>-1074.1949858850458</v>
      </c>
      <c r="H913" s="322">
        <v>5.4691178842668986</v>
      </c>
      <c r="I913" s="322">
        <v>-196.41101336930407</v>
      </c>
      <c r="K913" s="223">
        <f t="shared" si="55"/>
        <v>1228740.7887250166</v>
      </c>
      <c r="L913" s="223">
        <f t="shared" si="55"/>
        <v>899519.52068311779</v>
      </c>
      <c r="M913" s="114">
        <f t="shared" si="56"/>
        <v>1</v>
      </c>
      <c r="N913" s="114">
        <f t="shared" si="57"/>
        <v>0</v>
      </c>
      <c r="T913" s="12"/>
      <c r="U913" s="210"/>
      <c r="V913" s="13"/>
      <c r="W913" s="13"/>
      <c r="X913" s="13"/>
      <c r="Y913" s="13"/>
      <c r="Z913" s="13"/>
      <c r="AA913" s="13"/>
      <c r="AB913" s="13"/>
      <c r="AC913" s="13"/>
      <c r="AD913" s="13"/>
      <c r="AE913" s="13"/>
    </row>
    <row r="914" spans="1:31" ht="21" x14ac:dyDescent="0.4">
      <c r="A914" s="210"/>
      <c r="B914" s="108">
        <v>904</v>
      </c>
      <c r="C914" s="297">
        <v>2255.0047502264042</v>
      </c>
      <c r="D914" s="297">
        <v>3589.8694203482687</v>
      </c>
      <c r="E914" s="297">
        <v>17.653367619784653</v>
      </c>
      <c r="F914" s="297">
        <v>13.089158398150717</v>
      </c>
      <c r="G914" s="322">
        <v>-1334.8646701218645</v>
      </c>
      <c r="H914" s="322">
        <v>4.5642092216339361</v>
      </c>
      <c r="I914" s="322">
        <v>-292.46351455466316</v>
      </c>
      <c r="K914" s="223">
        <f t="shared" si="55"/>
        <v>1056947.0524368528</v>
      </c>
      <c r="L914" s="223">
        <f t="shared" si="55"/>
        <v>781759.63446869468</v>
      </c>
      <c r="M914" s="114">
        <f t="shared" si="56"/>
        <v>1</v>
      </c>
      <c r="N914" s="114">
        <f t="shared" si="57"/>
        <v>0</v>
      </c>
      <c r="T914" s="12"/>
      <c r="U914" s="210"/>
      <c r="V914" s="13"/>
      <c r="W914" s="13"/>
      <c r="X914" s="13"/>
      <c r="Y914" s="13"/>
      <c r="Z914" s="13"/>
      <c r="AA914" s="13"/>
      <c r="AB914" s="13"/>
      <c r="AC914" s="13"/>
      <c r="AD914" s="13"/>
      <c r="AE914" s="13"/>
    </row>
    <row r="915" spans="1:31" ht="21" x14ac:dyDescent="0.4">
      <c r="A915" s="210"/>
      <c r="B915" s="108">
        <v>905</v>
      </c>
      <c r="C915" s="297">
        <v>2086.9539432925421</v>
      </c>
      <c r="D915" s="297">
        <v>3292.5511056465939</v>
      </c>
      <c r="E915" s="297">
        <v>20.354267700844467</v>
      </c>
      <c r="F915" s="297">
        <v>15.158066848845912</v>
      </c>
      <c r="G915" s="322">
        <v>-1205.5971623540518</v>
      </c>
      <c r="H915" s="322">
        <v>5.1962008519985545</v>
      </c>
      <c r="I915" s="322">
        <v>-232.0151196407962</v>
      </c>
      <c r="K915" s="223">
        <f t="shared" si="55"/>
        <v>1219169.1081073754</v>
      </c>
      <c r="L915" s="223">
        <f t="shared" si="55"/>
        <v>906191.45982510806</v>
      </c>
      <c r="M915" s="114">
        <f t="shared" si="56"/>
        <v>1</v>
      </c>
      <c r="N915" s="114">
        <f t="shared" si="57"/>
        <v>0</v>
      </c>
      <c r="T915" s="12"/>
      <c r="U915" s="210"/>
      <c r="V915" s="13"/>
      <c r="W915" s="13"/>
      <c r="X915" s="13"/>
      <c r="Y915" s="13"/>
      <c r="Z915" s="13"/>
      <c r="AA915" s="13"/>
      <c r="AB915" s="13"/>
      <c r="AC915" s="13"/>
      <c r="AD915" s="13"/>
      <c r="AE915" s="13"/>
    </row>
    <row r="916" spans="1:31" ht="21" x14ac:dyDescent="0.4">
      <c r="A916" s="210"/>
      <c r="B916" s="108">
        <v>906</v>
      </c>
      <c r="C916" s="297">
        <v>2035.1090388739294</v>
      </c>
      <c r="D916" s="297">
        <v>3131.7395216883679</v>
      </c>
      <c r="E916" s="297">
        <v>19.070764518743161</v>
      </c>
      <c r="F916" s="297">
        <v>13.200771237574221</v>
      </c>
      <c r="G916" s="322">
        <v>-1096.6304828144384</v>
      </c>
      <c r="H916" s="322">
        <v>5.8699932811689397</v>
      </c>
      <c r="I916" s="322">
        <v>-186.81971686960048</v>
      </c>
      <c r="K916" s="223">
        <f t="shared" si="55"/>
        <v>1142210.7620857155</v>
      </c>
      <c r="L916" s="223">
        <f t="shared" si="55"/>
        <v>788914.53473276494</v>
      </c>
      <c r="M916" s="114">
        <f t="shared" si="56"/>
        <v>1</v>
      </c>
      <c r="N916" s="114">
        <f t="shared" si="57"/>
        <v>0</v>
      </c>
      <c r="T916" s="12"/>
      <c r="U916" s="210"/>
      <c r="V916" s="13"/>
      <c r="W916" s="13"/>
      <c r="X916" s="13"/>
      <c r="Y916" s="13"/>
      <c r="Z916" s="13"/>
      <c r="AA916" s="13"/>
      <c r="AB916" s="13"/>
      <c r="AC916" s="13"/>
      <c r="AD916" s="13"/>
      <c r="AE916" s="13"/>
    </row>
    <row r="917" spans="1:31" ht="21" x14ac:dyDescent="0.4">
      <c r="A917" s="210"/>
      <c r="B917" s="108">
        <v>907</v>
      </c>
      <c r="C917" s="297">
        <v>2084.1279507118725</v>
      </c>
      <c r="D917" s="297">
        <v>3576.6168053060774</v>
      </c>
      <c r="E917" s="297">
        <v>18.161191783935315</v>
      </c>
      <c r="F917" s="297">
        <v>12.123252582788728</v>
      </c>
      <c r="G917" s="322">
        <v>-1492.4888545942049</v>
      </c>
      <c r="H917" s="322">
        <v>6.0379392011465871</v>
      </c>
      <c r="I917" s="322">
        <v>-247.18514129966491</v>
      </c>
      <c r="K917" s="223">
        <f t="shared" si="55"/>
        <v>1087587.3790854071</v>
      </c>
      <c r="L917" s="223">
        <f t="shared" si="55"/>
        <v>723818.53816201759</v>
      </c>
      <c r="M917" s="114">
        <f t="shared" si="56"/>
        <v>1</v>
      </c>
      <c r="N917" s="114">
        <f t="shared" si="57"/>
        <v>0</v>
      </c>
      <c r="T917" s="12"/>
      <c r="U917" s="210"/>
      <c r="V917" s="13"/>
      <c r="W917" s="13"/>
      <c r="X917" s="13"/>
      <c r="Y917" s="13"/>
      <c r="Z917" s="13"/>
      <c r="AA917" s="13"/>
      <c r="AB917" s="13"/>
      <c r="AC917" s="13"/>
      <c r="AD917" s="13"/>
      <c r="AE917" s="13"/>
    </row>
    <row r="918" spans="1:31" ht="21" x14ac:dyDescent="0.4">
      <c r="A918" s="210"/>
      <c r="B918" s="108">
        <v>908</v>
      </c>
      <c r="C918" s="297">
        <v>2073.990363233981</v>
      </c>
      <c r="D918" s="297">
        <v>2806.4090203565211</v>
      </c>
      <c r="E918" s="297">
        <v>20.265485814485039</v>
      </c>
      <c r="F918" s="297">
        <v>15.162762401881443</v>
      </c>
      <c r="G918" s="322">
        <v>-732.41865712254003</v>
      </c>
      <c r="H918" s="322">
        <v>5.1027234126035967</v>
      </c>
      <c r="I918" s="322">
        <v>-143.53485343012804</v>
      </c>
      <c r="K918" s="223">
        <f t="shared" si="55"/>
        <v>1213855.1585058684</v>
      </c>
      <c r="L918" s="223">
        <f t="shared" si="55"/>
        <v>906959.33509253012</v>
      </c>
      <c r="M918" s="114">
        <f t="shared" si="56"/>
        <v>1</v>
      </c>
      <c r="N918" s="114">
        <f t="shared" si="57"/>
        <v>0</v>
      </c>
      <c r="T918" s="12"/>
      <c r="U918" s="210"/>
      <c r="V918" s="13"/>
      <c r="W918" s="13"/>
      <c r="X918" s="13"/>
      <c r="Y918" s="13"/>
      <c r="Z918" s="13"/>
      <c r="AA918" s="13"/>
      <c r="AB918" s="13"/>
      <c r="AC918" s="13"/>
      <c r="AD918" s="13"/>
      <c r="AE918" s="13"/>
    </row>
    <row r="919" spans="1:31" ht="21" x14ac:dyDescent="0.4">
      <c r="A919" s="210"/>
      <c r="B919" s="108">
        <v>909</v>
      </c>
      <c r="C919" s="297">
        <v>2040.408646339801</v>
      </c>
      <c r="D919" s="297">
        <v>2657.0963506784028</v>
      </c>
      <c r="E919" s="297">
        <v>18.396517968934283</v>
      </c>
      <c r="F919" s="297">
        <v>12.739126416771793</v>
      </c>
      <c r="G919" s="322">
        <v>-616.68770433860186</v>
      </c>
      <c r="H919" s="322">
        <v>5.6573915521624905</v>
      </c>
      <c r="I919" s="322">
        <v>-109.0056607630204</v>
      </c>
      <c r="K919" s="223">
        <f t="shared" si="55"/>
        <v>1101750.6694897171</v>
      </c>
      <c r="L919" s="223">
        <f t="shared" si="55"/>
        <v>761690.48865562922</v>
      </c>
      <c r="M919" s="114">
        <f t="shared" si="56"/>
        <v>1</v>
      </c>
      <c r="N919" s="114">
        <f t="shared" si="57"/>
        <v>0</v>
      </c>
      <c r="T919" s="12"/>
      <c r="U919" s="210"/>
      <c r="V919" s="13"/>
      <c r="W919" s="13"/>
      <c r="X919" s="13"/>
      <c r="Y919" s="13"/>
      <c r="Z919" s="13"/>
      <c r="AA919" s="13"/>
      <c r="AB919" s="13"/>
      <c r="AC919" s="13"/>
      <c r="AD919" s="13"/>
      <c r="AE919" s="13"/>
    </row>
    <row r="920" spans="1:31" ht="21" x14ac:dyDescent="0.4">
      <c r="A920" s="210"/>
      <c r="B920" s="108">
        <v>910</v>
      </c>
      <c r="C920" s="297">
        <v>2093.7183152740718</v>
      </c>
      <c r="D920" s="297">
        <v>3245.6010103732242</v>
      </c>
      <c r="E920" s="297">
        <v>17.623934760073421</v>
      </c>
      <c r="F920" s="297">
        <v>12.926555708935981</v>
      </c>
      <c r="G920" s="322">
        <v>-1151.8826950991524</v>
      </c>
      <c r="H920" s="322">
        <v>4.6973790511374407</v>
      </c>
      <c r="I920" s="322">
        <v>-245.218170081512</v>
      </c>
      <c r="K920" s="223">
        <f t="shared" si="55"/>
        <v>1055342.3672891313</v>
      </c>
      <c r="L920" s="223">
        <f t="shared" si="55"/>
        <v>772347.74152578565</v>
      </c>
      <c r="M920" s="114">
        <f t="shared" si="56"/>
        <v>1</v>
      </c>
      <c r="N920" s="114">
        <f t="shared" si="57"/>
        <v>0</v>
      </c>
      <c r="T920" s="12"/>
      <c r="U920" s="210"/>
      <c r="V920" s="13"/>
      <c r="W920" s="13"/>
      <c r="X920" s="13"/>
      <c r="Y920" s="13"/>
      <c r="Z920" s="13"/>
      <c r="AA920" s="13"/>
      <c r="AB920" s="13"/>
      <c r="AC920" s="13"/>
      <c r="AD920" s="13"/>
      <c r="AE920" s="13"/>
    </row>
    <row r="921" spans="1:31" ht="21" x14ac:dyDescent="0.4">
      <c r="A921" s="210"/>
      <c r="B921" s="108">
        <v>911</v>
      </c>
      <c r="C921" s="297">
        <v>2093.1873262189802</v>
      </c>
      <c r="D921" s="297">
        <v>2816.2802020811619</v>
      </c>
      <c r="E921" s="297">
        <v>19.681411672217475</v>
      </c>
      <c r="F921" s="297">
        <v>14.088763718797379</v>
      </c>
      <c r="G921" s="322">
        <v>-723.0928758621817</v>
      </c>
      <c r="H921" s="322">
        <v>5.5926479534200961</v>
      </c>
      <c r="I921" s="322">
        <v>-129.29347276722211</v>
      </c>
      <c r="K921" s="223">
        <f t="shared" si="55"/>
        <v>1178791.5130068297</v>
      </c>
      <c r="L921" s="223">
        <f t="shared" si="55"/>
        <v>842509.54292576155</v>
      </c>
      <c r="M921" s="114">
        <f t="shared" si="56"/>
        <v>1</v>
      </c>
      <c r="N921" s="114">
        <f t="shared" si="57"/>
        <v>0</v>
      </c>
      <c r="T921" s="12"/>
      <c r="U921" s="210"/>
      <c r="V921" s="13"/>
      <c r="W921" s="13"/>
      <c r="X921" s="13"/>
      <c r="Y921" s="13"/>
      <c r="Z921" s="13"/>
      <c r="AA921" s="13"/>
      <c r="AB921" s="13"/>
      <c r="AC921" s="13"/>
      <c r="AD921" s="13"/>
      <c r="AE921" s="13"/>
    </row>
    <row r="922" spans="1:31" ht="21" x14ac:dyDescent="0.4">
      <c r="A922" s="210"/>
      <c r="B922" s="108">
        <v>912</v>
      </c>
      <c r="C922" s="297">
        <v>2494.1541423402487</v>
      </c>
      <c r="D922" s="297">
        <v>3693.4627456601929</v>
      </c>
      <c r="E922" s="297">
        <v>19.048168173450762</v>
      </c>
      <c r="F922" s="297">
        <v>13.456981249416078</v>
      </c>
      <c r="G922" s="322">
        <v>-1199.3086033199443</v>
      </c>
      <c r="H922" s="322">
        <v>5.5911869240346839</v>
      </c>
      <c r="I922" s="322">
        <v>-214.49982259840192</v>
      </c>
      <c r="K922" s="223">
        <f t="shared" si="55"/>
        <v>1140395.9362647056</v>
      </c>
      <c r="L922" s="223">
        <f t="shared" si="55"/>
        <v>803725.41221930448</v>
      </c>
      <c r="M922" s="114">
        <f t="shared" si="56"/>
        <v>1</v>
      </c>
      <c r="N922" s="114">
        <f t="shared" si="57"/>
        <v>0</v>
      </c>
      <c r="T922" s="12"/>
      <c r="U922" s="210"/>
      <c r="V922" s="13"/>
      <c r="W922" s="13"/>
      <c r="X922" s="13"/>
      <c r="Y922" s="13"/>
      <c r="Z922" s="13"/>
      <c r="AA922" s="13"/>
      <c r="AB922" s="13"/>
      <c r="AC922" s="13"/>
      <c r="AD922" s="13"/>
      <c r="AE922" s="13"/>
    </row>
    <row r="923" spans="1:31" ht="21" x14ac:dyDescent="0.4">
      <c r="A923" s="210"/>
      <c r="B923" s="108">
        <v>913</v>
      </c>
      <c r="C923" s="297">
        <v>2031.1948728743528</v>
      </c>
      <c r="D923" s="297">
        <v>2943.4593288383976</v>
      </c>
      <c r="E923" s="297">
        <v>16.897864803277372</v>
      </c>
      <c r="F923" s="297">
        <v>12.293074274749415</v>
      </c>
      <c r="G923" s="322">
        <v>-912.26445596404483</v>
      </c>
      <c r="H923" s="322">
        <v>4.6047905285279569</v>
      </c>
      <c r="I923" s="322">
        <v>-198.11204229862639</v>
      </c>
      <c r="K923" s="223">
        <f t="shared" si="55"/>
        <v>1011840.693323768</v>
      </c>
      <c r="L923" s="223">
        <f t="shared" si="55"/>
        <v>734640.99715612654</v>
      </c>
      <c r="M923" s="114">
        <f t="shared" si="56"/>
        <v>1</v>
      </c>
      <c r="N923" s="114">
        <f t="shared" si="57"/>
        <v>0</v>
      </c>
      <c r="T923" s="12"/>
      <c r="U923" s="210"/>
      <c r="V923" s="13"/>
      <c r="W923" s="13"/>
      <c r="X923" s="13"/>
      <c r="Y923" s="13"/>
      <c r="Z923" s="13"/>
      <c r="AA923" s="13"/>
      <c r="AB923" s="13"/>
      <c r="AC923" s="13"/>
      <c r="AD923" s="13"/>
      <c r="AE923" s="13"/>
    </row>
    <row r="924" spans="1:31" ht="21" x14ac:dyDescent="0.4">
      <c r="A924" s="210"/>
      <c r="B924" s="108">
        <v>914</v>
      </c>
      <c r="C924" s="297">
        <v>2032.182590028689</v>
      </c>
      <c r="D924" s="297">
        <v>2925.0474850527166</v>
      </c>
      <c r="E924" s="297">
        <v>16.911558752841863</v>
      </c>
      <c r="F924" s="297">
        <v>11.990298610655318</v>
      </c>
      <c r="G924" s="322">
        <v>-892.86489502402765</v>
      </c>
      <c r="H924" s="322">
        <v>4.9212601421865454</v>
      </c>
      <c r="I924" s="322">
        <v>-181.43013562118307</v>
      </c>
      <c r="K924" s="223">
        <f t="shared" si="55"/>
        <v>1012661.3425804831</v>
      </c>
      <c r="L924" s="223">
        <f t="shared" si="55"/>
        <v>716492.86915426631</v>
      </c>
      <c r="M924" s="114">
        <f t="shared" si="56"/>
        <v>1</v>
      </c>
      <c r="N924" s="114">
        <f t="shared" si="57"/>
        <v>0</v>
      </c>
      <c r="T924" s="12"/>
      <c r="U924" s="210"/>
      <c r="V924" s="13"/>
      <c r="W924" s="13"/>
      <c r="X924" s="13"/>
      <c r="Y924" s="13"/>
      <c r="Z924" s="13"/>
      <c r="AA924" s="13"/>
      <c r="AB924" s="13"/>
      <c r="AC924" s="13"/>
      <c r="AD924" s="13"/>
      <c r="AE924" s="13"/>
    </row>
    <row r="925" spans="1:31" ht="21" x14ac:dyDescent="0.4">
      <c r="A925" s="210"/>
      <c r="B925" s="108">
        <v>915</v>
      </c>
      <c r="C925" s="297">
        <v>2052.8233540313881</v>
      </c>
      <c r="D925" s="297">
        <v>3322.9243355141662</v>
      </c>
      <c r="E925" s="297">
        <v>16.568298673561877</v>
      </c>
      <c r="F925" s="297">
        <v>10.862572293564583</v>
      </c>
      <c r="G925" s="322">
        <v>-1270.100981482778</v>
      </c>
      <c r="H925" s="322">
        <v>5.7057263799972944</v>
      </c>
      <c r="I925" s="322">
        <v>-222.60110227777525</v>
      </c>
      <c r="K925" s="223">
        <f t="shared" si="55"/>
        <v>992045.0970596812</v>
      </c>
      <c r="L925" s="223">
        <f t="shared" si="55"/>
        <v>648431.41327836073</v>
      </c>
      <c r="M925" s="114">
        <f t="shared" si="56"/>
        <v>1</v>
      </c>
      <c r="N925" s="114">
        <f t="shared" si="57"/>
        <v>0</v>
      </c>
      <c r="T925" s="12"/>
      <c r="U925" s="210"/>
      <c r="V925" s="13"/>
      <c r="W925" s="13"/>
      <c r="X925" s="13"/>
      <c r="Y925" s="13"/>
      <c r="Z925" s="13"/>
      <c r="AA925" s="13"/>
      <c r="AB925" s="13"/>
      <c r="AC925" s="13"/>
      <c r="AD925" s="13"/>
      <c r="AE925" s="13"/>
    </row>
    <row r="926" spans="1:31" ht="21" x14ac:dyDescent="0.4">
      <c r="A926" s="210"/>
      <c r="B926" s="108">
        <v>916</v>
      </c>
      <c r="C926" s="297">
        <v>2268.4095297720851</v>
      </c>
      <c r="D926" s="297">
        <v>3589.2441451522791</v>
      </c>
      <c r="E926" s="297">
        <v>21.637726879825053</v>
      </c>
      <c r="F926" s="297">
        <v>15.444732823175434</v>
      </c>
      <c r="G926" s="322">
        <v>-1320.834615380194</v>
      </c>
      <c r="H926" s="322">
        <v>6.1929940566496189</v>
      </c>
      <c r="I926" s="322">
        <v>-213.27884433571691</v>
      </c>
      <c r="K926" s="223">
        <f t="shared" si="55"/>
        <v>1295995.2032597309</v>
      </c>
      <c r="L926" s="223">
        <f t="shared" si="55"/>
        <v>923094.72524537379</v>
      </c>
      <c r="M926" s="114">
        <f t="shared" si="56"/>
        <v>1</v>
      </c>
      <c r="N926" s="114">
        <f t="shared" si="57"/>
        <v>0</v>
      </c>
      <c r="T926" s="12"/>
      <c r="U926" s="210"/>
      <c r="V926" s="13"/>
      <c r="W926" s="13"/>
      <c r="X926" s="13"/>
      <c r="Y926" s="13"/>
      <c r="Z926" s="13"/>
      <c r="AA926" s="13"/>
      <c r="AB926" s="13"/>
      <c r="AC926" s="13"/>
      <c r="AD926" s="13"/>
      <c r="AE926" s="13"/>
    </row>
    <row r="927" spans="1:31" ht="21" x14ac:dyDescent="0.4">
      <c r="A927" s="210"/>
      <c r="B927" s="108">
        <v>917</v>
      </c>
      <c r="C927" s="297">
        <v>2064.8508202304811</v>
      </c>
      <c r="D927" s="297">
        <v>2945.0128023147454</v>
      </c>
      <c r="E927" s="297">
        <v>20.231653117210939</v>
      </c>
      <c r="F927" s="297">
        <v>15.779450744405441</v>
      </c>
      <c r="G927" s="322">
        <v>-880.16198208426431</v>
      </c>
      <c r="H927" s="322">
        <v>4.4522023728054982</v>
      </c>
      <c r="I927" s="322">
        <v>-197.69136898636563</v>
      </c>
      <c r="K927" s="223">
        <f t="shared" si="55"/>
        <v>1211834.3362124257</v>
      </c>
      <c r="L927" s="223">
        <f t="shared" si="55"/>
        <v>943822.03186201176</v>
      </c>
      <c r="M927" s="114">
        <f t="shared" si="56"/>
        <v>1</v>
      </c>
      <c r="N927" s="114">
        <f t="shared" si="57"/>
        <v>0</v>
      </c>
      <c r="T927" s="12"/>
      <c r="U927" s="210"/>
      <c r="V927" s="13"/>
      <c r="W927" s="13"/>
      <c r="X927" s="13"/>
      <c r="Y927" s="13"/>
      <c r="Z927" s="13"/>
      <c r="AA927" s="13"/>
      <c r="AB927" s="13"/>
      <c r="AC927" s="13"/>
      <c r="AD927" s="13"/>
      <c r="AE927" s="13"/>
    </row>
    <row r="928" spans="1:31" ht="21" x14ac:dyDescent="0.4">
      <c r="A928" s="210"/>
      <c r="B928" s="108">
        <v>918</v>
      </c>
      <c r="C928" s="297">
        <v>2020.8139541498967</v>
      </c>
      <c r="D928" s="297">
        <v>3100.9108091380594</v>
      </c>
      <c r="E928" s="297">
        <v>18.709517627793076</v>
      </c>
      <c r="F928" s="297">
        <v>13.71448748028709</v>
      </c>
      <c r="G928" s="322">
        <v>-1080.0968549881627</v>
      </c>
      <c r="H928" s="322">
        <v>4.995030147505986</v>
      </c>
      <c r="I928" s="322">
        <v>-216.23430151416684</v>
      </c>
      <c r="K928" s="223">
        <f t="shared" si="55"/>
        <v>1120550.2437134348</v>
      </c>
      <c r="L928" s="223">
        <f t="shared" si="55"/>
        <v>819768.33800808736</v>
      </c>
      <c r="M928" s="114">
        <f t="shared" si="56"/>
        <v>1</v>
      </c>
      <c r="N928" s="114">
        <f t="shared" si="57"/>
        <v>0</v>
      </c>
      <c r="T928" s="12"/>
      <c r="U928" s="210"/>
      <c r="V928" s="13"/>
      <c r="W928" s="13"/>
      <c r="X928" s="13"/>
      <c r="Y928" s="13"/>
      <c r="Z928" s="13"/>
      <c r="AA928" s="13"/>
      <c r="AB928" s="13"/>
      <c r="AC928" s="13"/>
      <c r="AD928" s="13"/>
      <c r="AE928" s="13"/>
    </row>
    <row r="929" spans="1:31" ht="21" x14ac:dyDescent="0.4">
      <c r="A929" s="210"/>
      <c r="B929" s="108">
        <v>919</v>
      </c>
      <c r="C929" s="297">
        <v>1945.58943732942</v>
      </c>
      <c r="D929" s="297">
        <v>3044.2805901255092</v>
      </c>
      <c r="E929" s="297">
        <v>18.55202383254559</v>
      </c>
      <c r="F929" s="297">
        <v>13.780014917770607</v>
      </c>
      <c r="G929" s="322">
        <v>-1098.6911527960892</v>
      </c>
      <c r="H929" s="322">
        <v>4.7720089147749825</v>
      </c>
      <c r="I929" s="322">
        <v>-230.23660944855894</v>
      </c>
      <c r="K929" s="223">
        <f t="shared" si="55"/>
        <v>1111175.8405154059</v>
      </c>
      <c r="L929" s="223">
        <f t="shared" si="55"/>
        <v>823756.61447611102</v>
      </c>
      <c r="M929" s="114">
        <f t="shared" si="56"/>
        <v>1</v>
      </c>
      <c r="N929" s="114">
        <f t="shared" si="57"/>
        <v>0</v>
      </c>
      <c r="T929" s="12"/>
      <c r="U929" s="210"/>
      <c r="V929" s="13"/>
      <c r="W929" s="13"/>
      <c r="X929" s="13"/>
      <c r="Y929" s="13"/>
      <c r="Z929" s="13"/>
      <c r="AA929" s="13"/>
      <c r="AB929" s="13"/>
      <c r="AC929" s="13"/>
      <c r="AD929" s="13"/>
      <c r="AE929" s="13"/>
    </row>
    <row r="930" spans="1:31" ht="21" x14ac:dyDescent="0.4">
      <c r="A930" s="210"/>
      <c r="B930" s="108">
        <v>920</v>
      </c>
      <c r="C930" s="297">
        <v>2279.7257551807734</v>
      </c>
      <c r="D930" s="297">
        <v>2632.2298112663266</v>
      </c>
      <c r="E930" s="297">
        <v>18.525710059727309</v>
      </c>
      <c r="F930" s="297">
        <v>13.877710930261538</v>
      </c>
      <c r="G930" s="322">
        <v>-352.5040560855532</v>
      </c>
      <c r="H930" s="322">
        <v>4.6479991294657719</v>
      </c>
      <c r="I930" s="322">
        <v>-75.839957424017214</v>
      </c>
      <c r="K930" s="223">
        <f t="shared" si="55"/>
        <v>1109262.8778284579</v>
      </c>
      <c r="L930" s="223">
        <f t="shared" si="55"/>
        <v>830030.42600442597</v>
      </c>
      <c r="M930" s="114">
        <f t="shared" si="56"/>
        <v>1</v>
      </c>
      <c r="N930" s="114">
        <f t="shared" si="57"/>
        <v>0</v>
      </c>
      <c r="T930" s="12"/>
      <c r="U930" s="210"/>
      <c r="V930" s="13"/>
      <c r="W930" s="13"/>
      <c r="X930" s="13"/>
      <c r="Y930" s="13"/>
      <c r="Z930" s="13"/>
      <c r="AA930" s="13"/>
      <c r="AB930" s="13"/>
      <c r="AC930" s="13"/>
      <c r="AD930" s="13"/>
      <c r="AE930" s="13"/>
    </row>
    <row r="931" spans="1:31" ht="21" x14ac:dyDescent="0.4">
      <c r="A931" s="210"/>
      <c r="B931" s="108">
        <v>921</v>
      </c>
      <c r="C931" s="297">
        <v>2521.4594302806527</v>
      </c>
      <c r="D931" s="297">
        <v>3551.9612410336767</v>
      </c>
      <c r="E931" s="297">
        <v>19.9028215399121</v>
      </c>
      <c r="F931" s="297">
        <v>14.693101155517406</v>
      </c>
      <c r="G931" s="322">
        <v>-1030.5018107530241</v>
      </c>
      <c r="H931" s="322">
        <v>5.2097203843946946</v>
      </c>
      <c r="I931" s="322">
        <v>-197.80366981686979</v>
      </c>
      <c r="K931" s="223">
        <f t="shared" si="55"/>
        <v>1191647.8329644455</v>
      </c>
      <c r="L931" s="223">
        <f t="shared" si="55"/>
        <v>878034.1080900107</v>
      </c>
      <c r="M931" s="114">
        <f t="shared" si="56"/>
        <v>1</v>
      </c>
      <c r="N931" s="114">
        <f t="shared" si="57"/>
        <v>0</v>
      </c>
      <c r="T931" s="12"/>
      <c r="U931" s="210"/>
      <c r="V931" s="13"/>
      <c r="W931" s="13"/>
      <c r="X931" s="13"/>
      <c r="Y931" s="13"/>
      <c r="Z931" s="13"/>
      <c r="AA931" s="13"/>
      <c r="AB931" s="13"/>
      <c r="AC931" s="13"/>
      <c r="AD931" s="13"/>
      <c r="AE931" s="13"/>
    </row>
    <row r="932" spans="1:31" ht="21" x14ac:dyDescent="0.4">
      <c r="A932" s="210"/>
      <c r="B932" s="108">
        <v>922</v>
      </c>
      <c r="C932" s="297">
        <v>2016.6134903205568</v>
      </c>
      <c r="D932" s="297">
        <v>2712.5965409199152</v>
      </c>
      <c r="E932" s="297">
        <v>16.345864776076755</v>
      </c>
      <c r="F932" s="297">
        <v>11.482007992191729</v>
      </c>
      <c r="G932" s="322">
        <v>-695.98305059935842</v>
      </c>
      <c r="H932" s="322">
        <v>4.8638567838850264</v>
      </c>
      <c r="I932" s="322">
        <v>-143.09283384027583</v>
      </c>
      <c r="K932" s="223">
        <f t="shared" si="55"/>
        <v>978735.27307428478</v>
      </c>
      <c r="L932" s="223">
        <f t="shared" si="55"/>
        <v>686207.88299058378</v>
      </c>
      <c r="M932" s="114">
        <f t="shared" si="56"/>
        <v>1</v>
      </c>
      <c r="N932" s="114">
        <f t="shared" si="57"/>
        <v>0</v>
      </c>
      <c r="T932" s="12"/>
      <c r="U932" s="210"/>
      <c r="V932" s="13"/>
      <c r="W932" s="13"/>
      <c r="X932" s="13"/>
      <c r="Y932" s="13"/>
      <c r="Z932" s="13"/>
      <c r="AA932" s="13"/>
      <c r="AB932" s="13"/>
      <c r="AC932" s="13"/>
      <c r="AD932" s="13"/>
      <c r="AE932" s="13"/>
    </row>
    <row r="933" spans="1:31" ht="21" x14ac:dyDescent="0.4">
      <c r="A933" s="210"/>
      <c r="B933" s="108">
        <v>923</v>
      </c>
      <c r="C933" s="297">
        <v>2309.1138405060756</v>
      </c>
      <c r="D933" s="297">
        <v>3320.4847928501799</v>
      </c>
      <c r="E933" s="297">
        <v>20.720878626652716</v>
      </c>
      <c r="F933" s="297">
        <v>14.915895455550395</v>
      </c>
      <c r="G933" s="322">
        <v>-1011.3709523441044</v>
      </c>
      <c r="H933" s="322">
        <v>5.8049831711023216</v>
      </c>
      <c r="I933" s="322">
        <v>-174.22461401417857</v>
      </c>
      <c r="K933" s="223">
        <f t="shared" si="55"/>
        <v>1240943.6037586569</v>
      </c>
      <c r="L933" s="223">
        <f t="shared" si="55"/>
        <v>891633.24254017347</v>
      </c>
      <c r="M933" s="114">
        <f t="shared" si="56"/>
        <v>1</v>
      </c>
      <c r="N933" s="114">
        <f t="shared" si="57"/>
        <v>0</v>
      </c>
      <c r="T933" s="12"/>
      <c r="U933" s="210"/>
      <c r="V933" s="13"/>
      <c r="W933" s="13"/>
      <c r="X933" s="13"/>
      <c r="Y933" s="13"/>
      <c r="Z933" s="13"/>
      <c r="AA933" s="13"/>
      <c r="AB933" s="13"/>
      <c r="AC933" s="13"/>
      <c r="AD933" s="13"/>
      <c r="AE933" s="13"/>
    </row>
    <row r="934" spans="1:31" ht="21" x14ac:dyDescent="0.4">
      <c r="A934" s="210"/>
      <c r="B934" s="108">
        <v>924</v>
      </c>
      <c r="C934" s="297">
        <v>1888.3779996021972</v>
      </c>
      <c r="D934" s="297">
        <v>3085.100750931801</v>
      </c>
      <c r="E934" s="297">
        <v>19.443330231643788</v>
      </c>
      <c r="F934" s="297">
        <v>14.327995907306443</v>
      </c>
      <c r="G934" s="322">
        <v>-1196.7227513296039</v>
      </c>
      <c r="H934" s="322">
        <v>5.1153343243373453</v>
      </c>
      <c r="I934" s="322">
        <v>-233.94810103338273</v>
      </c>
      <c r="K934" s="223">
        <f t="shared" si="55"/>
        <v>1164711.4358990251</v>
      </c>
      <c r="L934" s="223">
        <f t="shared" si="55"/>
        <v>856594.65368745476</v>
      </c>
      <c r="M934" s="114">
        <f t="shared" si="56"/>
        <v>1</v>
      </c>
      <c r="N934" s="114">
        <f t="shared" si="57"/>
        <v>0</v>
      </c>
      <c r="T934" s="12"/>
      <c r="U934" s="210"/>
      <c r="V934" s="13"/>
      <c r="W934" s="13"/>
      <c r="X934" s="13"/>
      <c r="Y934" s="13"/>
      <c r="Z934" s="13"/>
      <c r="AA934" s="13"/>
      <c r="AB934" s="13"/>
      <c r="AC934" s="13"/>
      <c r="AD934" s="13"/>
      <c r="AE934" s="13"/>
    </row>
    <row r="935" spans="1:31" ht="21" x14ac:dyDescent="0.4">
      <c r="A935" s="210"/>
      <c r="B935" s="108">
        <v>925</v>
      </c>
      <c r="C935" s="297">
        <v>1962.0791608171617</v>
      </c>
      <c r="D935" s="297">
        <v>3418.3187663824701</v>
      </c>
      <c r="E935" s="297">
        <v>18.592638841715758</v>
      </c>
      <c r="F935" s="297">
        <v>13.122603931246489</v>
      </c>
      <c r="G935" s="322">
        <v>-1456.2396055653085</v>
      </c>
      <c r="H935" s="322">
        <v>5.470034910469268</v>
      </c>
      <c r="I935" s="322">
        <v>-266.22126355686811</v>
      </c>
      <c r="K935" s="223">
        <f t="shared" si="55"/>
        <v>1113596.2513421283</v>
      </c>
      <c r="L935" s="223">
        <f t="shared" si="55"/>
        <v>783937.91710840689</v>
      </c>
      <c r="M935" s="114">
        <f t="shared" si="56"/>
        <v>1</v>
      </c>
      <c r="N935" s="114">
        <f t="shared" si="57"/>
        <v>0</v>
      </c>
      <c r="T935" s="12"/>
      <c r="U935" s="210"/>
      <c r="V935" s="13"/>
      <c r="W935" s="13"/>
      <c r="X935" s="13"/>
      <c r="Y935" s="13"/>
      <c r="Z935" s="13"/>
      <c r="AA935" s="13"/>
      <c r="AB935" s="13"/>
      <c r="AC935" s="13"/>
      <c r="AD935" s="13"/>
      <c r="AE935" s="13"/>
    </row>
    <row r="936" spans="1:31" ht="21" x14ac:dyDescent="0.4">
      <c r="A936" s="210"/>
      <c r="B936" s="108">
        <v>926</v>
      </c>
      <c r="C936" s="297">
        <v>1885.2074858715723</v>
      </c>
      <c r="D936" s="297">
        <v>2702.2244799393247</v>
      </c>
      <c r="E936" s="297">
        <v>19.135606839520868</v>
      </c>
      <c r="F936" s="297">
        <v>15.096993381052217</v>
      </c>
      <c r="G936" s="322">
        <v>-817.01699406775242</v>
      </c>
      <c r="H936" s="322">
        <v>4.0386134584686513</v>
      </c>
      <c r="I936" s="322">
        <v>-202.30135972892697</v>
      </c>
      <c r="K936" s="223">
        <f t="shared" si="55"/>
        <v>1146251.2028853805</v>
      </c>
      <c r="L936" s="223">
        <f t="shared" si="55"/>
        <v>903117.37838319363</v>
      </c>
      <c r="M936" s="114">
        <f t="shared" si="56"/>
        <v>1</v>
      </c>
      <c r="N936" s="114">
        <f t="shared" si="57"/>
        <v>0</v>
      </c>
      <c r="T936" s="12"/>
      <c r="U936" s="210"/>
      <c r="V936" s="13"/>
      <c r="W936" s="13"/>
      <c r="X936" s="13"/>
      <c r="Y936" s="13"/>
      <c r="Z936" s="13"/>
      <c r="AA936" s="13"/>
      <c r="AB936" s="13"/>
      <c r="AC936" s="13"/>
      <c r="AD936" s="13"/>
      <c r="AE936" s="13"/>
    </row>
    <row r="937" spans="1:31" ht="21" x14ac:dyDescent="0.4">
      <c r="A937" s="210"/>
      <c r="B937" s="108">
        <v>927</v>
      </c>
      <c r="C937" s="297">
        <v>2475.4372168758991</v>
      </c>
      <c r="D937" s="297">
        <v>3746.2926964556905</v>
      </c>
      <c r="E937" s="297">
        <v>17.092737881792292</v>
      </c>
      <c r="F937" s="297">
        <v>12.269769633025472</v>
      </c>
      <c r="G937" s="322">
        <v>-1270.8554795797913</v>
      </c>
      <c r="H937" s="322">
        <v>4.82296824876682</v>
      </c>
      <c r="I937" s="322">
        <v>-263.50069376980349</v>
      </c>
      <c r="K937" s="223">
        <f t="shared" si="55"/>
        <v>1023088.8356906617</v>
      </c>
      <c r="L937" s="223">
        <f t="shared" si="55"/>
        <v>732439.88528507261</v>
      </c>
      <c r="M937" s="114">
        <f t="shared" si="56"/>
        <v>1</v>
      </c>
      <c r="N937" s="114">
        <f t="shared" si="57"/>
        <v>0</v>
      </c>
      <c r="T937" s="12"/>
      <c r="U937" s="210"/>
      <c r="V937" s="13"/>
      <c r="W937" s="13"/>
      <c r="X937" s="13"/>
      <c r="Y937" s="13"/>
      <c r="Z937" s="13"/>
      <c r="AA937" s="13"/>
      <c r="AB937" s="13"/>
      <c r="AC937" s="13"/>
      <c r="AD937" s="13"/>
      <c r="AE937" s="13"/>
    </row>
    <row r="938" spans="1:31" ht="21" x14ac:dyDescent="0.4">
      <c r="A938" s="210"/>
      <c r="B938" s="108">
        <v>928</v>
      </c>
      <c r="C938" s="297">
        <v>1868.2302258151417</v>
      </c>
      <c r="D938" s="297">
        <v>2894.5041128476119</v>
      </c>
      <c r="E938" s="297">
        <v>17.940374963502109</v>
      </c>
      <c r="F938" s="297">
        <v>13.004197037044452</v>
      </c>
      <c r="G938" s="322">
        <v>-1026.2738870324702</v>
      </c>
      <c r="H938" s="322">
        <v>4.9361779264576562</v>
      </c>
      <c r="I938" s="322">
        <v>-207.90860911469494</v>
      </c>
      <c r="K938" s="223">
        <f t="shared" si="55"/>
        <v>1074554.2675843113</v>
      </c>
      <c r="L938" s="223">
        <f t="shared" si="55"/>
        <v>777357.31810981955</v>
      </c>
      <c r="M938" s="114">
        <f t="shared" si="56"/>
        <v>1</v>
      </c>
      <c r="N938" s="114">
        <f t="shared" si="57"/>
        <v>0</v>
      </c>
      <c r="T938" s="12"/>
      <c r="U938" s="210"/>
      <c r="V938" s="13"/>
      <c r="W938" s="13"/>
      <c r="X938" s="13"/>
      <c r="Y938" s="13"/>
      <c r="Z938" s="13"/>
      <c r="AA938" s="13"/>
      <c r="AB938" s="13"/>
      <c r="AC938" s="13"/>
      <c r="AD938" s="13"/>
      <c r="AE938" s="13"/>
    </row>
    <row r="939" spans="1:31" ht="21" x14ac:dyDescent="0.4">
      <c r="A939" s="210"/>
      <c r="B939" s="108">
        <v>929</v>
      </c>
      <c r="C939" s="297">
        <v>2146.8248826355043</v>
      </c>
      <c r="D939" s="297">
        <v>3091.1367150933374</v>
      </c>
      <c r="E939" s="297">
        <v>19.659881239730556</v>
      </c>
      <c r="F939" s="297">
        <v>14.458437281336712</v>
      </c>
      <c r="G939" s="322">
        <v>-944.31183245783313</v>
      </c>
      <c r="H939" s="322">
        <v>5.2014439583938437</v>
      </c>
      <c r="I939" s="322">
        <v>-181.54801628381432</v>
      </c>
      <c r="K939" s="223">
        <f t="shared" si="55"/>
        <v>1177446.0495011976</v>
      </c>
      <c r="L939" s="223">
        <f t="shared" si="55"/>
        <v>864415.10016510938</v>
      </c>
      <c r="M939" s="114">
        <f t="shared" si="56"/>
        <v>1</v>
      </c>
      <c r="N939" s="114">
        <f t="shared" si="57"/>
        <v>0</v>
      </c>
      <c r="T939" s="12"/>
      <c r="U939" s="210"/>
      <c r="V939" s="13"/>
      <c r="W939" s="13"/>
      <c r="X939" s="13"/>
      <c r="Y939" s="13"/>
      <c r="Z939" s="13"/>
      <c r="AA939" s="13"/>
      <c r="AB939" s="13"/>
      <c r="AC939" s="13"/>
      <c r="AD939" s="13"/>
      <c r="AE939" s="13"/>
    </row>
    <row r="940" spans="1:31" ht="21" x14ac:dyDescent="0.4">
      <c r="A940" s="210"/>
      <c r="B940" s="108">
        <v>930</v>
      </c>
      <c r="C940" s="297">
        <v>2228.5162542798098</v>
      </c>
      <c r="D940" s="297">
        <v>3520.5866159029874</v>
      </c>
      <c r="E940" s="297">
        <v>18.674752023198561</v>
      </c>
      <c r="F940" s="297">
        <v>14.142415614169472</v>
      </c>
      <c r="G940" s="322">
        <v>-1292.0703616231776</v>
      </c>
      <c r="H940" s="322">
        <v>4.5323364090290887</v>
      </c>
      <c r="I940" s="322">
        <v>-285.0782124312708</v>
      </c>
      <c r="K940" s="223">
        <f t="shared" si="55"/>
        <v>1118256.6051376339</v>
      </c>
      <c r="L940" s="223">
        <f t="shared" si="55"/>
        <v>845024.35023426544</v>
      </c>
      <c r="M940" s="114">
        <f t="shared" si="56"/>
        <v>1</v>
      </c>
      <c r="N940" s="114">
        <f t="shared" si="57"/>
        <v>0</v>
      </c>
      <c r="T940" s="12"/>
      <c r="U940" s="210"/>
      <c r="V940" s="13"/>
      <c r="W940" s="13"/>
      <c r="X940" s="13"/>
      <c r="Y940" s="13"/>
      <c r="Z940" s="13"/>
      <c r="AA940" s="13"/>
      <c r="AB940" s="13"/>
      <c r="AC940" s="13"/>
      <c r="AD940" s="13"/>
      <c r="AE940" s="13"/>
    </row>
    <row r="941" spans="1:31" ht="21" x14ac:dyDescent="0.4">
      <c r="A941" s="210"/>
      <c r="B941" s="108">
        <v>931</v>
      </c>
      <c r="C941" s="297">
        <v>1828.1419476084966</v>
      </c>
      <c r="D941" s="297">
        <v>2970.1502907027543</v>
      </c>
      <c r="E941" s="297">
        <v>17.340521780725407</v>
      </c>
      <c r="F941" s="297">
        <v>12.99609238109524</v>
      </c>
      <c r="G941" s="322">
        <v>-1142.0083430942577</v>
      </c>
      <c r="H941" s="322">
        <v>4.3444293996301671</v>
      </c>
      <c r="I941" s="322">
        <v>-262.86728084279025</v>
      </c>
      <c r="K941" s="223">
        <f t="shared" si="55"/>
        <v>1038603.164895916</v>
      </c>
      <c r="L941" s="223">
        <f t="shared" si="55"/>
        <v>776795.39257501171</v>
      </c>
      <c r="M941" s="114">
        <f t="shared" si="56"/>
        <v>1</v>
      </c>
      <c r="N941" s="114">
        <f t="shared" si="57"/>
        <v>0</v>
      </c>
      <c r="T941" s="12"/>
      <c r="U941" s="210"/>
      <c r="V941" s="13"/>
      <c r="W941" s="13"/>
      <c r="X941" s="13"/>
      <c r="Y941" s="13"/>
      <c r="Z941" s="13"/>
      <c r="AA941" s="13"/>
      <c r="AB941" s="13"/>
      <c r="AC941" s="13"/>
      <c r="AD941" s="13"/>
      <c r="AE941" s="13"/>
    </row>
    <row r="942" spans="1:31" ht="21" x14ac:dyDescent="0.4">
      <c r="A942" s="210"/>
      <c r="B942" s="108">
        <v>932</v>
      </c>
      <c r="C942" s="297">
        <v>2076.9642075634374</v>
      </c>
      <c r="D942" s="297">
        <v>3064.2097380138703</v>
      </c>
      <c r="E942" s="297">
        <v>20.51200545262958</v>
      </c>
      <c r="F942" s="297">
        <v>15.553521065005917</v>
      </c>
      <c r="G942" s="322">
        <v>-987.24553045043285</v>
      </c>
      <c r="H942" s="322">
        <v>4.9584843876236633</v>
      </c>
      <c r="I942" s="322">
        <v>-199.10227667845231</v>
      </c>
      <c r="K942" s="223">
        <f t="shared" si="55"/>
        <v>1228643.3629502112</v>
      </c>
      <c r="L942" s="223">
        <f t="shared" si="55"/>
        <v>930147.05416234105</v>
      </c>
      <c r="M942" s="114">
        <f t="shared" si="56"/>
        <v>1</v>
      </c>
      <c r="N942" s="114">
        <f t="shared" si="57"/>
        <v>0</v>
      </c>
      <c r="T942" s="12"/>
      <c r="U942" s="210"/>
      <c r="V942" s="13"/>
      <c r="W942" s="13"/>
      <c r="X942" s="13"/>
      <c r="Y942" s="13"/>
      <c r="Z942" s="13"/>
      <c r="AA942" s="13"/>
      <c r="AB942" s="13"/>
      <c r="AC942" s="13"/>
      <c r="AD942" s="13"/>
      <c r="AE942" s="13"/>
    </row>
    <row r="943" spans="1:31" ht="21" x14ac:dyDescent="0.4">
      <c r="A943" s="210"/>
      <c r="B943" s="108">
        <v>933</v>
      </c>
      <c r="C943" s="297">
        <v>2323.7735187265039</v>
      </c>
      <c r="D943" s="297">
        <v>2897.9852774571928</v>
      </c>
      <c r="E943" s="297">
        <v>21.421313038667197</v>
      </c>
      <c r="F943" s="297">
        <v>14.287683522256048</v>
      </c>
      <c r="G943" s="322">
        <v>-574.21175873068887</v>
      </c>
      <c r="H943" s="322">
        <v>7.1336295164111494</v>
      </c>
      <c r="I943" s="322">
        <v>-80.493633347470009</v>
      </c>
      <c r="K943" s="223">
        <f t="shared" si="55"/>
        <v>1282955.0088013054</v>
      </c>
      <c r="L943" s="223">
        <f t="shared" si="55"/>
        <v>854363.02605790575</v>
      </c>
      <c r="M943" s="114">
        <f t="shared" si="56"/>
        <v>1</v>
      </c>
      <c r="N943" s="114">
        <f t="shared" si="57"/>
        <v>0</v>
      </c>
      <c r="T943" s="12"/>
      <c r="U943" s="210"/>
      <c r="V943" s="13"/>
      <c r="W943" s="13"/>
      <c r="X943" s="13"/>
      <c r="Y943" s="13"/>
      <c r="Z943" s="13"/>
      <c r="AA943" s="13"/>
      <c r="AB943" s="13"/>
      <c r="AC943" s="13"/>
      <c r="AD943" s="13"/>
      <c r="AE943" s="13"/>
    </row>
    <row r="944" spans="1:31" ht="21" x14ac:dyDescent="0.4">
      <c r="A944" s="210"/>
      <c r="B944" s="108">
        <v>934</v>
      </c>
      <c r="C944" s="297">
        <v>2397.6164856011528</v>
      </c>
      <c r="D944" s="297">
        <v>3332.4299267277192</v>
      </c>
      <c r="E944" s="297">
        <v>19.220682991793833</v>
      </c>
      <c r="F944" s="297">
        <v>13.155404960698693</v>
      </c>
      <c r="G944" s="322">
        <v>-934.81344112656643</v>
      </c>
      <c r="H944" s="322">
        <v>6.06527803109514</v>
      </c>
      <c r="I944" s="322">
        <v>-154.12540634312481</v>
      </c>
      <c r="K944" s="223">
        <f t="shared" si="55"/>
        <v>1150843.3630220289</v>
      </c>
      <c r="L944" s="223">
        <f t="shared" si="55"/>
        <v>785991.86771519389</v>
      </c>
      <c r="M944" s="114">
        <f t="shared" si="56"/>
        <v>1</v>
      </c>
      <c r="N944" s="114">
        <f t="shared" si="57"/>
        <v>0</v>
      </c>
      <c r="T944" s="12"/>
      <c r="U944" s="210"/>
      <c r="V944" s="13"/>
      <c r="W944" s="13"/>
      <c r="X944" s="13"/>
      <c r="Y944" s="13"/>
      <c r="Z944" s="13"/>
      <c r="AA944" s="13"/>
      <c r="AB944" s="13"/>
      <c r="AC944" s="13"/>
      <c r="AD944" s="13"/>
      <c r="AE944" s="13"/>
    </row>
    <row r="945" spans="1:31" ht="21" x14ac:dyDescent="0.4">
      <c r="A945" s="210"/>
      <c r="B945" s="108">
        <v>935</v>
      </c>
      <c r="C945" s="297">
        <v>1927.4768030125529</v>
      </c>
      <c r="D945" s="297">
        <v>2772.9282069208612</v>
      </c>
      <c r="E945" s="297">
        <v>17.81687935206093</v>
      </c>
      <c r="F945" s="297">
        <v>13.650834550009991</v>
      </c>
      <c r="G945" s="322">
        <v>-845.45140390830829</v>
      </c>
      <c r="H945" s="322">
        <v>4.1660448020509389</v>
      </c>
      <c r="I945" s="322">
        <v>-202.93862502200975</v>
      </c>
      <c r="K945" s="223">
        <f t="shared" si="55"/>
        <v>1067085.2843206432</v>
      </c>
      <c r="L945" s="223">
        <f t="shared" si="55"/>
        <v>816277.14479367866</v>
      </c>
      <c r="M945" s="114">
        <f t="shared" si="56"/>
        <v>1</v>
      </c>
      <c r="N945" s="114">
        <f t="shared" si="57"/>
        <v>0</v>
      </c>
      <c r="T945" s="12"/>
      <c r="U945" s="210"/>
      <c r="V945" s="13"/>
      <c r="W945" s="13"/>
      <c r="X945" s="13"/>
      <c r="Y945" s="13"/>
      <c r="Z945" s="13"/>
      <c r="AA945" s="13"/>
      <c r="AB945" s="13"/>
      <c r="AC945" s="13"/>
      <c r="AD945" s="13"/>
      <c r="AE945" s="13"/>
    </row>
    <row r="946" spans="1:31" ht="21" x14ac:dyDescent="0.4">
      <c r="A946" s="210"/>
      <c r="B946" s="108">
        <v>936</v>
      </c>
      <c r="C946" s="297">
        <v>1983.4510454395504</v>
      </c>
      <c r="D946" s="297">
        <v>2732.6947986294663</v>
      </c>
      <c r="E946" s="297">
        <v>19.883213665761161</v>
      </c>
      <c r="F946" s="297">
        <v>14.899411341903329</v>
      </c>
      <c r="G946" s="322">
        <v>-749.24375318991588</v>
      </c>
      <c r="H946" s="322">
        <v>4.983802323857832</v>
      </c>
      <c r="I946" s="322">
        <v>-150.33576865664</v>
      </c>
      <c r="K946" s="223">
        <f t="shared" si="55"/>
        <v>1191009.3689002302</v>
      </c>
      <c r="L946" s="223">
        <f t="shared" si="55"/>
        <v>891231.98571557028</v>
      </c>
      <c r="M946" s="114">
        <f t="shared" si="56"/>
        <v>1</v>
      </c>
      <c r="N946" s="114">
        <f t="shared" si="57"/>
        <v>0</v>
      </c>
      <c r="T946" s="12"/>
      <c r="U946" s="210"/>
      <c r="V946" s="13"/>
      <c r="W946" s="13"/>
      <c r="X946" s="13"/>
      <c r="Y946" s="13"/>
      <c r="Z946" s="13"/>
      <c r="AA946" s="13"/>
      <c r="AB946" s="13"/>
      <c r="AC946" s="13"/>
      <c r="AD946" s="13"/>
      <c r="AE946" s="13"/>
    </row>
    <row r="947" spans="1:31" ht="21" x14ac:dyDescent="0.4">
      <c r="A947" s="210"/>
      <c r="B947" s="108">
        <v>937</v>
      </c>
      <c r="C947" s="297">
        <v>2216.3839837714163</v>
      </c>
      <c r="D947" s="297">
        <v>3015.9114521203401</v>
      </c>
      <c r="E947" s="297">
        <v>19.066004277513063</v>
      </c>
      <c r="F947" s="297">
        <v>13.359696429760062</v>
      </c>
      <c r="G947" s="322">
        <v>-799.52746834892378</v>
      </c>
      <c r="H947" s="322">
        <v>5.7063078477530009</v>
      </c>
      <c r="I947" s="322">
        <v>-140.11292234500763</v>
      </c>
      <c r="K947" s="223">
        <f t="shared" si="55"/>
        <v>1141743.8726670125</v>
      </c>
      <c r="L947" s="223">
        <f t="shared" si="55"/>
        <v>798565.8743334834</v>
      </c>
      <c r="M947" s="114">
        <f t="shared" si="56"/>
        <v>1</v>
      </c>
      <c r="N947" s="114">
        <f t="shared" si="57"/>
        <v>0</v>
      </c>
      <c r="T947" s="12"/>
      <c r="U947" s="210"/>
      <c r="V947" s="13"/>
      <c r="W947" s="13"/>
      <c r="X947" s="13"/>
      <c r="Y947" s="13"/>
      <c r="Z947" s="13"/>
      <c r="AA947" s="13"/>
      <c r="AB947" s="13"/>
      <c r="AC947" s="13"/>
      <c r="AD947" s="13"/>
      <c r="AE947" s="13"/>
    </row>
    <row r="948" spans="1:31" ht="21" x14ac:dyDescent="0.4">
      <c r="A948" s="210"/>
      <c r="B948" s="108">
        <v>938</v>
      </c>
      <c r="C948" s="297">
        <v>2116.1163322023576</v>
      </c>
      <c r="D948" s="297">
        <v>2941.3957693301327</v>
      </c>
      <c r="E948" s="297">
        <v>19.387300431880792</v>
      </c>
      <c r="F948" s="297">
        <v>15.020550706408207</v>
      </c>
      <c r="G948" s="322">
        <v>-825.27943712777505</v>
      </c>
      <c r="H948" s="322">
        <v>4.3667497254725856</v>
      </c>
      <c r="I948" s="322">
        <v>-188.9916961152291</v>
      </c>
      <c r="K948" s="223">
        <f t="shared" si="55"/>
        <v>1161121.9095806452</v>
      </c>
      <c r="L948" s="223">
        <f t="shared" si="55"/>
        <v>898291.64661516226</v>
      </c>
      <c r="M948" s="114">
        <f t="shared" si="56"/>
        <v>1</v>
      </c>
      <c r="N948" s="114">
        <f t="shared" si="57"/>
        <v>0</v>
      </c>
      <c r="T948" s="12"/>
      <c r="U948" s="210"/>
      <c r="V948" s="13"/>
      <c r="W948" s="13"/>
      <c r="X948" s="13"/>
      <c r="Y948" s="13"/>
      <c r="Z948" s="13"/>
      <c r="AA948" s="13"/>
      <c r="AB948" s="13"/>
      <c r="AC948" s="13"/>
      <c r="AD948" s="13"/>
      <c r="AE948" s="13"/>
    </row>
    <row r="949" spans="1:31" ht="21" x14ac:dyDescent="0.4">
      <c r="A949" s="210"/>
      <c r="B949" s="108">
        <v>939</v>
      </c>
      <c r="C949" s="297">
        <v>2089.6500535411724</v>
      </c>
      <c r="D949" s="297">
        <v>2897.3697118407035</v>
      </c>
      <c r="E949" s="297">
        <v>19.671988947309892</v>
      </c>
      <c r="F949" s="297">
        <v>12.963044466008524</v>
      </c>
      <c r="G949" s="322">
        <v>-807.71965829953115</v>
      </c>
      <c r="H949" s="322">
        <v>6.7089444813013674</v>
      </c>
      <c r="I949" s="322">
        <v>-120.39444663027733</v>
      </c>
      <c r="K949" s="223">
        <f t="shared" si="55"/>
        <v>1178229.6867850523</v>
      </c>
      <c r="L949" s="223">
        <f t="shared" si="55"/>
        <v>774885.29824867065</v>
      </c>
      <c r="M949" s="114">
        <f t="shared" si="56"/>
        <v>1</v>
      </c>
      <c r="N949" s="114">
        <f t="shared" si="57"/>
        <v>0</v>
      </c>
      <c r="T949" s="12"/>
      <c r="U949" s="210"/>
      <c r="V949" s="13"/>
      <c r="W949" s="13"/>
      <c r="X949" s="13"/>
      <c r="Y949" s="13"/>
      <c r="Z949" s="13"/>
      <c r="AA949" s="13"/>
      <c r="AB949" s="13"/>
      <c r="AC949" s="13"/>
      <c r="AD949" s="13"/>
      <c r="AE949" s="13"/>
    </row>
    <row r="950" spans="1:31" ht="21" x14ac:dyDescent="0.4">
      <c r="A950" s="210"/>
      <c r="B950" s="108">
        <v>940</v>
      </c>
      <c r="C950" s="297">
        <v>2363.5096924422101</v>
      </c>
      <c r="D950" s="297">
        <v>3293.0005080357987</v>
      </c>
      <c r="E950" s="297">
        <v>18.307813103237649</v>
      </c>
      <c r="F950" s="297">
        <v>12.414740524222694</v>
      </c>
      <c r="G950" s="322">
        <v>-929.49081559358865</v>
      </c>
      <c r="H950" s="322">
        <v>5.8930725790149552</v>
      </c>
      <c r="I950" s="322">
        <v>-157.72600848383846</v>
      </c>
      <c r="K950" s="223">
        <f t="shared" si="55"/>
        <v>1096105.2765018167</v>
      </c>
      <c r="L950" s="223">
        <f t="shared" si="55"/>
        <v>741591.43094532588</v>
      </c>
      <c r="M950" s="114">
        <f t="shared" si="56"/>
        <v>1</v>
      </c>
      <c r="N950" s="114">
        <f t="shared" si="57"/>
        <v>0</v>
      </c>
      <c r="T950" s="12"/>
      <c r="U950" s="210"/>
      <c r="V950" s="13"/>
      <c r="W950" s="13"/>
      <c r="X950" s="13"/>
      <c r="Y950" s="13"/>
      <c r="Z950" s="13"/>
      <c r="AA950" s="13"/>
      <c r="AB950" s="13"/>
      <c r="AC950" s="13"/>
      <c r="AD950" s="13"/>
      <c r="AE950" s="13"/>
    </row>
    <row r="951" spans="1:31" ht="21" x14ac:dyDescent="0.4">
      <c r="A951" s="210"/>
      <c r="B951" s="108">
        <v>941</v>
      </c>
      <c r="C951" s="297">
        <v>2125.5347765577899</v>
      </c>
      <c r="D951" s="297">
        <v>2896.0201275809404</v>
      </c>
      <c r="E951" s="297">
        <v>17.978783309636164</v>
      </c>
      <c r="F951" s="297">
        <v>12.231764433405194</v>
      </c>
      <c r="G951" s="322">
        <v>-770.48535102315054</v>
      </c>
      <c r="H951" s="322">
        <v>5.7470188762309693</v>
      </c>
      <c r="I951" s="322">
        <v>-134.06696021302318</v>
      </c>
      <c r="K951" s="223">
        <f t="shared" si="55"/>
        <v>1076601.4638016121</v>
      </c>
      <c r="L951" s="223">
        <f t="shared" si="55"/>
        <v>731009.84587673075</v>
      </c>
      <c r="M951" s="114">
        <f t="shared" si="56"/>
        <v>1</v>
      </c>
      <c r="N951" s="114">
        <f t="shared" si="57"/>
        <v>0</v>
      </c>
      <c r="T951" s="12"/>
      <c r="U951" s="210"/>
      <c r="V951" s="13"/>
      <c r="W951" s="13"/>
      <c r="X951" s="13"/>
      <c r="Y951" s="13"/>
      <c r="Z951" s="13"/>
      <c r="AA951" s="13"/>
      <c r="AB951" s="13"/>
      <c r="AC951" s="13"/>
      <c r="AD951" s="13"/>
      <c r="AE951" s="13"/>
    </row>
    <row r="952" spans="1:31" ht="21" x14ac:dyDescent="0.4">
      <c r="A952" s="210"/>
      <c r="B952" s="108">
        <v>942</v>
      </c>
      <c r="C952" s="297">
        <v>2424.4686514536975</v>
      </c>
      <c r="D952" s="297">
        <v>3456.9024489091703</v>
      </c>
      <c r="E952" s="297">
        <v>20.651324990192336</v>
      </c>
      <c r="F952" s="297">
        <v>15.407837820586735</v>
      </c>
      <c r="G952" s="322">
        <v>-1032.4337974554728</v>
      </c>
      <c r="H952" s="322">
        <v>5.2434871696056007</v>
      </c>
      <c r="I952" s="322">
        <v>-196.89831672328273</v>
      </c>
      <c r="K952" s="223">
        <f t="shared" si="55"/>
        <v>1236655.0307600864</v>
      </c>
      <c r="L952" s="223">
        <f t="shared" si="55"/>
        <v>921013.36678629497</v>
      </c>
      <c r="M952" s="114">
        <f t="shared" si="56"/>
        <v>1</v>
      </c>
      <c r="N952" s="114">
        <f t="shared" si="57"/>
        <v>0</v>
      </c>
      <c r="T952" s="12"/>
      <c r="U952" s="210"/>
      <c r="V952" s="13"/>
      <c r="W952" s="13"/>
      <c r="X952" s="13"/>
      <c r="Y952" s="13"/>
      <c r="Z952" s="13"/>
      <c r="AA952" s="13"/>
      <c r="AB952" s="13"/>
      <c r="AC952" s="13"/>
      <c r="AD952" s="13"/>
      <c r="AE952" s="13"/>
    </row>
    <row r="953" spans="1:31" ht="21" x14ac:dyDescent="0.4">
      <c r="A953" s="210"/>
      <c r="B953" s="108">
        <v>943</v>
      </c>
      <c r="C953" s="297">
        <v>1579.9335424862254</v>
      </c>
      <c r="D953" s="297">
        <v>2615.2206500752113</v>
      </c>
      <c r="E953" s="297">
        <v>19.199893684427391</v>
      </c>
      <c r="F953" s="297">
        <v>14.39942765521848</v>
      </c>
      <c r="G953" s="322">
        <v>-1035.2871075889859</v>
      </c>
      <c r="H953" s="322">
        <v>4.800466029208911</v>
      </c>
      <c r="I953" s="322">
        <v>-215.66387540077963</v>
      </c>
      <c r="K953" s="223">
        <f t="shared" si="55"/>
        <v>1150413.6875231571</v>
      </c>
      <c r="L953" s="223">
        <f t="shared" si="55"/>
        <v>861350.43866303354</v>
      </c>
      <c r="M953" s="114">
        <f t="shared" si="56"/>
        <v>1</v>
      </c>
      <c r="N953" s="114">
        <f t="shared" si="57"/>
        <v>0</v>
      </c>
      <c r="T953" s="12"/>
      <c r="U953" s="210"/>
      <c r="V953" s="13"/>
      <c r="W953" s="13"/>
      <c r="X953" s="13"/>
      <c r="Y953" s="13"/>
      <c r="Z953" s="13"/>
      <c r="AA953" s="13"/>
      <c r="AB953" s="13"/>
      <c r="AC953" s="13"/>
      <c r="AD953" s="13"/>
      <c r="AE953" s="13"/>
    </row>
    <row r="954" spans="1:31" ht="21" x14ac:dyDescent="0.4">
      <c r="A954" s="210"/>
      <c r="B954" s="108">
        <v>944</v>
      </c>
      <c r="C954" s="297">
        <v>2303.2511393125401</v>
      </c>
      <c r="D954" s="297">
        <v>3261.966969122308</v>
      </c>
      <c r="E954" s="297">
        <v>19.38673841318009</v>
      </c>
      <c r="F954" s="297">
        <v>13.991870821469812</v>
      </c>
      <c r="G954" s="322">
        <v>-958.71582980976791</v>
      </c>
      <c r="H954" s="322">
        <v>5.3948675917102786</v>
      </c>
      <c r="I954" s="322">
        <v>-177.70887116542488</v>
      </c>
      <c r="K954" s="223">
        <f t="shared" si="55"/>
        <v>1160901.0536514928</v>
      </c>
      <c r="L954" s="223">
        <f t="shared" si="55"/>
        <v>836250.28231906646</v>
      </c>
      <c r="M954" s="114">
        <f t="shared" si="56"/>
        <v>1</v>
      </c>
      <c r="N954" s="114">
        <f t="shared" si="57"/>
        <v>0</v>
      </c>
      <c r="T954" s="12"/>
      <c r="U954" s="210"/>
      <c r="V954" s="13"/>
      <c r="W954" s="13"/>
      <c r="X954" s="13"/>
      <c r="Y954" s="13"/>
      <c r="Z954" s="13"/>
      <c r="AA954" s="13"/>
      <c r="AB954" s="13"/>
      <c r="AC954" s="13"/>
      <c r="AD954" s="13"/>
      <c r="AE954" s="13"/>
    </row>
    <row r="955" spans="1:31" ht="21" x14ac:dyDescent="0.4">
      <c r="A955" s="210"/>
      <c r="B955" s="108">
        <v>945</v>
      </c>
      <c r="C955" s="297">
        <v>2232.3216591303835</v>
      </c>
      <c r="D955" s="297">
        <v>2996.328727081102</v>
      </c>
      <c r="E955" s="297">
        <v>18.947202417952088</v>
      </c>
      <c r="F955" s="297">
        <v>13.7947838032314</v>
      </c>
      <c r="G955" s="322">
        <v>-764.00706795071846</v>
      </c>
      <c r="H955" s="322">
        <v>5.1524186147206876</v>
      </c>
      <c r="I955" s="322">
        <v>-148.28124907551503</v>
      </c>
      <c r="K955" s="223">
        <f t="shared" si="55"/>
        <v>1134599.8234179949</v>
      </c>
      <c r="L955" s="223">
        <f t="shared" si="55"/>
        <v>824690.69946680299</v>
      </c>
      <c r="M955" s="114">
        <f t="shared" si="56"/>
        <v>1</v>
      </c>
      <c r="N955" s="114">
        <f t="shared" si="57"/>
        <v>0</v>
      </c>
      <c r="T955" s="12"/>
      <c r="U955" s="210"/>
      <c r="V955" s="13"/>
      <c r="W955" s="13"/>
      <c r="X955" s="13"/>
      <c r="Y955" s="13"/>
      <c r="Z955" s="13"/>
      <c r="AA955" s="13"/>
      <c r="AB955" s="13"/>
      <c r="AC955" s="13"/>
      <c r="AD955" s="13"/>
      <c r="AE955" s="13"/>
    </row>
    <row r="956" spans="1:31" ht="21" x14ac:dyDescent="0.4">
      <c r="A956" s="210"/>
      <c r="B956" s="108">
        <v>946</v>
      </c>
      <c r="C956" s="297">
        <v>2086.620071565314</v>
      </c>
      <c r="D956" s="297">
        <v>3116.1184160589341</v>
      </c>
      <c r="E956" s="297">
        <v>17.384233583335508</v>
      </c>
      <c r="F956" s="297">
        <v>12.480437126774651</v>
      </c>
      <c r="G956" s="322">
        <v>-1029.4983444936202</v>
      </c>
      <c r="H956" s="322">
        <v>4.9037964565608565</v>
      </c>
      <c r="I956" s="322">
        <v>-209.93904490392137</v>
      </c>
      <c r="K956" s="223">
        <f t="shared" si="55"/>
        <v>1040967.3949285652</v>
      </c>
      <c r="L956" s="223">
        <f t="shared" si="55"/>
        <v>745710.10919042013</v>
      </c>
      <c r="M956" s="114">
        <f t="shared" si="56"/>
        <v>1</v>
      </c>
      <c r="N956" s="114">
        <f t="shared" si="57"/>
        <v>0</v>
      </c>
      <c r="T956" s="12"/>
      <c r="U956" s="210"/>
      <c r="V956" s="13"/>
      <c r="W956" s="13"/>
      <c r="X956" s="13"/>
      <c r="Y956" s="13"/>
      <c r="Z956" s="13"/>
      <c r="AA956" s="13"/>
      <c r="AB956" s="13"/>
      <c r="AC956" s="13"/>
      <c r="AD956" s="13"/>
      <c r="AE956" s="13"/>
    </row>
    <row r="957" spans="1:31" ht="21" x14ac:dyDescent="0.4">
      <c r="A957" s="210"/>
      <c r="B957" s="108">
        <v>947</v>
      </c>
      <c r="C957" s="297">
        <v>2038.5073338908819</v>
      </c>
      <c r="D957" s="297">
        <v>2871.1050011037805</v>
      </c>
      <c r="E957" s="297">
        <v>19.291627891501491</v>
      </c>
      <c r="F957" s="297">
        <v>13.187927626546955</v>
      </c>
      <c r="G957" s="322">
        <v>-832.59766721289861</v>
      </c>
      <c r="H957" s="322">
        <v>6.1037002649545364</v>
      </c>
      <c r="I957" s="322">
        <v>-136.4086752413784</v>
      </c>
      <c r="K957" s="223">
        <f t="shared" si="55"/>
        <v>1155459.1661561988</v>
      </c>
      <c r="L957" s="223">
        <f t="shared" si="55"/>
        <v>788404.55259171349</v>
      </c>
      <c r="M957" s="114">
        <f t="shared" si="56"/>
        <v>1</v>
      </c>
      <c r="N957" s="114">
        <f t="shared" si="57"/>
        <v>0</v>
      </c>
      <c r="T957" s="12"/>
      <c r="U957" s="210"/>
      <c r="V957" s="13"/>
      <c r="W957" s="13"/>
      <c r="X957" s="13"/>
      <c r="Y957" s="13"/>
      <c r="Z957" s="13"/>
      <c r="AA957" s="13"/>
      <c r="AB957" s="13"/>
      <c r="AC957" s="13"/>
      <c r="AD957" s="13"/>
      <c r="AE957" s="13"/>
    </row>
    <row r="958" spans="1:31" ht="21" x14ac:dyDescent="0.4">
      <c r="A958" s="210"/>
      <c r="B958" s="108">
        <v>948</v>
      </c>
      <c r="C958" s="297">
        <v>1899.498029344486</v>
      </c>
      <c r="D958" s="297">
        <v>2983.2519291512745</v>
      </c>
      <c r="E958" s="297">
        <v>16.978625436472612</v>
      </c>
      <c r="F958" s="297">
        <v>11.988992220141418</v>
      </c>
      <c r="G958" s="322">
        <v>-1083.7538998067885</v>
      </c>
      <c r="H958" s="322">
        <v>4.9896332163311943</v>
      </c>
      <c r="I958" s="322">
        <v>-217.20111535646245</v>
      </c>
      <c r="K958" s="223">
        <f t="shared" si="55"/>
        <v>1016818.0281590122</v>
      </c>
      <c r="L958" s="223">
        <f t="shared" si="55"/>
        <v>716356.28127933387</v>
      </c>
      <c r="M958" s="114">
        <f t="shared" si="56"/>
        <v>1</v>
      </c>
      <c r="N958" s="114">
        <f t="shared" si="57"/>
        <v>0</v>
      </c>
      <c r="T958" s="12"/>
      <c r="U958" s="210"/>
      <c r="V958" s="13"/>
      <c r="W958" s="13"/>
      <c r="X958" s="13"/>
      <c r="Y958" s="13"/>
      <c r="Z958" s="13"/>
      <c r="AA958" s="13"/>
      <c r="AB958" s="13"/>
      <c r="AC958" s="13"/>
      <c r="AD958" s="13"/>
      <c r="AE958" s="13"/>
    </row>
    <row r="959" spans="1:31" ht="21" x14ac:dyDescent="0.4">
      <c r="A959" s="210"/>
      <c r="B959" s="108">
        <v>949</v>
      </c>
      <c r="C959" s="297">
        <v>2155.3498853933443</v>
      </c>
      <c r="D959" s="297">
        <v>2605.1980205085665</v>
      </c>
      <c r="E959" s="297">
        <v>18.953806545815375</v>
      </c>
      <c r="F959" s="297">
        <v>14.791234538701202</v>
      </c>
      <c r="G959" s="322">
        <v>-449.84813511522225</v>
      </c>
      <c r="H959" s="322">
        <v>4.1625720071141732</v>
      </c>
      <c r="I959" s="322">
        <v>-108.06975455232853</v>
      </c>
      <c r="K959" s="223">
        <f t="shared" si="55"/>
        <v>1135073.0428635292</v>
      </c>
      <c r="L959" s="223">
        <f t="shared" si="55"/>
        <v>884868.8743015636</v>
      </c>
      <c r="M959" s="114">
        <f t="shared" si="56"/>
        <v>1</v>
      </c>
      <c r="N959" s="114">
        <f t="shared" si="57"/>
        <v>0</v>
      </c>
      <c r="T959" s="12"/>
      <c r="U959" s="210"/>
      <c r="V959" s="13"/>
      <c r="W959" s="13"/>
      <c r="X959" s="13"/>
      <c r="Y959" s="13"/>
      <c r="Z959" s="13"/>
      <c r="AA959" s="13"/>
      <c r="AB959" s="13"/>
      <c r="AC959" s="13"/>
      <c r="AD959" s="13"/>
      <c r="AE959" s="13"/>
    </row>
    <row r="960" spans="1:31" ht="21" x14ac:dyDescent="0.4">
      <c r="A960" s="210"/>
      <c r="B960" s="108">
        <v>950</v>
      </c>
      <c r="C960" s="297">
        <v>2273.2388471596109</v>
      </c>
      <c r="D960" s="297">
        <v>3050.1659106444231</v>
      </c>
      <c r="E960" s="297">
        <v>16.959459213420747</v>
      </c>
      <c r="F960" s="297">
        <v>12.457060926798103</v>
      </c>
      <c r="G960" s="322">
        <v>-776.92706348481215</v>
      </c>
      <c r="H960" s="322">
        <v>4.5023982866226433</v>
      </c>
      <c r="I960" s="322">
        <v>-172.55849305761967</v>
      </c>
      <c r="K960" s="223">
        <f t="shared" si="55"/>
        <v>1015294.3139580851</v>
      </c>
      <c r="L960" s="223">
        <f t="shared" si="55"/>
        <v>744373.48969724169</v>
      </c>
      <c r="M960" s="114">
        <f t="shared" si="56"/>
        <v>1</v>
      </c>
      <c r="N960" s="114">
        <f t="shared" si="57"/>
        <v>0</v>
      </c>
      <c r="T960" s="12"/>
      <c r="U960" s="210"/>
      <c r="V960" s="13"/>
      <c r="W960" s="13"/>
      <c r="X960" s="13"/>
      <c r="Y960" s="13"/>
      <c r="Z960" s="13"/>
      <c r="AA960" s="13"/>
      <c r="AB960" s="13"/>
      <c r="AC960" s="13"/>
      <c r="AD960" s="13"/>
      <c r="AE960" s="13"/>
    </row>
    <row r="961" spans="1:31" ht="21" x14ac:dyDescent="0.4">
      <c r="A961" s="210"/>
      <c r="B961" s="108">
        <v>951</v>
      </c>
      <c r="C961" s="297">
        <v>2037.9448911613595</v>
      </c>
      <c r="D961" s="297">
        <v>2983.9650755533949</v>
      </c>
      <c r="E961" s="297">
        <v>18.891486202743476</v>
      </c>
      <c r="F961" s="297">
        <v>13.407178183714304</v>
      </c>
      <c r="G961" s="322">
        <v>-946.02018439203539</v>
      </c>
      <c r="H961" s="322">
        <v>5.4843080190291715</v>
      </c>
      <c r="I961" s="322">
        <v>-172.49581553581288</v>
      </c>
      <c r="K961" s="223">
        <f t="shared" si="55"/>
        <v>1131451.2272734472</v>
      </c>
      <c r="L961" s="223">
        <f t="shared" si="55"/>
        <v>801446.72594730486</v>
      </c>
      <c r="M961" s="114">
        <f t="shared" si="56"/>
        <v>1</v>
      </c>
      <c r="N961" s="114">
        <f t="shared" si="57"/>
        <v>0</v>
      </c>
      <c r="T961" s="12"/>
      <c r="U961" s="210"/>
      <c r="V961" s="13"/>
      <c r="W961" s="13"/>
      <c r="X961" s="13"/>
      <c r="Y961" s="13"/>
      <c r="Z961" s="13"/>
      <c r="AA961" s="13"/>
      <c r="AB961" s="13"/>
      <c r="AC961" s="13"/>
      <c r="AD961" s="13"/>
      <c r="AE961" s="13"/>
    </row>
    <row r="962" spans="1:31" ht="21" x14ac:dyDescent="0.4">
      <c r="A962" s="210"/>
      <c r="B962" s="108">
        <v>952</v>
      </c>
      <c r="C962" s="297">
        <v>2135.8235824103972</v>
      </c>
      <c r="D962" s="297">
        <v>3977.379775666579</v>
      </c>
      <c r="E962" s="297">
        <v>19.506130122307312</v>
      </c>
      <c r="F962" s="297">
        <v>14.774478948053604</v>
      </c>
      <c r="G962" s="322">
        <v>-1841.5561932561818</v>
      </c>
      <c r="H962" s="322">
        <v>4.7316511742537077</v>
      </c>
      <c r="I962" s="322">
        <v>-389.19948352841931</v>
      </c>
      <c r="K962" s="223">
        <f t="shared" si="55"/>
        <v>1168231.9837560283</v>
      </c>
      <c r="L962" s="223">
        <f t="shared" si="55"/>
        <v>882491.35710754956</v>
      </c>
      <c r="M962" s="114">
        <f t="shared" si="56"/>
        <v>1</v>
      </c>
      <c r="N962" s="114">
        <f t="shared" si="57"/>
        <v>0</v>
      </c>
      <c r="T962" s="12"/>
      <c r="U962" s="210"/>
      <c r="V962" s="13"/>
      <c r="W962" s="13"/>
      <c r="X962" s="13"/>
      <c r="Y962" s="13"/>
      <c r="Z962" s="13"/>
      <c r="AA962" s="13"/>
      <c r="AB962" s="13"/>
      <c r="AC962" s="13"/>
      <c r="AD962" s="13"/>
      <c r="AE962" s="13"/>
    </row>
    <row r="963" spans="1:31" ht="21" x14ac:dyDescent="0.4">
      <c r="A963" s="210"/>
      <c r="B963" s="108">
        <v>953</v>
      </c>
      <c r="C963" s="297">
        <v>1949.1627369265439</v>
      </c>
      <c r="D963" s="297">
        <v>2731.7779126352243</v>
      </c>
      <c r="E963" s="297">
        <v>18.85534775844998</v>
      </c>
      <c r="F963" s="297">
        <v>13.447117415828501</v>
      </c>
      <c r="G963" s="322">
        <v>-782.61517570868045</v>
      </c>
      <c r="H963" s="322">
        <v>5.4082303426214793</v>
      </c>
      <c r="I963" s="322">
        <v>-144.70818107376155</v>
      </c>
      <c r="K963" s="223">
        <f t="shared" si="55"/>
        <v>1129371.7027700723</v>
      </c>
      <c r="L963" s="223">
        <f t="shared" si="55"/>
        <v>804095.26703707478</v>
      </c>
      <c r="M963" s="114">
        <f t="shared" si="56"/>
        <v>1</v>
      </c>
      <c r="N963" s="114">
        <f t="shared" si="57"/>
        <v>0</v>
      </c>
      <c r="T963" s="12"/>
      <c r="U963" s="210"/>
      <c r="V963" s="13"/>
      <c r="W963" s="13"/>
      <c r="X963" s="13"/>
      <c r="Y963" s="13"/>
      <c r="Z963" s="13"/>
      <c r="AA963" s="13"/>
      <c r="AB963" s="13"/>
      <c r="AC963" s="13"/>
      <c r="AD963" s="13"/>
      <c r="AE963" s="13"/>
    </row>
    <row r="964" spans="1:31" ht="21" x14ac:dyDescent="0.4">
      <c r="A964" s="210"/>
      <c r="B964" s="108">
        <v>954</v>
      </c>
      <c r="C964" s="297">
        <v>2156.7056408813451</v>
      </c>
      <c r="D964" s="297">
        <v>2814.8340795661161</v>
      </c>
      <c r="E964" s="297">
        <v>15.84330991691721</v>
      </c>
      <c r="F964" s="297">
        <v>11.574790304441278</v>
      </c>
      <c r="G964" s="322">
        <v>-658.12843868477103</v>
      </c>
      <c r="H964" s="322">
        <v>4.2685196124759326</v>
      </c>
      <c r="I964" s="322">
        <v>-154.1818940602283</v>
      </c>
      <c r="K964" s="223">
        <f t="shared" si="55"/>
        <v>948441.88937415124</v>
      </c>
      <c r="L964" s="223">
        <f t="shared" si="55"/>
        <v>691672.58418691065</v>
      </c>
      <c r="M964" s="114">
        <f t="shared" si="56"/>
        <v>1</v>
      </c>
      <c r="N964" s="114">
        <f t="shared" si="57"/>
        <v>0</v>
      </c>
      <c r="T964" s="12"/>
      <c r="U964" s="210"/>
      <c r="V964" s="13"/>
      <c r="W964" s="13"/>
      <c r="X964" s="13"/>
      <c r="Y964" s="13"/>
      <c r="Z964" s="13"/>
      <c r="AA964" s="13"/>
      <c r="AB964" s="13"/>
      <c r="AC964" s="13"/>
      <c r="AD964" s="13"/>
      <c r="AE964" s="13"/>
    </row>
    <row r="965" spans="1:31" ht="21" x14ac:dyDescent="0.4">
      <c r="A965" s="210"/>
      <c r="B965" s="108">
        <v>955</v>
      </c>
      <c r="C965" s="297">
        <v>2342.4461145749724</v>
      </c>
      <c r="D965" s="297">
        <v>3387.0094914325127</v>
      </c>
      <c r="E965" s="297">
        <v>20.440750616175855</v>
      </c>
      <c r="F965" s="297">
        <v>14.570204820051154</v>
      </c>
      <c r="G965" s="322">
        <v>-1044.5633768575403</v>
      </c>
      <c r="H965" s="322">
        <v>5.8705457961247003</v>
      </c>
      <c r="I965" s="322">
        <v>-177.93292363839214</v>
      </c>
      <c r="K965" s="223">
        <f t="shared" si="55"/>
        <v>1224102.5908559763</v>
      </c>
      <c r="L965" s="223">
        <f t="shared" si="55"/>
        <v>870825.27971163683</v>
      </c>
      <c r="M965" s="114">
        <f t="shared" si="56"/>
        <v>1</v>
      </c>
      <c r="N965" s="114">
        <f t="shared" si="57"/>
        <v>0</v>
      </c>
      <c r="T965" s="12"/>
      <c r="U965" s="210"/>
      <c r="V965" s="13"/>
      <c r="W965" s="13"/>
      <c r="X965" s="13"/>
      <c r="Y965" s="13"/>
      <c r="Z965" s="13"/>
      <c r="AA965" s="13"/>
      <c r="AB965" s="13"/>
      <c r="AC965" s="13"/>
      <c r="AD965" s="13"/>
      <c r="AE965" s="13"/>
    </row>
    <row r="966" spans="1:31" ht="21" x14ac:dyDescent="0.4">
      <c r="A966" s="210"/>
      <c r="B966" s="108">
        <v>956</v>
      </c>
      <c r="C966" s="297">
        <v>2247.5979537804883</v>
      </c>
      <c r="D966" s="297">
        <v>3340.9043322700027</v>
      </c>
      <c r="E966" s="297">
        <v>19.292092505929126</v>
      </c>
      <c r="F966" s="297">
        <v>13.976961450250352</v>
      </c>
      <c r="G966" s="322">
        <v>-1093.3063784895144</v>
      </c>
      <c r="H966" s="322">
        <v>5.3151310556787745</v>
      </c>
      <c r="I966" s="322">
        <v>-205.69697473807491</v>
      </c>
      <c r="K966" s="223">
        <f t="shared" si="55"/>
        <v>1155277.952401967</v>
      </c>
      <c r="L966" s="223">
        <f t="shared" si="55"/>
        <v>835276.78268275107</v>
      </c>
      <c r="M966" s="114">
        <f t="shared" si="56"/>
        <v>1</v>
      </c>
      <c r="N966" s="114">
        <f t="shared" si="57"/>
        <v>0</v>
      </c>
      <c r="T966" s="12"/>
      <c r="U966" s="210"/>
      <c r="V966" s="13"/>
      <c r="W966" s="13"/>
      <c r="X966" s="13"/>
      <c r="Y966" s="13"/>
      <c r="Z966" s="13"/>
      <c r="AA966" s="13"/>
      <c r="AB966" s="13"/>
      <c r="AC966" s="13"/>
      <c r="AD966" s="13"/>
      <c r="AE966" s="13"/>
    </row>
    <row r="967" spans="1:31" ht="21" x14ac:dyDescent="0.4">
      <c r="A967" s="210"/>
      <c r="B967" s="108">
        <v>957</v>
      </c>
      <c r="C967" s="297">
        <v>1971.3650803446967</v>
      </c>
      <c r="D967" s="297">
        <v>2668.4777729442967</v>
      </c>
      <c r="E967" s="297">
        <v>20.434278510892391</v>
      </c>
      <c r="F967" s="297">
        <v>15.411596419694726</v>
      </c>
      <c r="G967" s="322">
        <v>-697.1126925996</v>
      </c>
      <c r="H967" s="322">
        <v>5.0226820911976642</v>
      </c>
      <c r="I967" s="322">
        <v>-138.79291580514359</v>
      </c>
      <c r="K967" s="223">
        <f t="shared" si="55"/>
        <v>1224085.3455731987</v>
      </c>
      <c r="L967" s="223">
        <f t="shared" si="55"/>
        <v>922027.30740873935</v>
      </c>
      <c r="M967" s="114">
        <f t="shared" si="56"/>
        <v>1</v>
      </c>
      <c r="N967" s="114">
        <f t="shared" si="57"/>
        <v>0</v>
      </c>
      <c r="T967" s="12"/>
      <c r="U967" s="210"/>
      <c r="V967" s="13"/>
      <c r="W967" s="13"/>
      <c r="X967" s="13"/>
      <c r="Y967" s="13"/>
      <c r="Z967" s="13"/>
      <c r="AA967" s="13"/>
      <c r="AB967" s="13"/>
      <c r="AC967" s="13"/>
      <c r="AD967" s="13"/>
      <c r="AE967" s="13"/>
    </row>
    <row r="968" spans="1:31" ht="21" x14ac:dyDescent="0.4">
      <c r="A968" s="210"/>
      <c r="B968" s="108">
        <v>958</v>
      </c>
      <c r="C968" s="297">
        <v>2102.6695330190246</v>
      </c>
      <c r="D968" s="297">
        <v>3064.1114913697138</v>
      </c>
      <c r="E968" s="297">
        <v>20.565294533112347</v>
      </c>
      <c r="F968" s="297">
        <v>15.459165780889064</v>
      </c>
      <c r="G968" s="322">
        <v>-961.44195835068922</v>
      </c>
      <c r="H968" s="322">
        <v>5.1061287522232828</v>
      </c>
      <c r="I968" s="322">
        <v>-188.29175780811704</v>
      </c>
      <c r="K968" s="223">
        <f t="shared" si="55"/>
        <v>1231815.0024537218</v>
      </c>
      <c r="L968" s="223">
        <f t="shared" si="55"/>
        <v>924485.8353619742</v>
      </c>
      <c r="M968" s="114">
        <f t="shared" si="56"/>
        <v>1</v>
      </c>
      <c r="N968" s="114">
        <f t="shared" si="57"/>
        <v>0</v>
      </c>
      <c r="T968" s="12"/>
      <c r="U968" s="210"/>
      <c r="V968" s="13"/>
      <c r="W968" s="13"/>
      <c r="X968" s="13"/>
      <c r="Y968" s="13"/>
      <c r="Z968" s="13"/>
      <c r="AA968" s="13"/>
      <c r="AB968" s="13"/>
      <c r="AC968" s="13"/>
      <c r="AD968" s="13"/>
      <c r="AE968" s="13"/>
    </row>
    <row r="969" spans="1:31" ht="21" x14ac:dyDescent="0.4">
      <c r="A969" s="210"/>
      <c r="B969" s="108">
        <v>959</v>
      </c>
      <c r="C969" s="297">
        <v>1935.7049558504739</v>
      </c>
      <c r="D969" s="297">
        <v>2666.8298010495755</v>
      </c>
      <c r="E969" s="297">
        <v>15.085289853314123</v>
      </c>
      <c r="F969" s="297">
        <v>9.4184526120060177</v>
      </c>
      <c r="G969" s="322">
        <v>-731.12484519910163</v>
      </c>
      <c r="H969" s="322">
        <v>5.6668372413081052</v>
      </c>
      <c r="I969" s="322">
        <v>-129.01814787790383</v>
      </c>
      <c r="K969" s="223">
        <f t="shared" si="55"/>
        <v>903181.68624299683</v>
      </c>
      <c r="L969" s="223">
        <f t="shared" si="55"/>
        <v>562440.32691931154</v>
      </c>
      <c r="M969" s="114">
        <f t="shared" si="56"/>
        <v>1</v>
      </c>
      <c r="N969" s="114">
        <f t="shared" si="57"/>
        <v>0</v>
      </c>
      <c r="T969" s="12"/>
      <c r="U969" s="210"/>
      <c r="V969" s="13"/>
      <c r="W969" s="13"/>
      <c r="X969" s="13"/>
      <c r="Y969" s="13"/>
      <c r="Z969" s="13"/>
      <c r="AA969" s="13"/>
      <c r="AB969" s="13"/>
      <c r="AC969" s="13"/>
      <c r="AD969" s="13"/>
      <c r="AE969" s="13"/>
    </row>
    <row r="970" spans="1:31" ht="21" x14ac:dyDescent="0.4">
      <c r="A970" s="210"/>
      <c r="B970" s="108">
        <v>960</v>
      </c>
      <c r="C970" s="297">
        <v>2091.0978617697228</v>
      </c>
      <c r="D970" s="297">
        <v>2907.9963801084546</v>
      </c>
      <c r="E970" s="297">
        <v>20.578825226993203</v>
      </c>
      <c r="F970" s="297">
        <v>15.165520410291407</v>
      </c>
      <c r="G970" s="322">
        <v>-816.89851833873172</v>
      </c>
      <c r="H970" s="322">
        <v>5.4133048167017961</v>
      </c>
      <c r="I970" s="322">
        <v>-150.90569365655074</v>
      </c>
      <c r="K970" s="223">
        <f t="shared" si="55"/>
        <v>1232638.4157578226</v>
      </c>
      <c r="L970" s="223">
        <f t="shared" si="55"/>
        <v>907023.22823737597</v>
      </c>
      <c r="M970" s="114">
        <f t="shared" si="56"/>
        <v>1</v>
      </c>
      <c r="N970" s="114">
        <f t="shared" si="57"/>
        <v>0</v>
      </c>
      <c r="T970" s="12"/>
      <c r="U970" s="210"/>
      <c r="V970" s="13"/>
      <c r="W970" s="13"/>
      <c r="X970" s="13"/>
      <c r="Y970" s="13"/>
      <c r="Z970" s="13"/>
      <c r="AA970" s="13"/>
      <c r="AB970" s="13"/>
      <c r="AC970" s="13"/>
      <c r="AD970" s="13"/>
      <c r="AE970" s="13"/>
    </row>
    <row r="971" spans="1:31" ht="21" x14ac:dyDescent="0.4">
      <c r="A971" s="210"/>
      <c r="B971" s="108">
        <v>961</v>
      </c>
      <c r="C971" s="297">
        <v>2101.3541594351664</v>
      </c>
      <c r="D971" s="297">
        <v>2965.3643305338642</v>
      </c>
      <c r="E971" s="297">
        <v>21.157865279481307</v>
      </c>
      <c r="F971" s="297">
        <v>15.685313310048945</v>
      </c>
      <c r="G971" s="322">
        <v>-864.01017109869781</v>
      </c>
      <c r="H971" s="322">
        <v>5.4725519694323612</v>
      </c>
      <c r="I971" s="322">
        <v>-157.88066991866631</v>
      </c>
      <c r="K971" s="223">
        <f t="shared" si="55"/>
        <v>1267370.5626094432</v>
      </c>
      <c r="L971" s="223">
        <f t="shared" si="55"/>
        <v>938153.43427240278</v>
      </c>
      <c r="M971" s="114">
        <f t="shared" si="56"/>
        <v>1</v>
      </c>
      <c r="N971" s="114">
        <f t="shared" si="57"/>
        <v>0</v>
      </c>
      <c r="T971" s="12"/>
      <c r="U971" s="210"/>
      <c r="V971" s="13"/>
      <c r="W971" s="13"/>
      <c r="X971" s="13"/>
      <c r="Y971" s="13"/>
      <c r="Z971" s="13"/>
      <c r="AA971" s="13"/>
      <c r="AB971" s="13"/>
      <c r="AC971" s="13"/>
      <c r="AD971" s="13"/>
      <c r="AE971" s="13"/>
    </row>
    <row r="972" spans="1:31" ht="21" x14ac:dyDescent="0.4">
      <c r="A972" s="210"/>
      <c r="B972" s="108">
        <v>962</v>
      </c>
      <c r="C972" s="297">
        <v>2041.4465590017417</v>
      </c>
      <c r="D972" s="297">
        <v>2753.6895890867099</v>
      </c>
      <c r="E972" s="297">
        <v>17.570324092437811</v>
      </c>
      <c r="F972" s="297">
        <v>12.324354284874641</v>
      </c>
      <c r="G972" s="322">
        <v>-712.24303008496827</v>
      </c>
      <c r="H972" s="322">
        <v>5.2459698075631707</v>
      </c>
      <c r="I972" s="322">
        <v>-135.7695633432964</v>
      </c>
      <c r="K972" s="223">
        <f t="shared" ref="K972:L1010" si="58">E972*$N$4-C972</f>
        <v>1052177.998987267</v>
      </c>
      <c r="L972" s="223">
        <f t="shared" si="58"/>
        <v>736707.56750339177</v>
      </c>
      <c r="M972" s="114">
        <f t="shared" ref="M972:M1010" si="59">IF(MAX(K972:L972)=K972,1,0)</f>
        <v>1</v>
      </c>
      <c r="N972" s="114">
        <f t="shared" ref="N972:N1010" si="60">IF(MAX(K972:L972)=L972,1,0)</f>
        <v>0</v>
      </c>
      <c r="T972" s="12"/>
      <c r="U972" s="210"/>
      <c r="V972" s="13"/>
      <c r="W972" s="13"/>
      <c r="X972" s="13"/>
      <c r="Y972" s="13"/>
      <c r="Z972" s="13"/>
      <c r="AA972" s="13"/>
      <c r="AB972" s="13"/>
      <c r="AC972" s="13"/>
      <c r="AD972" s="13"/>
      <c r="AE972" s="13"/>
    </row>
    <row r="973" spans="1:31" ht="21" x14ac:dyDescent="0.4">
      <c r="A973" s="210"/>
      <c r="B973" s="108">
        <v>963</v>
      </c>
      <c r="C973" s="297">
        <v>2354.4785491556686</v>
      </c>
      <c r="D973" s="297">
        <v>3184.8400704381384</v>
      </c>
      <c r="E973" s="297">
        <v>18.95086550761819</v>
      </c>
      <c r="F973" s="297">
        <v>13.067970726667742</v>
      </c>
      <c r="G973" s="322">
        <v>-830.36152128246977</v>
      </c>
      <c r="H973" s="322">
        <v>5.8828947809504477</v>
      </c>
      <c r="I973" s="322">
        <v>-141.14845704384933</v>
      </c>
      <c r="K973" s="223">
        <f t="shared" si="58"/>
        <v>1134697.4519079358</v>
      </c>
      <c r="L973" s="223">
        <f t="shared" si="58"/>
        <v>780893.40352962643</v>
      </c>
      <c r="M973" s="114">
        <f t="shared" si="59"/>
        <v>1</v>
      </c>
      <c r="N973" s="114">
        <f t="shared" si="60"/>
        <v>0</v>
      </c>
      <c r="T973" s="12"/>
      <c r="U973" s="210"/>
      <c r="V973" s="13"/>
      <c r="W973" s="13"/>
      <c r="X973" s="13"/>
      <c r="Y973" s="13"/>
      <c r="Z973" s="13"/>
      <c r="AA973" s="13"/>
      <c r="AB973" s="13"/>
      <c r="AC973" s="13"/>
      <c r="AD973" s="13"/>
      <c r="AE973" s="13"/>
    </row>
    <row r="974" spans="1:31" ht="21" x14ac:dyDescent="0.4">
      <c r="A974" s="210"/>
      <c r="B974" s="108">
        <v>964</v>
      </c>
      <c r="C974" s="297">
        <v>2146.3379299372864</v>
      </c>
      <c r="D974" s="297">
        <v>2984.9945337401628</v>
      </c>
      <c r="E974" s="297">
        <v>18.81383743507671</v>
      </c>
      <c r="F974" s="297">
        <v>12.863756628106351</v>
      </c>
      <c r="G974" s="322">
        <v>-838.65660380287636</v>
      </c>
      <c r="H974" s="322">
        <v>5.9500808069703588</v>
      </c>
      <c r="I974" s="322">
        <v>-140.94877548896693</v>
      </c>
      <c r="K974" s="223">
        <f t="shared" si="58"/>
        <v>1126683.9081746654</v>
      </c>
      <c r="L974" s="223">
        <f t="shared" si="58"/>
        <v>768840.40315264091</v>
      </c>
      <c r="M974" s="114">
        <f t="shared" si="59"/>
        <v>1</v>
      </c>
      <c r="N974" s="114">
        <f t="shared" si="60"/>
        <v>0</v>
      </c>
      <c r="T974" s="12"/>
      <c r="U974" s="210"/>
      <c r="V974" s="13"/>
      <c r="W974" s="13"/>
      <c r="X974" s="13"/>
      <c r="Y974" s="13"/>
      <c r="Z974" s="13"/>
      <c r="AA974" s="13"/>
      <c r="AB974" s="13"/>
      <c r="AC974" s="13"/>
      <c r="AD974" s="13"/>
      <c r="AE974" s="13"/>
    </row>
    <row r="975" spans="1:31" ht="21" x14ac:dyDescent="0.4">
      <c r="A975" s="210"/>
      <c r="B975" s="108">
        <v>965</v>
      </c>
      <c r="C975" s="297">
        <v>1905.6260459625669</v>
      </c>
      <c r="D975" s="297">
        <v>2950.7556758325586</v>
      </c>
      <c r="E975" s="297">
        <v>18.538876804687085</v>
      </c>
      <c r="F975" s="297">
        <v>14.379286655464421</v>
      </c>
      <c r="G975" s="322">
        <v>-1045.1296298699917</v>
      </c>
      <c r="H975" s="322">
        <v>4.1595901492226641</v>
      </c>
      <c r="I975" s="322">
        <v>-251.25783848327063</v>
      </c>
      <c r="K975" s="223">
        <f t="shared" si="58"/>
        <v>1110426.9822352626</v>
      </c>
      <c r="L975" s="223">
        <f t="shared" si="58"/>
        <v>859806.44365203276</v>
      </c>
      <c r="M975" s="114">
        <f t="shared" si="59"/>
        <v>1</v>
      </c>
      <c r="N975" s="114">
        <f t="shared" si="60"/>
        <v>0</v>
      </c>
      <c r="T975" s="12"/>
      <c r="U975" s="210"/>
      <c r="V975" s="13"/>
      <c r="W975" s="13"/>
      <c r="X975" s="13"/>
      <c r="Y975" s="13"/>
      <c r="Z975" s="13"/>
      <c r="AA975" s="13"/>
      <c r="AB975" s="13"/>
      <c r="AC975" s="13"/>
      <c r="AD975" s="13"/>
      <c r="AE975" s="13"/>
    </row>
    <row r="976" spans="1:31" ht="21" x14ac:dyDescent="0.4">
      <c r="A976" s="210"/>
      <c r="B976" s="108">
        <v>966</v>
      </c>
      <c r="C976" s="297">
        <v>1881.9410222582108</v>
      </c>
      <c r="D976" s="297">
        <v>2891.5299242229153</v>
      </c>
      <c r="E976" s="297">
        <v>19.53750101909748</v>
      </c>
      <c r="F976" s="297">
        <v>14.563106425981708</v>
      </c>
      <c r="G976" s="322">
        <v>-1009.5889019647045</v>
      </c>
      <c r="H976" s="322">
        <v>4.9743945931157718</v>
      </c>
      <c r="I976" s="322">
        <v>-202.95714042506958</v>
      </c>
      <c r="K976" s="223">
        <f t="shared" si="58"/>
        <v>1170368.1201235906</v>
      </c>
      <c r="L976" s="223">
        <f t="shared" si="58"/>
        <v>870894.85563467955</v>
      </c>
      <c r="M976" s="114">
        <f t="shared" si="59"/>
        <v>1</v>
      </c>
      <c r="N976" s="114">
        <f t="shared" si="60"/>
        <v>0</v>
      </c>
      <c r="T976" s="12"/>
      <c r="U976" s="210"/>
      <c r="V976" s="13"/>
      <c r="W976" s="13"/>
      <c r="X976" s="13"/>
      <c r="Y976" s="13"/>
      <c r="Z976" s="13"/>
      <c r="AA976" s="13"/>
      <c r="AB976" s="13"/>
      <c r="AC976" s="13"/>
      <c r="AD976" s="13"/>
      <c r="AE976" s="13"/>
    </row>
    <row r="977" spans="1:31" ht="21" x14ac:dyDescent="0.4">
      <c r="A977" s="210"/>
      <c r="B977" s="108">
        <v>967</v>
      </c>
      <c r="C977" s="297">
        <v>1977.3008676098023</v>
      </c>
      <c r="D977" s="297">
        <v>3118.7072505488968</v>
      </c>
      <c r="E977" s="297">
        <v>19.93563437684967</v>
      </c>
      <c r="F977" s="297">
        <v>13.944018368888958</v>
      </c>
      <c r="G977" s="322">
        <v>-1141.4063829390946</v>
      </c>
      <c r="H977" s="322">
        <v>5.9916160079607117</v>
      </c>
      <c r="I977" s="322">
        <v>-190.50058972780872</v>
      </c>
      <c r="K977" s="223">
        <f t="shared" si="58"/>
        <v>1194160.7617433702</v>
      </c>
      <c r="L977" s="223">
        <f t="shared" si="58"/>
        <v>833522.39488278865</v>
      </c>
      <c r="M977" s="114">
        <f t="shared" si="59"/>
        <v>1</v>
      </c>
      <c r="N977" s="114">
        <f t="shared" si="60"/>
        <v>0</v>
      </c>
      <c r="T977" s="12"/>
      <c r="U977" s="210"/>
      <c r="V977" s="13"/>
      <c r="W977" s="13"/>
      <c r="X977" s="13"/>
      <c r="Y977" s="13"/>
      <c r="Z977" s="13"/>
      <c r="AA977" s="13"/>
      <c r="AB977" s="13"/>
      <c r="AC977" s="13"/>
      <c r="AD977" s="13"/>
      <c r="AE977" s="13"/>
    </row>
    <row r="978" spans="1:31" ht="21" x14ac:dyDescent="0.4">
      <c r="A978" s="210"/>
      <c r="B978" s="108">
        <v>968</v>
      </c>
      <c r="C978" s="297">
        <v>1794.1646917742751</v>
      </c>
      <c r="D978" s="297">
        <v>2757.9351484053523</v>
      </c>
      <c r="E978" s="297">
        <v>17.576531468644934</v>
      </c>
      <c r="F978" s="297">
        <v>13.093085872924036</v>
      </c>
      <c r="G978" s="322">
        <v>-963.7704566310772</v>
      </c>
      <c r="H978" s="322">
        <v>4.4834455957208981</v>
      </c>
      <c r="I978" s="322">
        <v>-214.96200546091637</v>
      </c>
      <c r="K978" s="223">
        <f t="shared" si="58"/>
        <v>1052797.7234269218</v>
      </c>
      <c r="L978" s="223">
        <f t="shared" si="58"/>
        <v>782827.21722703672</v>
      </c>
      <c r="M978" s="114">
        <f t="shared" si="59"/>
        <v>1</v>
      </c>
      <c r="N978" s="114">
        <f t="shared" si="60"/>
        <v>0</v>
      </c>
      <c r="T978" s="12"/>
      <c r="U978" s="210"/>
      <c r="V978" s="13"/>
      <c r="W978" s="13"/>
      <c r="X978" s="13"/>
      <c r="Y978" s="13"/>
      <c r="Z978" s="13"/>
      <c r="AA978" s="13"/>
      <c r="AB978" s="13"/>
      <c r="AC978" s="13"/>
      <c r="AD978" s="13"/>
      <c r="AE978" s="13"/>
    </row>
    <row r="979" spans="1:31" ht="21" x14ac:dyDescent="0.4">
      <c r="A979" s="210"/>
      <c r="B979" s="108">
        <v>969</v>
      </c>
      <c r="C979" s="297">
        <v>1867.4628352747725</v>
      </c>
      <c r="D979" s="297">
        <v>2736.2224655405989</v>
      </c>
      <c r="E979" s="297">
        <v>18.900623217637531</v>
      </c>
      <c r="F979" s="297">
        <v>14.514073278325982</v>
      </c>
      <c r="G979" s="322">
        <v>-868.75963026582644</v>
      </c>
      <c r="H979" s="322">
        <v>4.3865499393115481</v>
      </c>
      <c r="I979" s="322">
        <v>-198.05077846718299</v>
      </c>
      <c r="K979" s="223">
        <f t="shared" si="58"/>
        <v>1132169.930222977</v>
      </c>
      <c r="L979" s="223">
        <f t="shared" si="58"/>
        <v>868108.17423401831</v>
      </c>
      <c r="M979" s="114">
        <f t="shared" si="59"/>
        <v>1</v>
      </c>
      <c r="N979" s="114">
        <f t="shared" si="60"/>
        <v>0</v>
      </c>
      <c r="T979" s="12"/>
      <c r="U979" s="210"/>
      <c r="V979" s="13"/>
      <c r="W979" s="13"/>
      <c r="X979" s="13"/>
      <c r="Y979" s="13"/>
      <c r="Z979" s="13"/>
      <c r="AA979" s="13"/>
      <c r="AB979" s="13"/>
      <c r="AC979" s="13"/>
      <c r="AD979" s="13"/>
      <c r="AE979" s="13"/>
    </row>
    <row r="980" spans="1:31" ht="21" x14ac:dyDescent="0.4">
      <c r="A980" s="210"/>
      <c r="B980" s="108">
        <v>970</v>
      </c>
      <c r="C980" s="297">
        <v>1698.7441465180561</v>
      </c>
      <c r="D980" s="297">
        <v>3111.1491249690835</v>
      </c>
      <c r="E980" s="297">
        <v>18.935054658816004</v>
      </c>
      <c r="F980" s="297">
        <v>14.138777788452796</v>
      </c>
      <c r="G980" s="322">
        <v>-1412.4049784510273</v>
      </c>
      <c r="H980" s="322">
        <v>4.7962768703632079</v>
      </c>
      <c r="I980" s="322">
        <v>-294.47945075449115</v>
      </c>
      <c r="K980" s="223">
        <f t="shared" si="58"/>
        <v>1134404.5353824422</v>
      </c>
      <c r="L980" s="223">
        <f t="shared" si="58"/>
        <v>845215.51818219875</v>
      </c>
      <c r="M980" s="114">
        <f t="shared" si="59"/>
        <v>1</v>
      </c>
      <c r="N980" s="114">
        <f t="shared" si="60"/>
        <v>0</v>
      </c>
      <c r="T980" s="12"/>
      <c r="U980" s="210"/>
      <c r="V980" s="13"/>
      <c r="W980" s="13"/>
      <c r="X980" s="13"/>
      <c r="Y980" s="13"/>
      <c r="Z980" s="13"/>
      <c r="AA980" s="13"/>
      <c r="AB980" s="13"/>
      <c r="AC980" s="13"/>
      <c r="AD980" s="13"/>
      <c r="AE980" s="13"/>
    </row>
    <row r="981" spans="1:31" ht="21" x14ac:dyDescent="0.4">
      <c r="A981" s="210"/>
      <c r="B981" s="108">
        <v>971</v>
      </c>
      <c r="C981" s="297">
        <v>2262.5362677400826</v>
      </c>
      <c r="D981" s="297">
        <v>3036.2604298251913</v>
      </c>
      <c r="E981" s="297">
        <v>19.744426264373764</v>
      </c>
      <c r="F981" s="297">
        <v>14.480467875413856</v>
      </c>
      <c r="G981" s="322">
        <v>-773.72416208510867</v>
      </c>
      <c r="H981" s="322">
        <v>5.2639583889599084</v>
      </c>
      <c r="I981" s="322">
        <v>-146.98523523815066</v>
      </c>
      <c r="K981" s="223">
        <f t="shared" si="58"/>
        <v>1182403.0395946857</v>
      </c>
      <c r="L981" s="223">
        <f t="shared" si="58"/>
        <v>865791.81209500623</v>
      </c>
      <c r="M981" s="114">
        <f t="shared" si="59"/>
        <v>1</v>
      </c>
      <c r="N981" s="114">
        <f t="shared" si="60"/>
        <v>0</v>
      </c>
      <c r="T981" s="12"/>
      <c r="U981" s="210"/>
      <c r="V981" s="13"/>
      <c r="W981" s="13"/>
      <c r="X981" s="13"/>
      <c r="Y981" s="13"/>
      <c r="Z981" s="13"/>
      <c r="AA981" s="13"/>
      <c r="AB981" s="13"/>
      <c r="AC981" s="13"/>
      <c r="AD981" s="13"/>
      <c r="AE981" s="13"/>
    </row>
    <row r="982" spans="1:31" ht="21" x14ac:dyDescent="0.4">
      <c r="A982" s="210"/>
      <c r="B982" s="108">
        <v>972</v>
      </c>
      <c r="C982" s="297">
        <v>1968.5063218329888</v>
      </c>
      <c r="D982" s="297">
        <v>3291.6138982968168</v>
      </c>
      <c r="E982" s="297">
        <v>19.154290732126444</v>
      </c>
      <c r="F982" s="297">
        <v>13.322212975381815</v>
      </c>
      <c r="G982" s="322">
        <v>-1323.1075764638281</v>
      </c>
      <c r="H982" s="322">
        <v>5.8320777567446296</v>
      </c>
      <c r="I982" s="322">
        <v>-226.86727297723223</v>
      </c>
      <c r="K982" s="223">
        <f t="shared" si="58"/>
        <v>1147288.9376057538</v>
      </c>
      <c r="L982" s="223">
        <f t="shared" si="58"/>
        <v>796041.16462461208</v>
      </c>
      <c r="M982" s="114">
        <f t="shared" si="59"/>
        <v>1</v>
      </c>
      <c r="N982" s="114">
        <f t="shared" si="60"/>
        <v>0</v>
      </c>
      <c r="T982" s="12"/>
      <c r="U982" s="210"/>
      <c r="V982" s="13"/>
      <c r="W982" s="13"/>
      <c r="X982" s="13"/>
      <c r="Y982" s="13"/>
      <c r="Z982" s="13"/>
      <c r="AA982" s="13"/>
      <c r="AB982" s="13"/>
      <c r="AC982" s="13"/>
      <c r="AD982" s="13"/>
      <c r="AE982" s="13"/>
    </row>
    <row r="983" spans="1:31" ht="21" x14ac:dyDescent="0.4">
      <c r="A983" s="210"/>
      <c r="B983" s="108">
        <v>973</v>
      </c>
      <c r="C983" s="297">
        <v>2228.4105643283647</v>
      </c>
      <c r="D983" s="297">
        <v>2629.6717492893772</v>
      </c>
      <c r="E983" s="297">
        <v>19.101335364940489</v>
      </c>
      <c r="F983" s="297">
        <v>12.841070501876583</v>
      </c>
      <c r="G983" s="322">
        <v>-401.26118496101253</v>
      </c>
      <c r="H983" s="322">
        <v>6.2602648630639059</v>
      </c>
      <c r="I983" s="322">
        <v>-64.096518875501189</v>
      </c>
      <c r="K983" s="223">
        <f t="shared" si="58"/>
        <v>1143851.7113321011</v>
      </c>
      <c r="L983" s="223">
        <f t="shared" si="58"/>
        <v>767834.55836330564</v>
      </c>
      <c r="M983" s="114">
        <f t="shared" si="59"/>
        <v>1</v>
      </c>
      <c r="N983" s="114">
        <f t="shared" si="60"/>
        <v>0</v>
      </c>
      <c r="T983" s="12"/>
      <c r="U983" s="210"/>
      <c r="V983" s="13"/>
      <c r="W983" s="13"/>
      <c r="X983" s="13"/>
      <c r="Y983" s="13"/>
      <c r="Z983" s="13"/>
      <c r="AA983" s="13"/>
      <c r="AB983" s="13"/>
      <c r="AC983" s="13"/>
      <c r="AD983" s="13"/>
      <c r="AE983" s="13"/>
    </row>
    <row r="984" spans="1:31" ht="21" x14ac:dyDescent="0.4">
      <c r="A984" s="210"/>
      <c r="B984" s="108">
        <v>974</v>
      </c>
      <c r="C984" s="297">
        <v>2013.7281503243216</v>
      </c>
      <c r="D984" s="297">
        <v>2625.8645436033394</v>
      </c>
      <c r="E984" s="297">
        <v>19.014011604594604</v>
      </c>
      <c r="F984" s="297">
        <v>14.009826491062418</v>
      </c>
      <c r="G984" s="322">
        <v>-612.13639327901774</v>
      </c>
      <c r="H984" s="322">
        <v>5.004185113532186</v>
      </c>
      <c r="I984" s="322">
        <v>-122.32488994535686</v>
      </c>
      <c r="K984" s="223">
        <f t="shared" si="58"/>
        <v>1138826.9681253517</v>
      </c>
      <c r="L984" s="223">
        <f t="shared" si="58"/>
        <v>837963.72492014163</v>
      </c>
      <c r="M984" s="114">
        <f t="shared" si="59"/>
        <v>1</v>
      </c>
      <c r="N984" s="114">
        <f t="shared" si="60"/>
        <v>0</v>
      </c>
      <c r="T984" s="12"/>
      <c r="U984" s="210"/>
      <c r="V984" s="13"/>
      <c r="W984" s="13"/>
      <c r="X984" s="13"/>
      <c r="Y984" s="13"/>
      <c r="Z984" s="13"/>
      <c r="AA984" s="13"/>
      <c r="AB984" s="13"/>
      <c r="AC984" s="13"/>
      <c r="AD984" s="13"/>
      <c r="AE984" s="13"/>
    </row>
    <row r="985" spans="1:31" ht="21" x14ac:dyDescent="0.4">
      <c r="A985" s="210"/>
      <c r="B985" s="108">
        <v>975</v>
      </c>
      <c r="C985" s="297">
        <v>2017.8534958266896</v>
      </c>
      <c r="D985" s="297">
        <v>2848.5608053110377</v>
      </c>
      <c r="E985" s="297">
        <v>19.361280109397413</v>
      </c>
      <c r="F985" s="297">
        <v>13.940874107400417</v>
      </c>
      <c r="G985" s="322">
        <v>-830.70730948434812</v>
      </c>
      <c r="H985" s="322">
        <v>5.4204060019969962</v>
      </c>
      <c r="I985" s="322">
        <v>-153.25555118533507</v>
      </c>
      <c r="K985" s="223">
        <f t="shared" si="58"/>
        <v>1159658.953068018</v>
      </c>
      <c r="L985" s="223">
        <f t="shared" si="58"/>
        <v>833603.88563871395</v>
      </c>
      <c r="M985" s="114">
        <f t="shared" si="59"/>
        <v>1</v>
      </c>
      <c r="N985" s="114">
        <f t="shared" si="60"/>
        <v>0</v>
      </c>
      <c r="T985" s="12"/>
      <c r="U985" s="210"/>
      <c r="V985" s="13"/>
      <c r="W985" s="13"/>
      <c r="X985" s="13"/>
      <c r="Y985" s="13"/>
      <c r="Z985" s="13"/>
      <c r="AA985" s="13"/>
      <c r="AB985" s="13"/>
      <c r="AC985" s="13"/>
      <c r="AD985" s="13"/>
      <c r="AE985" s="13"/>
    </row>
    <row r="986" spans="1:31" ht="21" x14ac:dyDescent="0.4">
      <c r="A986" s="210"/>
      <c r="B986" s="108">
        <v>976</v>
      </c>
      <c r="C986" s="297">
        <v>2183.1926683519932</v>
      </c>
      <c r="D986" s="297">
        <v>3346.7628604366364</v>
      </c>
      <c r="E986" s="297">
        <v>18.601132190390928</v>
      </c>
      <c r="F986" s="297">
        <v>13.935480452651761</v>
      </c>
      <c r="G986" s="322">
        <v>-1163.5701920846432</v>
      </c>
      <c r="H986" s="322">
        <v>4.6656517377391662</v>
      </c>
      <c r="I986" s="322">
        <v>-249.3907084133275</v>
      </c>
      <c r="K986" s="223">
        <f t="shared" si="58"/>
        <v>1113884.7387551037</v>
      </c>
      <c r="L986" s="223">
        <f t="shared" si="58"/>
        <v>832782.06429866899</v>
      </c>
      <c r="M986" s="114">
        <f t="shared" si="59"/>
        <v>1</v>
      </c>
      <c r="N986" s="114">
        <f t="shared" si="60"/>
        <v>0</v>
      </c>
      <c r="T986" s="12"/>
      <c r="U986" s="210"/>
      <c r="V986" s="13"/>
      <c r="W986" s="13"/>
      <c r="X986" s="13"/>
      <c r="Y986" s="13"/>
      <c r="Z986" s="13"/>
      <c r="AA986" s="13"/>
      <c r="AB986" s="13"/>
      <c r="AC986" s="13"/>
      <c r="AD986" s="13"/>
      <c r="AE986" s="13"/>
    </row>
    <row r="987" spans="1:31" ht="21" x14ac:dyDescent="0.4">
      <c r="A987" s="210"/>
      <c r="B987" s="108">
        <v>977</v>
      </c>
      <c r="C987" s="297">
        <v>1900.8576151465904</v>
      </c>
      <c r="D987" s="297">
        <v>2682.6164780852391</v>
      </c>
      <c r="E987" s="297">
        <v>19.527316763248393</v>
      </c>
      <c r="F987" s="297">
        <v>14.492207571429377</v>
      </c>
      <c r="G987" s="322">
        <v>-781.75886293864869</v>
      </c>
      <c r="H987" s="322">
        <v>5.0351091918190161</v>
      </c>
      <c r="I987" s="322">
        <v>-155.26155107198886</v>
      </c>
      <c r="K987" s="223">
        <f t="shared" si="58"/>
        <v>1169738.1481797569</v>
      </c>
      <c r="L987" s="223">
        <f t="shared" si="58"/>
        <v>866849.83780767734</v>
      </c>
      <c r="M987" s="114">
        <f t="shared" si="59"/>
        <v>1</v>
      </c>
      <c r="N987" s="114">
        <f t="shared" si="60"/>
        <v>0</v>
      </c>
      <c r="T987" s="12"/>
      <c r="U987" s="210"/>
      <c r="V987" s="13"/>
      <c r="W987" s="13"/>
      <c r="X987" s="13"/>
      <c r="Y987" s="13"/>
      <c r="Z987" s="13"/>
      <c r="AA987" s="13"/>
      <c r="AB987" s="13"/>
      <c r="AC987" s="13"/>
      <c r="AD987" s="13"/>
      <c r="AE987" s="13"/>
    </row>
    <row r="988" spans="1:31" ht="21" x14ac:dyDescent="0.4">
      <c r="A988" s="210"/>
      <c r="B988" s="108">
        <v>978</v>
      </c>
      <c r="C988" s="297">
        <v>2106.5754085413078</v>
      </c>
      <c r="D988" s="297">
        <v>3761.7918485424107</v>
      </c>
      <c r="E988" s="297">
        <v>16.771661596433205</v>
      </c>
      <c r="F988" s="297">
        <v>11.576556500983633</v>
      </c>
      <c r="G988" s="322">
        <v>-1655.2164400011029</v>
      </c>
      <c r="H988" s="322">
        <v>5.1951050954495717</v>
      </c>
      <c r="I988" s="322">
        <v>-318.61077102192183</v>
      </c>
      <c r="K988" s="223">
        <f t="shared" si="58"/>
        <v>1004193.1203774509</v>
      </c>
      <c r="L988" s="223">
        <f t="shared" si="58"/>
        <v>690831.59821047564</v>
      </c>
      <c r="M988" s="114">
        <f t="shared" si="59"/>
        <v>1</v>
      </c>
      <c r="N988" s="114">
        <f t="shared" si="60"/>
        <v>0</v>
      </c>
      <c r="T988" s="12"/>
      <c r="U988" s="210"/>
      <c r="V988" s="13"/>
      <c r="W988" s="13"/>
      <c r="X988" s="13"/>
      <c r="Y988" s="13"/>
      <c r="Z988" s="13"/>
      <c r="AA988" s="13"/>
      <c r="AB988" s="13"/>
      <c r="AC988" s="13"/>
      <c r="AD988" s="13"/>
      <c r="AE988" s="13"/>
    </row>
    <row r="989" spans="1:31" ht="21" x14ac:dyDescent="0.4">
      <c r="A989" s="210"/>
      <c r="B989" s="108">
        <v>979</v>
      </c>
      <c r="C989" s="297">
        <v>1735.1084102206091</v>
      </c>
      <c r="D989" s="297">
        <v>3143.2047911109953</v>
      </c>
      <c r="E989" s="297">
        <v>19.417344900396017</v>
      </c>
      <c r="F989" s="297">
        <v>14.691509457909211</v>
      </c>
      <c r="G989" s="322">
        <v>-1408.0963808903862</v>
      </c>
      <c r="H989" s="322">
        <v>4.7258354424868063</v>
      </c>
      <c r="I989" s="322">
        <v>-297.95713329989002</v>
      </c>
      <c r="K989" s="223">
        <f t="shared" si="58"/>
        <v>1163305.5856135404</v>
      </c>
      <c r="L989" s="223">
        <f t="shared" si="58"/>
        <v>878347.36268344172</v>
      </c>
      <c r="M989" s="114">
        <f t="shared" si="59"/>
        <v>1</v>
      </c>
      <c r="N989" s="114">
        <f t="shared" si="60"/>
        <v>0</v>
      </c>
      <c r="T989" s="12"/>
      <c r="U989" s="210"/>
      <c r="V989" s="13"/>
      <c r="W989" s="13"/>
      <c r="X989" s="13"/>
      <c r="Y989" s="13"/>
      <c r="Z989" s="13"/>
      <c r="AA989" s="13"/>
      <c r="AB989" s="13"/>
      <c r="AC989" s="13"/>
      <c r="AD989" s="13"/>
      <c r="AE989" s="13"/>
    </row>
    <row r="990" spans="1:31" ht="21" x14ac:dyDescent="0.4">
      <c r="A990" s="210"/>
      <c r="B990" s="108">
        <v>980</v>
      </c>
      <c r="C990" s="297">
        <v>1861.9799610003695</v>
      </c>
      <c r="D990" s="297">
        <v>2607.6758246975483</v>
      </c>
      <c r="E990" s="297">
        <v>19.434931243409714</v>
      </c>
      <c r="F990" s="297">
        <v>15.409660909728228</v>
      </c>
      <c r="G990" s="322">
        <v>-745.69586369717877</v>
      </c>
      <c r="H990" s="322">
        <v>4.0252703336814868</v>
      </c>
      <c r="I990" s="322">
        <v>-185.25361078424018</v>
      </c>
      <c r="K990" s="223">
        <f t="shared" si="58"/>
        <v>1164233.8946435824</v>
      </c>
      <c r="L990" s="223">
        <f t="shared" si="58"/>
        <v>921971.978758996</v>
      </c>
      <c r="M990" s="114">
        <f t="shared" si="59"/>
        <v>1</v>
      </c>
      <c r="N990" s="114">
        <f t="shared" si="60"/>
        <v>0</v>
      </c>
      <c r="T990" s="12"/>
      <c r="U990" s="210"/>
      <c r="V990" s="13"/>
      <c r="W990" s="13"/>
      <c r="X990" s="13"/>
      <c r="Y990" s="13"/>
      <c r="Z990" s="13"/>
      <c r="AA990" s="13"/>
      <c r="AB990" s="13"/>
      <c r="AC990" s="13"/>
      <c r="AD990" s="13"/>
      <c r="AE990" s="13"/>
    </row>
    <row r="991" spans="1:31" ht="21" x14ac:dyDescent="0.4">
      <c r="A991" s="210"/>
      <c r="B991" s="108">
        <v>981</v>
      </c>
      <c r="C991" s="297">
        <v>2190.9847891964455</v>
      </c>
      <c r="D991" s="297">
        <v>3475.2321952164912</v>
      </c>
      <c r="E991" s="297">
        <v>19.036474722582348</v>
      </c>
      <c r="F991" s="297">
        <v>13.523937637282849</v>
      </c>
      <c r="G991" s="322">
        <v>-1284.2474060200457</v>
      </c>
      <c r="H991" s="322">
        <v>5.512537085299499</v>
      </c>
      <c r="I991" s="322">
        <v>-232.96848368508924</v>
      </c>
      <c r="K991" s="223">
        <f t="shared" si="58"/>
        <v>1139997.4985657444</v>
      </c>
      <c r="L991" s="223">
        <f t="shared" si="58"/>
        <v>807961.02604175452</v>
      </c>
      <c r="M991" s="114">
        <f t="shared" si="59"/>
        <v>1</v>
      </c>
      <c r="N991" s="114">
        <f t="shared" si="60"/>
        <v>0</v>
      </c>
      <c r="T991" s="12"/>
      <c r="U991" s="210"/>
      <c r="V991" s="13"/>
      <c r="W991" s="13"/>
      <c r="X991" s="13"/>
      <c r="Y991" s="13"/>
      <c r="Z991" s="13"/>
      <c r="AA991" s="13"/>
      <c r="AB991" s="13"/>
      <c r="AC991" s="13"/>
      <c r="AD991" s="13"/>
      <c r="AE991" s="13"/>
    </row>
    <row r="992" spans="1:31" ht="21" x14ac:dyDescent="0.4">
      <c r="A992" s="210"/>
      <c r="B992" s="108">
        <v>982</v>
      </c>
      <c r="C992" s="297">
        <v>2283.5162090864987</v>
      </c>
      <c r="D992" s="297">
        <v>3920.2868620511745</v>
      </c>
      <c r="E992" s="297">
        <v>17.117131810439574</v>
      </c>
      <c r="F992" s="297">
        <v>12.276239462741307</v>
      </c>
      <c r="G992" s="322">
        <v>-1636.7706529646757</v>
      </c>
      <c r="H992" s="322">
        <v>4.8408923476982668</v>
      </c>
      <c r="I992" s="322">
        <v>-338.11341699075842</v>
      </c>
      <c r="K992" s="223">
        <f t="shared" si="58"/>
        <v>1024744.3924172879</v>
      </c>
      <c r="L992" s="223">
        <f t="shared" si="58"/>
        <v>732654.0809024272</v>
      </c>
      <c r="M992" s="114">
        <f t="shared" si="59"/>
        <v>1</v>
      </c>
      <c r="N992" s="114">
        <f t="shared" si="60"/>
        <v>0</v>
      </c>
      <c r="T992" s="12"/>
      <c r="U992" s="210"/>
      <c r="V992" s="13"/>
      <c r="W992" s="13"/>
      <c r="X992" s="13"/>
      <c r="Y992" s="13"/>
      <c r="Z992" s="13"/>
      <c r="AA992" s="13"/>
      <c r="AB992" s="13"/>
      <c r="AC992" s="13"/>
      <c r="AD992" s="13"/>
      <c r="AE992" s="13"/>
    </row>
    <row r="993" spans="1:31" ht="21" x14ac:dyDescent="0.4">
      <c r="A993" s="210"/>
      <c r="B993" s="108">
        <v>983</v>
      </c>
      <c r="C993" s="297">
        <v>2369.4469079239043</v>
      </c>
      <c r="D993" s="297">
        <v>2719.8628203843982</v>
      </c>
      <c r="E993" s="297">
        <v>19.47544360645</v>
      </c>
      <c r="F993" s="297">
        <v>14.451775568486179</v>
      </c>
      <c r="G993" s="322">
        <v>-350.41591246049393</v>
      </c>
      <c r="H993" s="322">
        <v>5.0236680379638212</v>
      </c>
      <c r="I993" s="322">
        <v>-69.752999165630285</v>
      </c>
      <c r="K993" s="223">
        <f t="shared" si="58"/>
        <v>1166157.1694790763</v>
      </c>
      <c r="L993" s="223">
        <f t="shared" si="58"/>
        <v>864386.67128878622</v>
      </c>
      <c r="M993" s="114">
        <f t="shared" si="59"/>
        <v>1</v>
      </c>
      <c r="N993" s="114">
        <f t="shared" si="60"/>
        <v>0</v>
      </c>
      <c r="T993" s="12"/>
      <c r="U993" s="210"/>
      <c r="V993" s="13"/>
      <c r="W993" s="13"/>
      <c r="X993" s="13"/>
      <c r="Y993" s="13"/>
      <c r="Z993" s="13"/>
      <c r="AA993" s="13"/>
      <c r="AB993" s="13"/>
      <c r="AC993" s="13"/>
      <c r="AD993" s="13"/>
      <c r="AE993" s="13"/>
    </row>
    <row r="994" spans="1:31" ht="21" x14ac:dyDescent="0.4">
      <c r="A994" s="210"/>
      <c r="B994" s="108">
        <v>984</v>
      </c>
      <c r="C994" s="297">
        <v>1954.2262146564767</v>
      </c>
      <c r="D994" s="297">
        <v>2808.2496325091779</v>
      </c>
      <c r="E994" s="297">
        <v>20.202268577263055</v>
      </c>
      <c r="F994" s="297">
        <v>15.11443151001613</v>
      </c>
      <c r="G994" s="322">
        <v>-854.02341785270119</v>
      </c>
      <c r="H994" s="322">
        <v>5.0878370672469249</v>
      </c>
      <c r="I994" s="322">
        <v>-167.85588975529458</v>
      </c>
      <c r="K994" s="223">
        <f t="shared" si="58"/>
        <v>1210181.8884211269</v>
      </c>
      <c r="L994" s="223">
        <f t="shared" si="58"/>
        <v>904057.64096845861</v>
      </c>
      <c r="M994" s="114">
        <f t="shared" si="59"/>
        <v>1</v>
      </c>
      <c r="N994" s="114">
        <f t="shared" si="60"/>
        <v>0</v>
      </c>
      <c r="T994" s="12"/>
      <c r="U994" s="210"/>
      <c r="V994" s="13"/>
      <c r="W994" s="13"/>
      <c r="X994" s="13"/>
      <c r="Y994" s="13"/>
      <c r="Z994" s="13"/>
      <c r="AA994" s="13"/>
      <c r="AB994" s="13"/>
      <c r="AC994" s="13"/>
      <c r="AD994" s="13"/>
      <c r="AE994" s="13"/>
    </row>
    <row r="995" spans="1:31" ht="21" x14ac:dyDescent="0.4">
      <c r="A995" s="210"/>
      <c r="B995" s="108">
        <v>985</v>
      </c>
      <c r="C995" s="297">
        <v>2196.4387224286993</v>
      </c>
      <c r="D995" s="297">
        <v>2978.3619991829737</v>
      </c>
      <c r="E995" s="297">
        <v>18.099213160134571</v>
      </c>
      <c r="F995" s="297">
        <v>12.460192571496073</v>
      </c>
      <c r="G995" s="322">
        <v>-781.92327675427441</v>
      </c>
      <c r="H995" s="322">
        <v>5.6390205886384983</v>
      </c>
      <c r="I995" s="322">
        <v>-138.66295830337876</v>
      </c>
      <c r="K995" s="223">
        <f t="shared" si="58"/>
        <v>1083756.3508856457</v>
      </c>
      <c r="L995" s="223">
        <f t="shared" si="58"/>
        <v>744633.19229058141</v>
      </c>
      <c r="M995" s="114">
        <f t="shared" si="59"/>
        <v>1</v>
      </c>
      <c r="N995" s="114">
        <f t="shared" si="60"/>
        <v>0</v>
      </c>
      <c r="T995" s="12"/>
      <c r="U995" s="210"/>
      <c r="V995" s="13"/>
      <c r="W995" s="13"/>
      <c r="X995" s="13"/>
      <c r="Y995" s="13"/>
      <c r="Z995" s="13"/>
      <c r="AA995" s="13"/>
      <c r="AB995" s="13"/>
      <c r="AC995" s="13"/>
      <c r="AD995" s="13"/>
      <c r="AE995" s="13"/>
    </row>
    <row r="996" spans="1:31" ht="21" x14ac:dyDescent="0.4">
      <c r="A996" s="210"/>
      <c r="B996" s="108">
        <v>986</v>
      </c>
      <c r="C996" s="297">
        <v>1943.5065754046404</v>
      </c>
      <c r="D996" s="297">
        <v>3207.6113600860199</v>
      </c>
      <c r="E996" s="297">
        <v>20.670509750062202</v>
      </c>
      <c r="F996" s="297">
        <v>15.049737457328959</v>
      </c>
      <c r="G996" s="322">
        <v>-1264.1047846813794</v>
      </c>
      <c r="H996" s="322">
        <v>5.6207722927332426</v>
      </c>
      <c r="I996" s="322">
        <v>-224.89877170716633</v>
      </c>
      <c r="K996" s="223">
        <f t="shared" si="58"/>
        <v>1238287.0784283273</v>
      </c>
      <c r="L996" s="223">
        <f t="shared" si="58"/>
        <v>899776.63607965154</v>
      </c>
      <c r="M996" s="114">
        <f t="shared" si="59"/>
        <v>1</v>
      </c>
      <c r="N996" s="114">
        <f t="shared" si="60"/>
        <v>0</v>
      </c>
      <c r="T996" s="12"/>
      <c r="U996" s="210"/>
      <c r="V996" s="13"/>
      <c r="W996" s="13"/>
      <c r="X996" s="13"/>
      <c r="Y996" s="13"/>
      <c r="Z996" s="13"/>
      <c r="AA996" s="13"/>
      <c r="AB996" s="13"/>
      <c r="AC996" s="13"/>
      <c r="AD996" s="13"/>
      <c r="AE996" s="13"/>
    </row>
    <row r="997" spans="1:31" ht="21" x14ac:dyDescent="0.4">
      <c r="A997" s="210"/>
      <c r="B997" s="108">
        <v>987</v>
      </c>
      <c r="C997" s="297">
        <v>2227.8608307413028</v>
      </c>
      <c r="D997" s="297">
        <v>3722.2718180258498</v>
      </c>
      <c r="E997" s="297">
        <v>17.594126839024938</v>
      </c>
      <c r="F997" s="297">
        <v>12.933740109909262</v>
      </c>
      <c r="G997" s="322">
        <v>-1494.410987284547</v>
      </c>
      <c r="H997" s="322">
        <v>4.6603867291156753</v>
      </c>
      <c r="I997" s="322">
        <v>-320.66244158413798</v>
      </c>
      <c r="K997" s="223">
        <f t="shared" si="58"/>
        <v>1053419.7495107551</v>
      </c>
      <c r="L997" s="223">
        <f t="shared" si="58"/>
        <v>772302.13477652986</v>
      </c>
      <c r="M997" s="114">
        <f t="shared" si="59"/>
        <v>1</v>
      </c>
      <c r="N997" s="114">
        <f t="shared" si="60"/>
        <v>0</v>
      </c>
      <c r="T997" s="12"/>
      <c r="U997" s="210"/>
      <c r="V997" s="13"/>
      <c r="W997" s="13"/>
      <c r="X997" s="13"/>
      <c r="Y997" s="13"/>
      <c r="Z997" s="13"/>
      <c r="AA997" s="13"/>
      <c r="AB997" s="13"/>
      <c r="AC997" s="13"/>
      <c r="AD997" s="13"/>
      <c r="AE997" s="13"/>
    </row>
    <row r="998" spans="1:31" ht="21" x14ac:dyDescent="0.4">
      <c r="A998" s="210"/>
      <c r="B998" s="108">
        <v>988</v>
      </c>
      <c r="C998" s="297">
        <v>2126.3461913070505</v>
      </c>
      <c r="D998" s="297">
        <v>3255.3045837334412</v>
      </c>
      <c r="E998" s="297">
        <v>20.492683738613092</v>
      </c>
      <c r="F998" s="297">
        <v>14.73580497645718</v>
      </c>
      <c r="G998" s="322">
        <v>-1128.9583924263907</v>
      </c>
      <c r="H998" s="322">
        <v>5.7568787621559121</v>
      </c>
      <c r="I998" s="322">
        <v>-196.10598712758082</v>
      </c>
      <c r="K998" s="223">
        <f t="shared" si="58"/>
        <v>1227434.6781254786</v>
      </c>
      <c r="L998" s="223">
        <f t="shared" si="58"/>
        <v>880892.99400369741</v>
      </c>
      <c r="M998" s="114">
        <f t="shared" si="59"/>
        <v>1</v>
      </c>
      <c r="N998" s="114">
        <f t="shared" si="60"/>
        <v>0</v>
      </c>
      <c r="T998" s="12"/>
      <c r="U998" s="210"/>
      <c r="V998" s="13"/>
      <c r="W998" s="13"/>
      <c r="X998" s="13"/>
      <c r="Y998" s="13"/>
      <c r="Z998" s="13"/>
      <c r="AA998" s="13"/>
      <c r="AB998" s="13"/>
      <c r="AC998" s="13"/>
      <c r="AD998" s="13"/>
      <c r="AE998" s="13"/>
    </row>
    <row r="999" spans="1:31" ht="21" x14ac:dyDescent="0.4">
      <c r="A999" s="210"/>
      <c r="B999" s="108">
        <v>989</v>
      </c>
      <c r="C999" s="297">
        <v>2272.8196693931022</v>
      </c>
      <c r="D999" s="297">
        <v>3511.7297882543198</v>
      </c>
      <c r="E999" s="297">
        <v>18.2217250312743</v>
      </c>
      <c r="F999" s="297">
        <v>13.514255540961948</v>
      </c>
      <c r="G999" s="322">
        <v>-1238.9101188612176</v>
      </c>
      <c r="H999" s="322">
        <v>4.7074694903123522</v>
      </c>
      <c r="I999" s="322">
        <v>-263.1796385320838</v>
      </c>
      <c r="K999" s="223">
        <f t="shared" si="58"/>
        <v>1091030.6822070649</v>
      </c>
      <c r="L999" s="223">
        <f t="shared" si="58"/>
        <v>807343.60266946245</v>
      </c>
      <c r="M999" s="114">
        <f t="shared" si="59"/>
        <v>1</v>
      </c>
      <c r="N999" s="114">
        <f t="shared" si="60"/>
        <v>0</v>
      </c>
      <c r="T999" s="12"/>
      <c r="U999" s="210"/>
      <c r="V999" s="13"/>
      <c r="W999" s="13"/>
      <c r="X999" s="13"/>
      <c r="Y999" s="13"/>
      <c r="Z999" s="13"/>
      <c r="AA999" s="13"/>
      <c r="AB999" s="13"/>
      <c r="AC999" s="13"/>
      <c r="AD999" s="13"/>
      <c r="AE999" s="13"/>
    </row>
    <row r="1000" spans="1:31" ht="21" x14ac:dyDescent="0.4">
      <c r="A1000" s="210"/>
      <c r="B1000" s="108">
        <v>990</v>
      </c>
      <c r="C1000" s="297">
        <v>2158.9433021978512</v>
      </c>
      <c r="D1000" s="297">
        <v>3316.6362846378756</v>
      </c>
      <c r="E1000" s="297">
        <v>18.499246882237497</v>
      </c>
      <c r="F1000" s="297">
        <v>13.277738552444426</v>
      </c>
      <c r="G1000" s="322">
        <v>-1157.6929824400245</v>
      </c>
      <c r="H1000" s="322">
        <v>5.2215083297930711</v>
      </c>
      <c r="I1000" s="322">
        <v>-221.71619948098484</v>
      </c>
      <c r="K1000" s="223">
        <f t="shared" si="58"/>
        <v>1107795.869632052</v>
      </c>
      <c r="L1000" s="223">
        <f t="shared" si="58"/>
        <v>793347.67686202773</v>
      </c>
      <c r="M1000" s="114">
        <f t="shared" si="59"/>
        <v>1</v>
      </c>
      <c r="N1000" s="114">
        <f t="shared" si="60"/>
        <v>0</v>
      </c>
      <c r="T1000" s="12"/>
      <c r="U1000" s="210"/>
      <c r="V1000" s="13"/>
      <c r="W1000" s="13"/>
      <c r="X1000" s="13"/>
      <c r="Y1000" s="13"/>
      <c r="Z1000" s="13"/>
      <c r="AA1000" s="13"/>
      <c r="AB1000" s="13"/>
      <c r="AC1000" s="13"/>
      <c r="AD1000" s="13"/>
      <c r="AE1000" s="13"/>
    </row>
    <row r="1001" spans="1:31" ht="21" x14ac:dyDescent="0.4">
      <c r="A1001" s="210"/>
      <c r="B1001" s="108">
        <v>991</v>
      </c>
      <c r="C1001" s="297">
        <v>2386.7890674902396</v>
      </c>
      <c r="D1001" s="297">
        <v>3292.2458429238031</v>
      </c>
      <c r="E1001" s="297">
        <v>20.537560011768306</v>
      </c>
      <c r="F1001" s="297">
        <v>14.41410839618638</v>
      </c>
      <c r="G1001" s="322">
        <v>-905.45677543356351</v>
      </c>
      <c r="H1001" s="322">
        <v>6.1234516155819261</v>
      </c>
      <c r="I1001" s="322">
        <v>-147.86705803790625</v>
      </c>
      <c r="K1001" s="223">
        <f t="shared" si="58"/>
        <v>1229866.8116386081</v>
      </c>
      <c r="L1001" s="223">
        <f t="shared" si="58"/>
        <v>861554.25792825909</v>
      </c>
      <c r="M1001" s="114">
        <f t="shared" si="59"/>
        <v>1</v>
      </c>
      <c r="N1001" s="114">
        <f t="shared" si="60"/>
        <v>0</v>
      </c>
      <c r="T1001" s="12"/>
      <c r="U1001" s="210"/>
      <c r="V1001" s="13"/>
      <c r="W1001" s="13"/>
      <c r="X1001" s="13"/>
      <c r="Y1001" s="13"/>
      <c r="Z1001" s="13"/>
      <c r="AA1001" s="13"/>
      <c r="AB1001" s="13"/>
      <c r="AC1001" s="13"/>
      <c r="AD1001" s="13"/>
      <c r="AE1001" s="13"/>
    </row>
    <row r="1002" spans="1:31" ht="21" x14ac:dyDescent="0.4">
      <c r="A1002" s="210"/>
      <c r="B1002" s="108">
        <v>992</v>
      </c>
      <c r="C1002" s="297">
        <v>2166.6116759520773</v>
      </c>
      <c r="D1002" s="297">
        <v>2850.7802469721883</v>
      </c>
      <c r="E1002" s="297">
        <v>18.559680268083451</v>
      </c>
      <c r="F1002" s="297">
        <v>13.882591924317406</v>
      </c>
      <c r="G1002" s="322">
        <v>-684.1685710201109</v>
      </c>
      <c r="H1002" s="322">
        <v>4.6770883437660444</v>
      </c>
      <c r="I1002" s="322">
        <v>-146.28087406816238</v>
      </c>
      <c r="K1002" s="223">
        <f t="shared" si="58"/>
        <v>1111414.2044090549</v>
      </c>
      <c r="L1002" s="223">
        <f t="shared" si="58"/>
        <v>830104.73521207215</v>
      </c>
      <c r="M1002" s="114">
        <f t="shared" si="59"/>
        <v>1</v>
      </c>
      <c r="N1002" s="114">
        <f t="shared" si="60"/>
        <v>0</v>
      </c>
      <c r="T1002" s="12"/>
      <c r="U1002" s="210"/>
      <c r="V1002" s="13"/>
      <c r="W1002" s="13"/>
      <c r="X1002" s="13"/>
      <c r="Y1002" s="13"/>
      <c r="Z1002" s="13"/>
      <c r="AA1002" s="13"/>
      <c r="AB1002" s="13"/>
      <c r="AC1002" s="13"/>
      <c r="AD1002" s="13"/>
      <c r="AE1002" s="13"/>
    </row>
    <row r="1003" spans="1:31" ht="21" x14ac:dyDescent="0.4">
      <c r="A1003" s="210"/>
      <c r="B1003" s="108">
        <v>993</v>
      </c>
      <c r="C1003" s="297">
        <v>2027.1807946022509</v>
      </c>
      <c r="D1003" s="297">
        <v>3043.9269304457803</v>
      </c>
      <c r="E1003" s="297">
        <v>18.028681678890781</v>
      </c>
      <c r="F1003" s="297">
        <v>12.377327794237839</v>
      </c>
      <c r="G1003" s="322">
        <v>-1016.7461358435294</v>
      </c>
      <c r="H1003" s="322">
        <v>5.6513538846529414</v>
      </c>
      <c r="I1003" s="322">
        <v>-179.9119567798875</v>
      </c>
      <c r="K1003" s="223">
        <f t="shared" si="58"/>
        <v>1079693.7199388447</v>
      </c>
      <c r="L1003" s="223">
        <f t="shared" si="58"/>
        <v>739595.74072382448</v>
      </c>
      <c r="M1003" s="114">
        <f t="shared" si="59"/>
        <v>1</v>
      </c>
      <c r="N1003" s="114">
        <f t="shared" si="60"/>
        <v>0</v>
      </c>
      <c r="T1003" s="12"/>
      <c r="U1003" s="210"/>
      <c r="V1003" s="13"/>
      <c r="W1003" s="13"/>
      <c r="X1003" s="13"/>
      <c r="Y1003" s="13"/>
      <c r="Z1003" s="13"/>
      <c r="AA1003" s="13"/>
      <c r="AB1003" s="13"/>
      <c r="AC1003" s="13"/>
      <c r="AD1003" s="13"/>
      <c r="AE1003" s="13"/>
    </row>
    <row r="1004" spans="1:31" ht="21" x14ac:dyDescent="0.4">
      <c r="A1004" s="210"/>
      <c r="B1004" s="108">
        <v>994</v>
      </c>
      <c r="C1004" s="297">
        <v>2216.1052982654164</v>
      </c>
      <c r="D1004" s="297">
        <v>2875.2220939192907</v>
      </c>
      <c r="E1004" s="297">
        <v>19.216072397409693</v>
      </c>
      <c r="F1004" s="297">
        <v>13.4658885864417</v>
      </c>
      <c r="G1004" s="322">
        <v>-659.11679565387431</v>
      </c>
      <c r="H1004" s="322">
        <v>5.750183810967993</v>
      </c>
      <c r="I1004" s="322">
        <v>-114.62534369712918</v>
      </c>
      <c r="K1004" s="223">
        <f t="shared" si="58"/>
        <v>1150748.2385463163</v>
      </c>
      <c r="L1004" s="223">
        <f t="shared" si="58"/>
        <v>805078.09309258277</v>
      </c>
      <c r="M1004" s="114">
        <f t="shared" si="59"/>
        <v>1</v>
      </c>
      <c r="N1004" s="114">
        <f t="shared" si="60"/>
        <v>0</v>
      </c>
      <c r="T1004" s="12"/>
      <c r="U1004" s="210"/>
      <c r="V1004" s="13"/>
      <c r="W1004" s="13"/>
      <c r="X1004" s="13"/>
      <c r="Y1004" s="13"/>
      <c r="Z1004" s="13"/>
      <c r="AA1004" s="13"/>
      <c r="AB1004" s="13"/>
      <c r="AC1004" s="13"/>
      <c r="AD1004" s="13"/>
      <c r="AE1004" s="13"/>
    </row>
    <row r="1005" spans="1:31" ht="21" x14ac:dyDescent="0.4">
      <c r="A1005" s="210"/>
      <c r="B1005" s="108">
        <v>995</v>
      </c>
      <c r="C1005" s="297">
        <v>2274.1274189309961</v>
      </c>
      <c r="D1005" s="297">
        <v>3399.1623884218207</v>
      </c>
      <c r="E1005" s="297">
        <v>15.926140953593912</v>
      </c>
      <c r="F1005" s="297">
        <v>11.235139808800499</v>
      </c>
      <c r="G1005" s="322">
        <v>-1125.0349694908246</v>
      </c>
      <c r="H1005" s="322">
        <v>4.6910011447934128</v>
      </c>
      <c r="I1005" s="322">
        <v>-239.82832976698623</v>
      </c>
      <c r="K1005" s="223">
        <f t="shared" si="58"/>
        <v>953294.32979670365</v>
      </c>
      <c r="L1005" s="223">
        <f t="shared" si="58"/>
        <v>670709.22613960807</v>
      </c>
      <c r="M1005" s="114">
        <f t="shared" si="59"/>
        <v>1</v>
      </c>
      <c r="N1005" s="114">
        <f t="shared" si="60"/>
        <v>0</v>
      </c>
      <c r="T1005" s="12"/>
      <c r="U1005" s="210"/>
      <c r="V1005" s="13"/>
      <c r="W1005" s="13"/>
      <c r="X1005" s="13"/>
      <c r="Y1005" s="13"/>
      <c r="Z1005" s="13"/>
      <c r="AA1005" s="13"/>
      <c r="AB1005" s="13"/>
      <c r="AC1005" s="13"/>
      <c r="AD1005" s="13"/>
      <c r="AE1005" s="13"/>
    </row>
    <row r="1006" spans="1:31" ht="21" x14ac:dyDescent="0.4">
      <c r="A1006" s="210"/>
      <c r="B1006" s="108">
        <v>996</v>
      </c>
      <c r="C1006" s="297">
        <v>1885.0701888545004</v>
      </c>
      <c r="D1006" s="297">
        <v>3090.0337048254196</v>
      </c>
      <c r="E1006" s="297">
        <v>17.361589391439921</v>
      </c>
      <c r="F1006" s="297">
        <v>12.108878330158916</v>
      </c>
      <c r="G1006" s="322">
        <v>-1204.9635159709192</v>
      </c>
      <c r="H1006" s="322">
        <v>5.2527110612810048</v>
      </c>
      <c r="I1006" s="322">
        <v>-229.39840054272065</v>
      </c>
      <c r="K1006" s="223">
        <f t="shared" si="58"/>
        <v>1039810.2932975407</v>
      </c>
      <c r="L1006" s="223">
        <f t="shared" si="58"/>
        <v>723442.6661047095</v>
      </c>
      <c r="M1006" s="114">
        <f t="shared" si="59"/>
        <v>1</v>
      </c>
      <c r="N1006" s="114">
        <f t="shared" si="60"/>
        <v>0</v>
      </c>
      <c r="T1006" s="12"/>
      <c r="U1006" s="210"/>
      <c r="V1006" s="13"/>
      <c r="W1006" s="13"/>
      <c r="X1006" s="13"/>
      <c r="Y1006" s="13"/>
      <c r="Z1006" s="13"/>
      <c r="AA1006" s="13"/>
      <c r="AB1006" s="13"/>
      <c r="AC1006" s="13"/>
      <c r="AD1006" s="13"/>
      <c r="AE1006" s="13"/>
    </row>
    <row r="1007" spans="1:31" ht="21" x14ac:dyDescent="0.4">
      <c r="A1007" s="210"/>
      <c r="B1007" s="108">
        <v>997</v>
      </c>
      <c r="C1007" s="297">
        <v>2002.9297118481149</v>
      </c>
      <c r="D1007" s="297">
        <v>3555.7875333671973</v>
      </c>
      <c r="E1007" s="297">
        <v>19.042106962656344</v>
      </c>
      <c r="F1007" s="297">
        <v>14.181406233364585</v>
      </c>
      <c r="G1007" s="322">
        <v>-1552.8578215190823</v>
      </c>
      <c r="H1007" s="322">
        <v>4.860700729291759</v>
      </c>
      <c r="I1007" s="322">
        <v>-319.47200784470954</v>
      </c>
      <c r="K1007" s="223">
        <f t="shared" si="58"/>
        <v>1140523.4880475327</v>
      </c>
      <c r="L1007" s="223">
        <f t="shared" si="58"/>
        <v>847328.586468508</v>
      </c>
      <c r="M1007" s="114">
        <f t="shared" si="59"/>
        <v>1</v>
      </c>
      <c r="N1007" s="114">
        <f t="shared" si="60"/>
        <v>0</v>
      </c>
      <c r="T1007" s="12"/>
      <c r="U1007" s="210"/>
      <c r="V1007" s="13"/>
      <c r="W1007" s="13"/>
      <c r="X1007" s="13"/>
      <c r="Y1007" s="13"/>
      <c r="Z1007" s="13"/>
      <c r="AA1007" s="13"/>
      <c r="AB1007" s="13"/>
      <c r="AC1007" s="13"/>
      <c r="AD1007" s="13"/>
      <c r="AE1007" s="13"/>
    </row>
    <row r="1008" spans="1:31" ht="21" x14ac:dyDescent="0.4">
      <c r="A1008" s="210"/>
      <c r="B1008" s="108">
        <v>998</v>
      </c>
      <c r="C1008" s="297">
        <v>2253.287589268376</v>
      </c>
      <c r="D1008" s="297">
        <v>3487.1277238126158</v>
      </c>
      <c r="E1008" s="297">
        <v>19.515824688466001</v>
      </c>
      <c r="F1008" s="297">
        <v>13.509949477543573</v>
      </c>
      <c r="G1008" s="322">
        <v>-1233.8401345442398</v>
      </c>
      <c r="H1008" s="322">
        <v>6.0058752109224276</v>
      </c>
      <c r="I1008" s="322">
        <v>-205.4388563219477</v>
      </c>
      <c r="K1008" s="223">
        <f t="shared" si="58"/>
        <v>1168696.1937186918</v>
      </c>
      <c r="L1008" s="223">
        <f t="shared" si="58"/>
        <v>807109.8409288018</v>
      </c>
      <c r="M1008" s="114">
        <f t="shared" si="59"/>
        <v>1</v>
      </c>
      <c r="N1008" s="114">
        <f t="shared" si="60"/>
        <v>0</v>
      </c>
      <c r="T1008" s="12"/>
      <c r="U1008" s="210"/>
      <c r="V1008" s="13"/>
      <c r="W1008" s="13"/>
      <c r="X1008" s="13"/>
      <c r="Y1008" s="13"/>
      <c r="Z1008" s="13"/>
      <c r="AA1008" s="13"/>
      <c r="AB1008" s="13"/>
      <c r="AC1008" s="13"/>
      <c r="AD1008" s="13"/>
      <c r="AE1008" s="13"/>
    </row>
    <row r="1009" spans="1:31" ht="21" x14ac:dyDescent="0.4">
      <c r="A1009" s="210"/>
      <c r="B1009" s="108">
        <v>999</v>
      </c>
      <c r="C1009" s="297">
        <v>2053.7177482243846</v>
      </c>
      <c r="D1009" s="297">
        <v>2925.788490292297</v>
      </c>
      <c r="E1009" s="297">
        <v>20.725466569490258</v>
      </c>
      <c r="F1009" s="297">
        <v>15.147040053252439</v>
      </c>
      <c r="G1009" s="322">
        <v>-872.07074206791231</v>
      </c>
      <c r="H1009" s="322">
        <v>5.578426516237819</v>
      </c>
      <c r="I1009" s="322">
        <v>-156.32916191142209</v>
      </c>
      <c r="K1009" s="223">
        <f t="shared" si="58"/>
        <v>1241474.2764211912</v>
      </c>
      <c r="L1009" s="223">
        <f t="shared" si="58"/>
        <v>905896.61470485409</v>
      </c>
      <c r="M1009" s="114">
        <f t="shared" si="59"/>
        <v>1</v>
      </c>
      <c r="N1009" s="114">
        <f t="shared" si="60"/>
        <v>0</v>
      </c>
      <c r="T1009" s="12"/>
      <c r="U1009" s="210"/>
      <c r="V1009" s="13"/>
      <c r="W1009" s="13"/>
      <c r="X1009" s="13"/>
      <c r="Y1009" s="13"/>
      <c r="Z1009" s="13"/>
      <c r="AA1009" s="13"/>
      <c r="AB1009" s="13"/>
      <c r="AC1009" s="13"/>
      <c r="AD1009" s="13"/>
      <c r="AE1009" s="13"/>
    </row>
    <row r="1010" spans="1:31" ht="21" x14ac:dyDescent="0.4">
      <c r="A1010" s="210"/>
      <c r="B1010" s="108">
        <v>1000</v>
      </c>
      <c r="C1010" s="297">
        <v>2501.8242795536053</v>
      </c>
      <c r="D1010" s="297">
        <v>3323.3046053907128</v>
      </c>
      <c r="E1010" s="297">
        <v>20.924741599693117</v>
      </c>
      <c r="F1010" s="297">
        <v>14.663215836865522</v>
      </c>
      <c r="G1010" s="322">
        <v>-821.48032583710756</v>
      </c>
      <c r="H1010" s="322">
        <v>6.2615257628275955</v>
      </c>
      <c r="I1010" s="322">
        <v>-131.19491270225828</v>
      </c>
      <c r="K1010" s="223">
        <f t="shared" si="58"/>
        <v>1252982.6717020336</v>
      </c>
      <c r="L1010" s="223">
        <f t="shared" si="58"/>
        <v>876469.64560654061</v>
      </c>
      <c r="M1010" s="114">
        <f t="shared" si="59"/>
        <v>1</v>
      </c>
      <c r="N1010" s="114">
        <f t="shared" si="60"/>
        <v>0</v>
      </c>
      <c r="T1010" s="12"/>
      <c r="U1010" s="210"/>
      <c r="V1010" s="13"/>
      <c r="W1010" s="13"/>
      <c r="X1010" s="13"/>
      <c r="Y1010" s="13"/>
      <c r="Z1010" s="13"/>
      <c r="AA1010" s="13"/>
      <c r="AB1010" s="13"/>
      <c r="AC1010" s="13"/>
      <c r="AD1010" s="13"/>
      <c r="AE1010" s="13"/>
    </row>
    <row r="1011" spans="1:31" ht="21" x14ac:dyDescent="0.4">
      <c r="A1011" s="210"/>
      <c r="G1011" s="101"/>
      <c r="H1011" s="101"/>
      <c r="I1011" s="101"/>
      <c r="T1011" s="12"/>
      <c r="U1011" s="210"/>
      <c r="V1011" s="13"/>
      <c r="W1011" s="13"/>
      <c r="X1011" s="13"/>
      <c r="Y1011" s="13"/>
      <c r="Z1011" s="13"/>
      <c r="AA1011" s="13"/>
      <c r="AB1011" s="13"/>
      <c r="AC1011" s="13"/>
      <c r="AD1011" s="13"/>
      <c r="AE1011" s="13"/>
    </row>
    <row r="1012" spans="1:31" ht="21" x14ac:dyDescent="0.4">
      <c r="A1012" s="210"/>
      <c r="B1012" s="12"/>
      <c r="C1012" s="12"/>
      <c r="D1012" s="12"/>
      <c r="E1012" s="12"/>
      <c r="F1012" s="12"/>
      <c r="G1012" s="12"/>
      <c r="H1012" s="12"/>
      <c r="I1012" s="12"/>
      <c r="J1012" s="12"/>
      <c r="K1012" s="12"/>
      <c r="L1012" s="12"/>
      <c r="M1012" s="12"/>
      <c r="N1012" s="12"/>
      <c r="O1012" s="12"/>
      <c r="P1012" s="12"/>
      <c r="Q1012" s="12"/>
      <c r="R1012" s="105"/>
      <c r="S1012" s="105"/>
      <c r="T1012" s="12"/>
      <c r="U1012" s="210"/>
      <c r="V1012" s="13"/>
      <c r="W1012" s="13"/>
      <c r="X1012" s="13"/>
      <c r="Y1012" s="13"/>
      <c r="Z1012" s="13"/>
      <c r="AA1012" s="13"/>
      <c r="AB1012" s="13"/>
      <c r="AC1012" s="13"/>
      <c r="AD1012" s="13"/>
      <c r="AE1012" s="13"/>
    </row>
    <row r="1013" spans="1:31" hidden="1" x14ac:dyDescent="0.3">
      <c r="G1013" s="101"/>
      <c r="H1013" s="101"/>
      <c r="I1013" s="101"/>
      <c r="K1013" s="225"/>
      <c r="L1013" s="225"/>
      <c r="M1013" s="114"/>
      <c r="N1013" s="114"/>
    </row>
    <row r="1014" spans="1:31" hidden="1" x14ac:dyDescent="0.3">
      <c r="G1014" s="101"/>
      <c r="H1014" s="101"/>
      <c r="I1014" s="101"/>
      <c r="K1014" s="225"/>
      <c r="L1014" s="225"/>
      <c r="M1014" s="114"/>
      <c r="N1014" s="114"/>
    </row>
    <row r="1015" spans="1:31" hidden="1" x14ac:dyDescent="0.3">
      <c r="G1015" s="101"/>
      <c r="H1015" s="101"/>
      <c r="I1015" s="101"/>
      <c r="K1015" s="225"/>
      <c r="L1015" s="225"/>
      <c r="M1015" s="114"/>
      <c r="N1015" s="114"/>
    </row>
    <row r="1016" spans="1:31" hidden="1" x14ac:dyDescent="0.3">
      <c r="G1016" s="101"/>
      <c r="H1016" s="101"/>
      <c r="I1016" s="101"/>
      <c r="K1016" s="225"/>
      <c r="L1016" s="225"/>
      <c r="M1016" s="114"/>
      <c r="N1016" s="114"/>
    </row>
    <row r="1017" spans="1:31" hidden="1" x14ac:dyDescent="0.3">
      <c r="G1017" s="101"/>
      <c r="H1017" s="101"/>
      <c r="I1017" s="101"/>
      <c r="K1017" s="225"/>
      <c r="L1017" s="225"/>
      <c r="M1017" s="114"/>
      <c r="N1017" s="114"/>
    </row>
    <row r="1018" spans="1:31" hidden="1" x14ac:dyDescent="0.3">
      <c r="G1018" s="101"/>
      <c r="H1018" s="101"/>
      <c r="I1018" s="101"/>
      <c r="K1018" s="225"/>
      <c r="L1018" s="225"/>
      <c r="M1018" s="114"/>
      <c r="N1018" s="114"/>
    </row>
    <row r="1019" spans="1:31" hidden="1" x14ac:dyDescent="0.3">
      <c r="G1019" s="101"/>
      <c r="H1019" s="101"/>
      <c r="I1019" s="101"/>
      <c r="K1019" s="225"/>
      <c r="L1019" s="225"/>
      <c r="M1019" s="114"/>
      <c r="N1019" s="114"/>
    </row>
    <row r="1020" spans="1:31" hidden="1" x14ac:dyDescent="0.3">
      <c r="G1020" s="101"/>
      <c r="H1020" s="101"/>
      <c r="I1020" s="101"/>
      <c r="K1020" s="225"/>
      <c r="L1020" s="225"/>
      <c r="M1020" s="114"/>
      <c r="N1020" s="114"/>
    </row>
    <row r="1021" spans="1:31" hidden="1" x14ac:dyDescent="0.3">
      <c r="G1021" s="101"/>
      <c r="H1021" s="101"/>
      <c r="I1021" s="101"/>
      <c r="K1021" s="225"/>
      <c r="L1021" s="225"/>
      <c r="M1021" s="114"/>
      <c r="N1021" s="114"/>
    </row>
    <row r="1022" spans="1:31" hidden="1" x14ac:dyDescent="0.3">
      <c r="G1022" s="101"/>
      <c r="H1022" s="101"/>
      <c r="I1022" s="101"/>
      <c r="K1022" s="225"/>
      <c r="L1022" s="225"/>
      <c r="M1022" s="114"/>
      <c r="N1022" s="114"/>
    </row>
    <row r="1023" spans="1:31" hidden="1" x14ac:dyDescent="0.3">
      <c r="G1023" s="101"/>
      <c r="H1023" s="101"/>
      <c r="I1023" s="101"/>
      <c r="K1023" s="225"/>
      <c r="L1023" s="225"/>
      <c r="M1023" s="114"/>
      <c r="N1023" s="114"/>
    </row>
    <row r="1024" spans="1:31" hidden="1" x14ac:dyDescent="0.3">
      <c r="G1024" s="101"/>
      <c r="H1024" s="101"/>
      <c r="I1024" s="101"/>
      <c r="K1024" s="225"/>
      <c r="L1024" s="225"/>
      <c r="M1024" s="114"/>
      <c r="N1024" s="114"/>
    </row>
    <row r="1025" spans="7:14" hidden="1" x14ac:dyDescent="0.3">
      <c r="G1025" s="101"/>
      <c r="H1025" s="101"/>
      <c r="I1025" s="101"/>
      <c r="K1025" s="225"/>
      <c r="L1025" s="225"/>
      <c r="M1025" s="114"/>
      <c r="N1025" s="114"/>
    </row>
    <row r="1026" spans="7:14" hidden="1" x14ac:dyDescent="0.3">
      <c r="G1026" s="101"/>
      <c r="H1026" s="101"/>
      <c r="I1026" s="101"/>
      <c r="K1026" s="225"/>
      <c r="L1026" s="225"/>
      <c r="M1026" s="114"/>
      <c r="N1026" s="114"/>
    </row>
    <row r="1027" spans="7:14" hidden="1" x14ac:dyDescent="0.3">
      <c r="G1027" s="101"/>
      <c r="H1027" s="101"/>
      <c r="I1027" s="101"/>
      <c r="K1027" s="225"/>
      <c r="L1027" s="225"/>
      <c r="M1027" s="114"/>
      <c r="N1027" s="114"/>
    </row>
    <row r="1028" spans="7:14" hidden="1" x14ac:dyDescent="0.3">
      <c r="G1028" s="101"/>
      <c r="H1028" s="101"/>
      <c r="I1028" s="101"/>
      <c r="K1028" s="225"/>
      <c r="L1028" s="225"/>
      <c r="M1028" s="114"/>
      <c r="N1028" s="114"/>
    </row>
    <row r="1029" spans="7:14" hidden="1" x14ac:dyDescent="0.3">
      <c r="G1029" s="101"/>
      <c r="H1029" s="101"/>
      <c r="I1029" s="101"/>
      <c r="K1029" s="225"/>
      <c r="L1029" s="225"/>
      <c r="M1029" s="114"/>
      <c r="N1029" s="114"/>
    </row>
    <row r="1030" spans="7:14" hidden="1" x14ac:dyDescent="0.3">
      <c r="G1030" s="101"/>
      <c r="H1030" s="101"/>
      <c r="I1030" s="101"/>
      <c r="K1030" s="225"/>
      <c r="L1030" s="225"/>
      <c r="M1030" s="114"/>
      <c r="N1030" s="114"/>
    </row>
    <row r="1031" spans="7:14" hidden="1" x14ac:dyDescent="0.3">
      <c r="G1031" s="101"/>
      <c r="H1031" s="101"/>
      <c r="I1031" s="101"/>
      <c r="K1031" s="225"/>
      <c r="L1031" s="225"/>
      <c r="M1031" s="114"/>
      <c r="N1031" s="114"/>
    </row>
    <row r="1032" spans="7:14" hidden="1" x14ac:dyDescent="0.3">
      <c r="G1032" s="101"/>
      <c r="H1032" s="101"/>
      <c r="I1032" s="101"/>
      <c r="K1032" s="225"/>
      <c r="L1032" s="225"/>
      <c r="M1032" s="114"/>
      <c r="N1032" s="114"/>
    </row>
    <row r="1033" spans="7:14" hidden="1" x14ac:dyDescent="0.3">
      <c r="G1033" s="101"/>
      <c r="H1033" s="101"/>
      <c r="I1033" s="101"/>
      <c r="K1033" s="225"/>
      <c r="L1033" s="225"/>
      <c r="M1033" s="114"/>
      <c r="N1033" s="114"/>
    </row>
    <row r="1034" spans="7:14" hidden="1" x14ac:dyDescent="0.3">
      <c r="G1034" s="101"/>
      <c r="H1034" s="101"/>
      <c r="I1034" s="101"/>
      <c r="K1034" s="225"/>
      <c r="L1034" s="225"/>
      <c r="M1034" s="114"/>
      <c r="N1034" s="114"/>
    </row>
    <row r="1035" spans="7:14" hidden="1" x14ac:dyDescent="0.3">
      <c r="G1035" s="101"/>
      <c r="H1035" s="101"/>
      <c r="I1035" s="101"/>
      <c r="K1035" s="225"/>
      <c r="L1035" s="225"/>
      <c r="M1035" s="114"/>
      <c r="N1035" s="114"/>
    </row>
    <row r="1036" spans="7:14" hidden="1" x14ac:dyDescent="0.3">
      <c r="G1036" s="101"/>
      <c r="H1036" s="101"/>
      <c r="I1036" s="101"/>
      <c r="K1036" s="225"/>
      <c r="L1036" s="225"/>
      <c r="M1036" s="114"/>
      <c r="N1036" s="114"/>
    </row>
    <row r="1037" spans="7:14" hidden="1" x14ac:dyDescent="0.3">
      <c r="G1037" s="101"/>
      <c r="H1037" s="101"/>
      <c r="I1037" s="101"/>
      <c r="K1037" s="225"/>
      <c r="L1037" s="225"/>
      <c r="M1037" s="114"/>
      <c r="N1037" s="114"/>
    </row>
    <row r="1038" spans="7:14" hidden="1" x14ac:dyDescent="0.3">
      <c r="G1038" s="101"/>
      <c r="H1038" s="101"/>
      <c r="I1038" s="101"/>
      <c r="K1038" s="225"/>
      <c r="L1038" s="225"/>
      <c r="M1038" s="114"/>
      <c r="N1038" s="114"/>
    </row>
    <row r="1039" spans="7:14" hidden="1" x14ac:dyDescent="0.3">
      <c r="G1039" s="101"/>
      <c r="H1039" s="101"/>
      <c r="I1039" s="101"/>
      <c r="K1039" s="225"/>
      <c r="L1039" s="225"/>
      <c r="M1039" s="114"/>
      <c r="N1039" s="114"/>
    </row>
    <row r="1040" spans="7:14" hidden="1" x14ac:dyDescent="0.3">
      <c r="G1040" s="101"/>
      <c r="H1040" s="101"/>
      <c r="I1040" s="101"/>
      <c r="K1040" s="225"/>
      <c r="L1040" s="225"/>
      <c r="M1040" s="114"/>
      <c r="N1040" s="114"/>
    </row>
    <row r="1041" spans="7:14" hidden="1" x14ac:dyDescent="0.3">
      <c r="G1041" s="101"/>
      <c r="H1041" s="101"/>
      <c r="I1041" s="101"/>
      <c r="K1041" s="225"/>
      <c r="L1041" s="225"/>
      <c r="M1041" s="114"/>
      <c r="N1041" s="114"/>
    </row>
    <row r="1042" spans="7:14" hidden="1" x14ac:dyDescent="0.3">
      <c r="G1042" s="101"/>
      <c r="H1042" s="101"/>
      <c r="I1042" s="101"/>
      <c r="K1042" s="225"/>
      <c r="L1042" s="225"/>
      <c r="M1042" s="114"/>
      <c r="N1042" s="114"/>
    </row>
    <row r="1043" spans="7:14" hidden="1" x14ac:dyDescent="0.3">
      <c r="G1043" s="101"/>
      <c r="H1043" s="101"/>
      <c r="I1043" s="101"/>
      <c r="K1043" s="225"/>
      <c r="L1043" s="225"/>
      <c r="M1043" s="114"/>
      <c r="N1043" s="114"/>
    </row>
    <row r="1044" spans="7:14" hidden="1" x14ac:dyDescent="0.3">
      <c r="G1044" s="101"/>
      <c r="H1044" s="101"/>
      <c r="I1044" s="101"/>
      <c r="K1044" s="225"/>
      <c r="L1044" s="225"/>
      <c r="M1044" s="114"/>
      <c r="N1044" s="114"/>
    </row>
    <row r="1045" spans="7:14" hidden="1" x14ac:dyDescent="0.3">
      <c r="G1045" s="101"/>
      <c r="H1045" s="101"/>
      <c r="I1045" s="101"/>
      <c r="K1045" s="225"/>
      <c r="L1045" s="225"/>
      <c r="M1045" s="114"/>
      <c r="N1045" s="114"/>
    </row>
    <row r="1046" spans="7:14" hidden="1" x14ac:dyDescent="0.3">
      <c r="G1046" s="101"/>
      <c r="H1046" s="101"/>
      <c r="I1046" s="101"/>
      <c r="K1046" s="225"/>
      <c r="L1046" s="225"/>
      <c r="M1046" s="114"/>
      <c r="N1046" s="114"/>
    </row>
    <row r="1047" spans="7:14" hidden="1" x14ac:dyDescent="0.3">
      <c r="G1047" s="101"/>
      <c r="H1047" s="101"/>
      <c r="I1047" s="101"/>
      <c r="K1047" s="225"/>
      <c r="L1047" s="225"/>
      <c r="M1047" s="114"/>
      <c r="N1047" s="114"/>
    </row>
    <row r="1048" spans="7:14" hidden="1" x14ac:dyDescent="0.3">
      <c r="G1048" s="101"/>
      <c r="H1048" s="101"/>
      <c r="I1048" s="101"/>
      <c r="K1048" s="225"/>
      <c r="L1048" s="225"/>
      <c r="M1048" s="114"/>
      <c r="N1048" s="114"/>
    </row>
    <row r="1049" spans="7:14" hidden="1" x14ac:dyDescent="0.3">
      <c r="G1049" s="101"/>
      <c r="H1049" s="101"/>
      <c r="I1049" s="101"/>
      <c r="K1049" s="225"/>
      <c r="L1049" s="225"/>
      <c r="M1049" s="114"/>
      <c r="N1049" s="114"/>
    </row>
    <row r="1050" spans="7:14" hidden="1" x14ac:dyDescent="0.3">
      <c r="G1050" s="101"/>
      <c r="H1050" s="101"/>
      <c r="I1050" s="101"/>
      <c r="K1050" s="225"/>
      <c r="L1050" s="225"/>
      <c r="M1050" s="114"/>
      <c r="N1050" s="114"/>
    </row>
    <row r="1051" spans="7:14" hidden="1" x14ac:dyDescent="0.3">
      <c r="G1051" s="101"/>
      <c r="H1051" s="101"/>
      <c r="I1051" s="101"/>
      <c r="K1051" s="225"/>
      <c r="L1051" s="225"/>
      <c r="M1051" s="114"/>
      <c r="N1051" s="114"/>
    </row>
    <row r="1052" spans="7:14" hidden="1" x14ac:dyDescent="0.3">
      <c r="G1052" s="101"/>
      <c r="H1052" s="101"/>
      <c r="I1052" s="101"/>
      <c r="K1052" s="225"/>
      <c r="L1052" s="225"/>
      <c r="M1052" s="114"/>
      <c r="N1052" s="114"/>
    </row>
    <row r="1053" spans="7:14" hidden="1" x14ac:dyDescent="0.3">
      <c r="G1053" s="101"/>
      <c r="H1053" s="101"/>
      <c r="I1053" s="101"/>
      <c r="K1053" s="225"/>
      <c r="L1053" s="225"/>
      <c r="M1053" s="114"/>
      <c r="N1053" s="114"/>
    </row>
    <row r="1054" spans="7:14" hidden="1" x14ac:dyDescent="0.3">
      <c r="G1054" s="101"/>
      <c r="H1054" s="101"/>
      <c r="I1054" s="101"/>
      <c r="K1054" s="225"/>
      <c r="L1054" s="225"/>
      <c r="M1054" s="114"/>
      <c r="N1054" s="114"/>
    </row>
    <row r="1055" spans="7:14" hidden="1" x14ac:dyDescent="0.3">
      <c r="G1055" s="101"/>
      <c r="H1055" s="101"/>
      <c r="I1055" s="101"/>
      <c r="K1055" s="225"/>
      <c r="L1055" s="225"/>
      <c r="M1055" s="114"/>
      <c r="N1055" s="114"/>
    </row>
    <row r="1056" spans="7:14" hidden="1" x14ac:dyDescent="0.3">
      <c r="G1056" s="101"/>
      <c r="H1056" s="101"/>
      <c r="I1056" s="101"/>
      <c r="K1056" s="225"/>
      <c r="L1056" s="225"/>
      <c r="M1056" s="114"/>
      <c r="N1056" s="114"/>
    </row>
    <row r="1057" spans="7:14" hidden="1" x14ac:dyDescent="0.3">
      <c r="G1057" s="101"/>
      <c r="H1057" s="101"/>
      <c r="I1057" s="101"/>
      <c r="K1057" s="225"/>
      <c r="L1057" s="225"/>
      <c r="M1057" s="114"/>
      <c r="N1057" s="114"/>
    </row>
    <row r="1058" spans="7:14" hidden="1" x14ac:dyDescent="0.3">
      <c r="G1058" s="101"/>
      <c r="H1058" s="101"/>
      <c r="I1058" s="101"/>
      <c r="K1058" s="225"/>
      <c r="L1058" s="225"/>
      <c r="M1058" s="114"/>
      <c r="N1058" s="114"/>
    </row>
    <row r="1059" spans="7:14" hidden="1" x14ac:dyDescent="0.3">
      <c r="G1059" s="101"/>
      <c r="H1059" s="101"/>
      <c r="I1059" s="101"/>
      <c r="K1059" s="225"/>
      <c r="L1059" s="225"/>
      <c r="M1059" s="114"/>
      <c r="N1059" s="114"/>
    </row>
    <row r="1060" spans="7:14" hidden="1" x14ac:dyDescent="0.3">
      <c r="G1060" s="101"/>
      <c r="H1060" s="101"/>
      <c r="I1060" s="101"/>
      <c r="K1060" s="225"/>
      <c r="L1060" s="225"/>
      <c r="M1060" s="114"/>
      <c r="N1060" s="114"/>
    </row>
    <row r="1061" spans="7:14" hidden="1" x14ac:dyDescent="0.3">
      <c r="G1061" s="101"/>
      <c r="H1061" s="101"/>
      <c r="I1061" s="101"/>
      <c r="K1061" s="225"/>
      <c r="L1061" s="225"/>
      <c r="M1061" s="114"/>
      <c r="N1061" s="114"/>
    </row>
    <row r="1062" spans="7:14" hidden="1" x14ac:dyDescent="0.3">
      <c r="G1062" s="101"/>
      <c r="H1062" s="101"/>
      <c r="I1062" s="101"/>
      <c r="K1062" s="225"/>
      <c r="L1062" s="225"/>
      <c r="M1062" s="114"/>
      <c r="N1062" s="114"/>
    </row>
    <row r="1063" spans="7:14" hidden="1" x14ac:dyDescent="0.3">
      <c r="G1063" s="101"/>
      <c r="H1063" s="101"/>
      <c r="I1063" s="101"/>
      <c r="K1063" s="225"/>
      <c r="L1063" s="225"/>
      <c r="M1063" s="114"/>
      <c r="N1063" s="114"/>
    </row>
    <row r="1064" spans="7:14" hidden="1" x14ac:dyDescent="0.3">
      <c r="G1064" s="101"/>
      <c r="H1064" s="101"/>
      <c r="I1064" s="101"/>
      <c r="K1064" s="225"/>
      <c r="L1064" s="225"/>
      <c r="M1064" s="114"/>
      <c r="N1064" s="114"/>
    </row>
    <row r="1065" spans="7:14" hidden="1" x14ac:dyDescent="0.3">
      <c r="G1065" s="101"/>
      <c r="H1065" s="101"/>
      <c r="I1065" s="101"/>
      <c r="K1065" s="225"/>
      <c r="L1065" s="225"/>
      <c r="M1065" s="114"/>
      <c r="N1065" s="114"/>
    </row>
    <row r="1066" spans="7:14" hidden="1" x14ac:dyDescent="0.3">
      <c r="G1066" s="101"/>
      <c r="H1066" s="101"/>
      <c r="I1066" s="101"/>
      <c r="K1066" s="225"/>
      <c r="L1066" s="225"/>
      <c r="M1066" s="114"/>
      <c r="N1066" s="114"/>
    </row>
    <row r="1067" spans="7:14" hidden="1" x14ac:dyDescent="0.3">
      <c r="G1067" s="101"/>
      <c r="H1067" s="101"/>
      <c r="I1067" s="101"/>
      <c r="K1067" s="225"/>
      <c r="L1067" s="225"/>
      <c r="M1067" s="114"/>
      <c r="N1067" s="114"/>
    </row>
    <row r="1068" spans="7:14" hidden="1" x14ac:dyDescent="0.3">
      <c r="G1068" s="101"/>
      <c r="H1068" s="101"/>
      <c r="I1068" s="101"/>
      <c r="K1068" s="225"/>
      <c r="L1068" s="225"/>
      <c r="M1068" s="114"/>
      <c r="N1068" s="114"/>
    </row>
    <row r="1069" spans="7:14" hidden="1" x14ac:dyDescent="0.3">
      <c r="G1069" s="101"/>
      <c r="H1069" s="101"/>
      <c r="I1069" s="101"/>
      <c r="K1069" s="225"/>
      <c r="L1069" s="225"/>
      <c r="M1069" s="114"/>
      <c r="N1069" s="114"/>
    </row>
    <row r="1070" spans="7:14" hidden="1" x14ac:dyDescent="0.3">
      <c r="G1070" s="101"/>
      <c r="H1070" s="101"/>
      <c r="I1070" s="101"/>
      <c r="K1070" s="225"/>
      <c r="L1070" s="225"/>
      <c r="M1070" s="114"/>
      <c r="N1070" s="114"/>
    </row>
    <row r="1071" spans="7:14" hidden="1" x14ac:dyDescent="0.3">
      <c r="G1071" s="101"/>
      <c r="H1071" s="101"/>
      <c r="I1071" s="101"/>
      <c r="K1071" s="225"/>
      <c r="L1071" s="225"/>
      <c r="M1071" s="114"/>
      <c r="N1071" s="114"/>
    </row>
    <row r="1072" spans="7:14" hidden="1" x14ac:dyDescent="0.3">
      <c r="G1072" s="101"/>
      <c r="H1072" s="101"/>
      <c r="I1072" s="101"/>
      <c r="K1072" s="225"/>
      <c r="L1072" s="225"/>
      <c r="M1072" s="114"/>
      <c r="N1072" s="114"/>
    </row>
    <row r="1073" spans="7:14" hidden="1" x14ac:dyDescent="0.3">
      <c r="G1073" s="101"/>
      <c r="H1073" s="101"/>
      <c r="I1073" s="101"/>
      <c r="K1073" s="225"/>
      <c r="L1073" s="225"/>
      <c r="M1073" s="114"/>
      <c r="N1073" s="114"/>
    </row>
    <row r="1074" spans="7:14" hidden="1" x14ac:dyDescent="0.3">
      <c r="G1074" s="101"/>
      <c r="H1074" s="101"/>
      <c r="I1074" s="101"/>
      <c r="K1074" s="225"/>
      <c r="L1074" s="225"/>
      <c r="M1074" s="114"/>
      <c r="N1074" s="114"/>
    </row>
    <row r="1075" spans="7:14" hidden="1" x14ac:dyDescent="0.3">
      <c r="G1075" s="101"/>
      <c r="H1075" s="101"/>
      <c r="I1075" s="101"/>
      <c r="K1075" s="225"/>
      <c r="L1075" s="225"/>
      <c r="M1075" s="114"/>
      <c r="N1075" s="114"/>
    </row>
    <row r="1076" spans="7:14" hidden="1" x14ac:dyDescent="0.3">
      <c r="G1076" s="101"/>
      <c r="H1076" s="101"/>
      <c r="I1076" s="101"/>
      <c r="K1076" s="225"/>
      <c r="L1076" s="225"/>
      <c r="M1076" s="114"/>
      <c r="N1076" s="114"/>
    </row>
    <row r="1077" spans="7:14" hidden="1" x14ac:dyDescent="0.3">
      <c r="G1077" s="101"/>
      <c r="H1077" s="101"/>
      <c r="I1077" s="101"/>
      <c r="K1077" s="225"/>
      <c r="L1077" s="225"/>
      <c r="M1077" s="114"/>
      <c r="N1077" s="114"/>
    </row>
    <row r="1078" spans="7:14" hidden="1" x14ac:dyDescent="0.3">
      <c r="G1078" s="101"/>
      <c r="H1078" s="101"/>
      <c r="I1078" s="101"/>
      <c r="K1078" s="225"/>
      <c r="L1078" s="225"/>
      <c r="M1078" s="114"/>
      <c r="N1078" s="114"/>
    </row>
    <row r="1079" spans="7:14" hidden="1" x14ac:dyDescent="0.3">
      <c r="G1079" s="101"/>
      <c r="H1079" s="101"/>
      <c r="I1079" s="101"/>
      <c r="K1079" s="225"/>
      <c r="L1079" s="225"/>
      <c r="M1079" s="114"/>
      <c r="N1079" s="114"/>
    </row>
    <row r="1080" spans="7:14" hidden="1" x14ac:dyDescent="0.3">
      <c r="G1080" s="101"/>
      <c r="H1080" s="101"/>
      <c r="I1080" s="101"/>
      <c r="K1080" s="225"/>
      <c r="L1080" s="225"/>
      <c r="M1080" s="114"/>
      <c r="N1080" s="114"/>
    </row>
    <row r="1081" spans="7:14" hidden="1" x14ac:dyDescent="0.3">
      <c r="G1081" s="101"/>
      <c r="H1081" s="101"/>
      <c r="I1081" s="101"/>
      <c r="K1081" s="225"/>
      <c r="L1081" s="225"/>
      <c r="M1081" s="114"/>
      <c r="N1081" s="114"/>
    </row>
    <row r="1082" spans="7:14" hidden="1" x14ac:dyDescent="0.3">
      <c r="G1082" s="101"/>
      <c r="H1082" s="101"/>
      <c r="I1082" s="101"/>
      <c r="K1082" s="225"/>
      <c r="L1082" s="225"/>
      <c r="M1082" s="114"/>
      <c r="N1082" s="114"/>
    </row>
    <row r="1083" spans="7:14" hidden="1" x14ac:dyDescent="0.3">
      <c r="G1083" s="101"/>
      <c r="H1083" s="101"/>
      <c r="I1083" s="101"/>
      <c r="K1083" s="225"/>
      <c r="L1083" s="225"/>
      <c r="M1083" s="114"/>
      <c r="N1083" s="114"/>
    </row>
    <row r="1084" spans="7:14" hidden="1" x14ac:dyDescent="0.3">
      <c r="G1084" s="101"/>
      <c r="H1084" s="101"/>
      <c r="I1084" s="101"/>
      <c r="K1084" s="225"/>
      <c r="L1084" s="225"/>
      <c r="M1084" s="114"/>
      <c r="N1084" s="114"/>
    </row>
    <row r="1085" spans="7:14" hidden="1" x14ac:dyDescent="0.3">
      <c r="G1085" s="101"/>
      <c r="H1085" s="101"/>
      <c r="I1085" s="101"/>
      <c r="K1085" s="225"/>
      <c r="L1085" s="225"/>
      <c r="M1085" s="114"/>
      <c r="N1085" s="114"/>
    </row>
    <row r="1086" spans="7:14" hidden="1" x14ac:dyDescent="0.3">
      <c r="G1086" s="101"/>
      <c r="H1086" s="101"/>
      <c r="I1086" s="101"/>
      <c r="K1086" s="225"/>
      <c r="L1086" s="225"/>
      <c r="M1086" s="114"/>
      <c r="N1086" s="114"/>
    </row>
    <row r="1087" spans="7:14" hidden="1" x14ac:dyDescent="0.3">
      <c r="G1087" s="101"/>
      <c r="H1087" s="101"/>
      <c r="I1087" s="101"/>
      <c r="K1087" s="225"/>
      <c r="L1087" s="225"/>
      <c r="M1087" s="114"/>
      <c r="N1087" s="114"/>
    </row>
    <row r="1088" spans="7:14" hidden="1" x14ac:dyDescent="0.3">
      <c r="G1088" s="101"/>
      <c r="H1088" s="101"/>
      <c r="I1088" s="101"/>
      <c r="K1088" s="225"/>
      <c r="L1088" s="225"/>
      <c r="M1088" s="114"/>
      <c r="N1088" s="114"/>
    </row>
    <row r="1089" spans="7:14" hidden="1" x14ac:dyDescent="0.3">
      <c r="G1089" s="101"/>
      <c r="H1089" s="101"/>
      <c r="I1089" s="101"/>
      <c r="K1089" s="225"/>
      <c r="L1089" s="225"/>
      <c r="M1089" s="114"/>
      <c r="N1089" s="114"/>
    </row>
    <row r="1090" spans="7:14" hidden="1" x14ac:dyDescent="0.3">
      <c r="G1090" s="101"/>
      <c r="H1090" s="101"/>
      <c r="I1090" s="101"/>
      <c r="K1090" s="225"/>
      <c r="L1090" s="225"/>
      <c r="M1090" s="114"/>
      <c r="N1090" s="114"/>
    </row>
    <row r="1091" spans="7:14" hidden="1" x14ac:dyDescent="0.3">
      <c r="G1091" s="101"/>
      <c r="H1091" s="101"/>
      <c r="I1091" s="101"/>
      <c r="K1091" s="225"/>
      <c r="L1091" s="225"/>
      <c r="M1091" s="114"/>
      <c r="N1091" s="114"/>
    </row>
    <row r="1092" spans="7:14" hidden="1" x14ac:dyDescent="0.3">
      <c r="G1092" s="101"/>
      <c r="H1092" s="101"/>
      <c r="I1092" s="101"/>
      <c r="K1092" s="225"/>
      <c r="L1092" s="225"/>
      <c r="M1092" s="114"/>
      <c r="N1092" s="114"/>
    </row>
    <row r="1093" spans="7:14" hidden="1" x14ac:dyDescent="0.3">
      <c r="G1093" s="101"/>
      <c r="H1093" s="101"/>
      <c r="I1093" s="101"/>
      <c r="K1093" s="225"/>
      <c r="L1093" s="225"/>
      <c r="M1093" s="114"/>
      <c r="N1093" s="114"/>
    </row>
    <row r="1094" spans="7:14" hidden="1" x14ac:dyDescent="0.3">
      <c r="G1094" s="101"/>
      <c r="H1094" s="101"/>
      <c r="I1094" s="101"/>
      <c r="K1094" s="225"/>
      <c r="L1094" s="225"/>
      <c r="M1094" s="114"/>
      <c r="N1094" s="114"/>
    </row>
    <row r="1095" spans="7:14" hidden="1" x14ac:dyDescent="0.3">
      <c r="G1095" s="101"/>
      <c r="H1095" s="101"/>
      <c r="I1095" s="101"/>
      <c r="K1095" s="225"/>
      <c r="L1095" s="225"/>
      <c r="M1095" s="114"/>
      <c r="N1095" s="114"/>
    </row>
    <row r="1096" spans="7:14" hidden="1" x14ac:dyDescent="0.3">
      <c r="G1096" s="101"/>
      <c r="H1096" s="101"/>
      <c r="I1096" s="101"/>
      <c r="K1096" s="225"/>
      <c r="L1096" s="225"/>
      <c r="M1096" s="114"/>
      <c r="N1096" s="114"/>
    </row>
    <row r="1097" spans="7:14" hidden="1" x14ac:dyDescent="0.3">
      <c r="G1097" s="101"/>
      <c r="H1097" s="101"/>
      <c r="I1097" s="101"/>
      <c r="K1097" s="225"/>
      <c r="L1097" s="225"/>
      <c r="M1097" s="114"/>
      <c r="N1097" s="114"/>
    </row>
    <row r="1098" spans="7:14" hidden="1" x14ac:dyDescent="0.3">
      <c r="G1098" s="101"/>
      <c r="H1098" s="101"/>
      <c r="I1098" s="101"/>
      <c r="K1098" s="225"/>
      <c r="L1098" s="225"/>
      <c r="M1098" s="114"/>
      <c r="N1098" s="114"/>
    </row>
    <row r="1099" spans="7:14" hidden="1" x14ac:dyDescent="0.3">
      <c r="G1099" s="101"/>
      <c r="H1099" s="101"/>
      <c r="I1099" s="101"/>
      <c r="K1099" s="225"/>
      <c r="L1099" s="225"/>
      <c r="M1099" s="114"/>
      <c r="N1099" s="114"/>
    </row>
    <row r="1100" spans="7:14" hidden="1" x14ac:dyDescent="0.3">
      <c r="G1100" s="101"/>
      <c r="H1100" s="101"/>
      <c r="I1100" s="101"/>
      <c r="K1100" s="225"/>
      <c r="L1100" s="225"/>
      <c r="M1100" s="114"/>
      <c r="N1100" s="114"/>
    </row>
    <row r="1101" spans="7:14" hidden="1" x14ac:dyDescent="0.3">
      <c r="G1101" s="101"/>
      <c r="H1101" s="101"/>
      <c r="I1101" s="101"/>
      <c r="K1101" s="225"/>
      <c r="L1101" s="225"/>
      <c r="M1101" s="114"/>
      <c r="N1101" s="114"/>
    </row>
    <row r="1102" spans="7:14" hidden="1" x14ac:dyDescent="0.3">
      <c r="G1102" s="101"/>
      <c r="H1102" s="101"/>
      <c r="I1102" s="101"/>
      <c r="K1102" s="225"/>
      <c r="L1102" s="225"/>
      <c r="M1102" s="114"/>
      <c r="N1102" s="114"/>
    </row>
    <row r="1103" spans="7:14" hidden="1" x14ac:dyDescent="0.3">
      <c r="G1103" s="101"/>
      <c r="H1103" s="101"/>
      <c r="I1103" s="101"/>
      <c r="K1103" s="225"/>
      <c r="L1103" s="225"/>
      <c r="M1103" s="114"/>
      <c r="N1103" s="114"/>
    </row>
    <row r="1104" spans="7:14" hidden="1" x14ac:dyDescent="0.3">
      <c r="G1104" s="101"/>
      <c r="H1104" s="101"/>
      <c r="I1104" s="101"/>
      <c r="K1104" s="225"/>
      <c r="L1104" s="225"/>
      <c r="M1104" s="114"/>
      <c r="N1104" s="114"/>
    </row>
    <row r="1105" spans="7:14" hidden="1" x14ac:dyDescent="0.3">
      <c r="G1105" s="101"/>
      <c r="H1105" s="101"/>
      <c r="I1105" s="101"/>
      <c r="K1105" s="225"/>
      <c r="L1105" s="225"/>
      <c r="M1105" s="114"/>
      <c r="N1105" s="114"/>
    </row>
    <row r="1106" spans="7:14" hidden="1" x14ac:dyDescent="0.3">
      <c r="G1106" s="101"/>
      <c r="H1106" s="101"/>
      <c r="I1106" s="101"/>
      <c r="K1106" s="225"/>
      <c r="L1106" s="225"/>
      <c r="M1106" s="114"/>
      <c r="N1106" s="114"/>
    </row>
    <row r="1107" spans="7:14" hidden="1" x14ac:dyDescent="0.3">
      <c r="G1107" s="101"/>
      <c r="H1107" s="101"/>
      <c r="I1107" s="101"/>
      <c r="K1107" s="225"/>
      <c r="L1107" s="225"/>
      <c r="M1107" s="114"/>
      <c r="N1107" s="114"/>
    </row>
    <row r="1108" spans="7:14" hidden="1" x14ac:dyDescent="0.3">
      <c r="G1108" s="101"/>
      <c r="H1108" s="101"/>
      <c r="I1108" s="101"/>
      <c r="K1108" s="225"/>
      <c r="L1108" s="225"/>
      <c r="M1108" s="114"/>
      <c r="N1108" s="114"/>
    </row>
    <row r="1109" spans="7:14" hidden="1" x14ac:dyDescent="0.3">
      <c r="G1109" s="101"/>
      <c r="H1109" s="101"/>
      <c r="I1109" s="101"/>
      <c r="K1109" s="225"/>
      <c r="L1109" s="225"/>
      <c r="M1109" s="114"/>
      <c r="N1109" s="114"/>
    </row>
    <row r="1110" spans="7:14" hidden="1" x14ac:dyDescent="0.3">
      <c r="G1110" s="101"/>
      <c r="H1110" s="101"/>
      <c r="I1110" s="101"/>
      <c r="K1110" s="225"/>
      <c r="L1110" s="225"/>
      <c r="M1110" s="114"/>
      <c r="N1110" s="114"/>
    </row>
    <row r="1111" spans="7:14" hidden="1" x14ac:dyDescent="0.3">
      <c r="G1111" s="101"/>
      <c r="H1111" s="101"/>
      <c r="I1111" s="101"/>
      <c r="K1111" s="225"/>
      <c r="L1111" s="225"/>
      <c r="M1111" s="114"/>
      <c r="N1111" s="114"/>
    </row>
    <row r="1112" spans="7:14" hidden="1" x14ac:dyDescent="0.3">
      <c r="G1112" s="101"/>
      <c r="H1112" s="101"/>
      <c r="I1112" s="101"/>
      <c r="K1112" s="225"/>
      <c r="L1112" s="225"/>
      <c r="M1112" s="114"/>
      <c r="N1112" s="114"/>
    </row>
    <row r="1113" spans="7:14" hidden="1" x14ac:dyDescent="0.3">
      <c r="G1113" s="101"/>
      <c r="H1113" s="101"/>
      <c r="I1113" s="101"/>
      <c r="K1113" s="225"/>
      <c r="L1113" s="225"/>
      <c r="M1113" s="114"/>
      <c r="N1113" s="114"/>
    </row>
    <row r="1114" spans="7:14" hidden="1" x14ac:dyDescent="0.3">
      <c r="G1114" s="101"/>
      <c r="H1114" s="101"/>
      <c r="I1114" s="101"/>
      <c r="K1114" s="225"/>
      <c r="L1114" s="225"/>
      <c r="M1114" s="114"/>
      <c r="N1114" s="114"/>
    </row>
    <row r="1115" spans="7:14" hidden="1" x14ac:dyDescent="0.3">
      <c r="G1115" s="101"/>
      <c r="H1115" s="101"/>
      <c r="I1115" s="101"/>
      <c r="K1115" s="225"/>
      <c r="L1115" s="225"/>
      <c r="M1115" s="114"/>
      <c r="N1115" s="114"/>
    </row>
    <row r="1116" spans="7:14" hidden="1" x14ac:dyDescent="0.3">
      <c r="G1116" s="101"/>
      <c r="H1116" s="101"/>
      <c r="I1116" s="101"/>
      <c r="K1116" s="225"/>
      <c r="L1116" s="225"/>
      <c r="M1116" s="114"/>
      <c r="N1116" s="114"/>
    </row>
    <row r="1117" spans="7:14" hidden="1" x14ac:dyDescent="0.3">
      <c r="G1117" s="101"/>
      <c r="H1117" s="101"/>
      <c r="I1117" s="101"/>
      <c r="K1117" s="225"/>
      <c r="L1117" s="225"/>
      <c r="M1117" s="114"/>
      <c r="N1117" s="114"/>
    </row>
    <row r="1118" spans="7:14" hidden="1" x14ac:dyDescent="0.3">
      <c r="G1118" s="101"/>
      <c r="H1118" s="101"/>
      <c r="I1118" s="101"/>
      <c r="K1118" s="225"/>
      <c r="L1118" s="225"/>
      <c r="M1118" s="114"/>
      <c r="N1118" s="114"/>
    </row>
    <row r="1119" spans="7:14" hidden="1" x14ac:dyDescent="0.3">
      <c r="G1119" s="101"/>
      <c r="H1119" s="101"/>
      <c r="I1119" s="101"/>
      <c r="K1119" s="225"/>
      <c r="L1119" s="225"/>
      <c r="M1119" s="114"/>
      <c r="N1119" s="114"/>
    </row>
    <row r="1120" spans="7:14" hidden="1" x14ac:dyDescent="0.3">
      <c r="G1120" s="101"/>
      <c r="H1120" s="101"/>
      <c r="I1120" s="101"/>
      <c r="K1120" s="225"/>
      <c r="L1120" s="225"/>
      <c r="M1120" s="114"/>
      <c r="N1120" s="114"/>
    </row>
    <row r="1121" spans="7:14" hidden="1" x14ac:dyDescent="0.3">
      <c r="G1121" s="101"/>
      <c r="H1121" s="101"/>
      <c r="I1121" s="101"/>
      <c r="K1121" s="225"/>
      <c r="L1121" s="225"/>
      <c r="M1121" s="114"/>
      <c r="N1121" s="114"/>
    </row>
    <row r="1122" spans="7:14" hidden="1" x14ac:dyDescent="0.3">
      <c r="G1122" s="101"/>
      <c r="H1122" s="101"/>
      <c r="I1122" s="101"/>
      <c r="K1122" s="225"/>
      <c r="L1122" s="225"/>
      <c r="M1122" s="114"/>
      <c r="N1122" s="114"/>
    </row>
    <row r="1123" spans="7:14" hidden="1" x14ac:dyDescent="0.3">
      <c r="G1123" s="101"/>
      <c r="H1123" s="101"/>
      <c r="I1123" s="101"/>
      <c r="K1123" s="225"/>
      <c r="L1123" s="225"/>
      <c r="M1123" s="114"/>
      <c r="N1123" s="114"/>
    </row>
    <row r="1124" spans="7:14" hidden="1" x14ac:dyDescent="0.3">
      <c r="G1124" s="101"/>
      <c r="H1124" s="101"/>
      <c r="I1124" s="101"/>
      <c r="K1124" s="225"/>
      <c r="L1124" s="225"/>
      <c r="M1124" s="114"/>
      <c r="N1124" s="114"/>
    </row>
    <row r="1125" spans="7:14" hidden="1" x14ac:dyDescent="0.3">
      <c r="G1125" s="101"/>
      <c r="H1125" s="101"/>
      <c r="I1125" s="101"/>
      <c r="K1125" s="225"/>
      <c r="L1125" s="225"/>
      <c r="M1125" s="114"/>
      <c r="N1125" s="114"/>
    </row>
    <row r="1126" spans="7:14" hidden="1" x14ac:dyDescent="0.3">
      <c r="G1126" s="101"/>
      <c r="H1126" s="101"/>
      <c r="I1126" s="101"/>
      <c r="K1126" s="225"/>
      <c r="L1126" s="225"/>
      <c r="M1126" s="114"/>
      <c r="N1126" s="114"/>
    </row>
    <row r="1127" spans="7:14" hidden="1" x14ac:dyDescent="0.3">
      <c r="G1127" s="101"/>
      <c r="H1127" s="101"/>
      <c r="I1127" s="101"/>
      <c r="K1127" s="225"/>
      <c r="L1127" s="225"/>
      <c r="M1127" s="114"/>
      <c r="N1127" s="114"/>
    </row>
    <row r="1128" spans="7:14" hidden="1" x14ac:dyDescent="0.3">
      <c r="G1128" s="101"/>
      <c r="H1128" s="101"/>
      <c r="I1128" s="101"/>
      <c r="K1128" s="225"/>
      <c r="L1128" s="225"/>
      <c r="M1128" s="114"/>
      <c r="N1128" s="114"/>
    </row>
    <row r="1129" spans="7:14" hidden="1" x14ac:dyDescent="0.3">
      <c r="G1129" s="101"/>
      <c r="H1129" s="101"/>
      <c r="I1129" s="101"/>
      <c r="K1129" s="225"/>
      <c r="L1129" s="225"/>
      <c r="M1129" s="114"/>
      <c r="N1129" s="114"/>
    </row>
    <row r="1130" spans="7:14" hidden="1" x14ac:dyDescent="0.3">
      <c r="G1130" s="101"/>
      <c r="H1130" s="101"/>
      <c r="I1130" s="101"/>
      <c r="K1130" s="225"/>
      <c r="L1130" s="225"/>
      <c r="M1130" s="114"/>
      <c r="N1130" s="114"/>
    </row>
    <row r="1131" spans="7:14" hidden="1" x14ac:dyDescent="0.3">
      <c r="G1131" s="101"/>
      <c r="H1131" s="101"/>
      <c r="I1131" s="101"/>
      <c r="K1131" s="225"/>
      <c r="L1131" s="225"/>
      <c r="M1131" s="114"/>
      <c r="N1131" s="114"/>
    </row>
    <row r="1132" spans="7:14" hidden="1" x14ac:dyDescent="0.3">
      <c r="G1132" s="101"/>
      <c r="H1132" s="101"/>
      <c r="I1132" s="101"/>
      <c r="K1132" s="225"/>
      <c r="L1132" s="225"/>
      <c r="M1132" s="114"/>
      <c r="N1132" s="114"/>
    </row>
    <row r="1133" spans="7:14" hidden="1" x14ac:dyDescent="0.3">
      <c r="G1133" s="101"/>
      <c r="H1133" s="101"/>
      <c r="I1133" s="101"/>
      <c r="K1133" s="225"/>
      <c r="L1133" s="225"/>
      <c r="M1133" s="114"/>
      <c r="N1133" s="114"/>
    </row>
    <row r="1134" spans="7:14" hidden="1" x14ac:dyDescent="0.3">
      <c r="G1134" s="101"/>
      <c r="H1134" s="101"/>
      <c r="I1134" s="101"/>
      <c r="K1134" s="225"/>
      <c r="L1134" s="225"/>
      <c r="M1134" s="114"/>
      <c r="N1134" s="114"/>
    </row>
    <row r="1135" spans="7:14" hidden="1" x14ac:dyDescent="0.3">
      <c r="G1135" s="101"/>
      <c r="H1135" s="101"/>
      <c r="I1135" s="101"/>
      <c r="K1135" s="225"/>
      <c r="L1135" s="225"/>
      <c r="M1135" s="114"/>
      <c r="N1135" s="114"/>
    </row>
    <row r="1136" spans="7:14" hidden="1" x14ac:dyDescent="0.3">
      <c r="G1136" s="101"/>
      <c r="H1136" s="101"/>
      <c r="I1136" s="101"/>
      <c r="K1136" s="225"/>
      <c r="L1136" s="225"/>
      <c r="M1136" s="114"/>
      <c r="N1136" s="114"/>
    </row>
    <row r="1137" spans="7:14" hidden="1" x14ac:dyDescent="0.3">
      <c r="G1137" s="101"/>
      <c r="H1137" s="101"/>
      <c r="I1137" s="101"/>
      <c r="K1137" s="225"/>
      <c r="L1137" s="225"/>
      <c r="M1137" s="114"/>
      <c r="N1137" s="114"/>
    </row>
    <row r="1138" spans="7:14" hidden="1" x14ac:dyDescent="0.3">
      <c r="G1138" s="101"/>
      <c r="H1138" s="101"/>
      <c r="I1138" s="101"/>
      <c r="K1138" s="225"/>
      <c r="L1138" s="225"/>
      <c r="M1138" s="114"/>
      <c r="N1138" s="114"/>
    </row>
    <row r="1139" spans="7:14" hidden="1" x14ac:dyDescent="0.3">
      <c r="G1139" s="101"/>
      <c r="H1139" s="101"/>
      <c r="I1139" s="101"/>
      <c r="K1139" s="225"/>
      <c r="L1139" s="225"/>
      <c r="M1139" s="114"/>
      <c r="N1139" s="114"/>
    </row>
    <row r="1140" spans="7:14" hidden="1" x14ac:dyDescent="0.3">
      <c r="G1140" s="101"/>
      <c r="H1140" s="101"/>
      <c r="I1140" s="101"/>
      <c r="K1140" s="225"/>
      <c r="L1140" s="225"/>
      <c r="M1140" s="114"/>
      <c r="N1140" s="114"/>
    </row>
    <row r="1141" spans="7:14" hidden="1" x14ac:dyDescent="0.3">
      <c r="G1141" s="101"/>
      <c r="H1141" s="101"/>
      <c r="I1141" s="101"/>
      <c r="K1141" s="225"/>
      <c r="L1141" s="225"/>
      <c r="M1141" s="114"/>
      <c r="N1141" s="114"/>
    </row>
    <row r="1142" spans="7:14" hidden="1" x14ac:dyDescent="0.3">
      <c r="G1142" s="101"/>
      <c r="H1142" s="101"/>
      <c r="I1142" s="101"/>
      <c r="K1142" s="225"/>
      <c r="L1142" s="225"/>
      <c r="M1142" s="114"/>
      <c r="N1142" s="114"/>
    </row>
    <row r="1143" spans="7:14" hidden="1" x14ac:dyDescent="0.3">
      <c r="G1143" s="101"/>
      <c r="H1143" s="101"/>
      <c r="I1143" s="101"/>
      <c r="K1143" s="225"/>
      <c r="L1143" s="225"/>
      <c r="M1143" s="114"/>
      <c r="N1143" s="114"/>
    </row>
    <row r="1144" spans="7:14" hidden="1" x14ac:dyDescent="0.3">
      <c r="G1144" s="101"/>
      <c r="H1144" s="101"/>
      <c r="I1144" s="101"/>
      <c r="K1144" s="225"/>
      <c r="L1144" s="225"/>
      <c r="M1144" s="114"/>
      <c r="N1144" s="114"/>
    </row>
    <row r="1145" spans="7:14" hidden="1" x14ac:dyDescent="0.3">
      <c r="G1145" s="101"/>
      <c r="H1145" s="101"/>
      <c r="I1145" s="101"/>
      <c r="K1145" s="225"/>
      <c r="L1145" s="225"/>
      <c r="M1145" s="114"/>
      <c r="N1145" s="114"/>
    </row>
    <row r="1146" spans="7:14" hidden="1" x14ac:dyDescent="0.3">
      <c r="G1146" s="101"/>
      <c r="H1146" s="101"/>
      <c r="I1146" s="101"/>
      <c r="K1146" s="225"/>
      <c r="L1146" s="225"/>
      <c r="M1146" s="114"/>
      <c r="N1146" s="114"/>
    </row>
    <row r="1147" spans="7:14" hidden="1" x14ac:dyDescent="0.3">
      <c r="G1147" s="101"/>
      <c r="H1147" s="101"/>
      <c r="I1147" s="101"/>
      <c r="K1147" s="225"/>
      <c r="L1147" s="225"/>
      <c r="M1147" s="114"/>
      <c r="N1147" s="114"/>
    </row>
    <row r="1148" spans="7:14" hidden="1" x14ac:dyDescent="0.3">
      <c r="G1148" s="101"/>
      <c r="H1148" s="101"/>
      <c r="I1148" s="101"/>
      <c r="K1148" s="225"/>
      <c r="L1148" s="225"/>
      <c r="M1148" s="114"/>
      <c r="N1148" s="114"/>
    </row>
    <row r="1149" spans="7:14" hidden="1" x14ac:dyDescent="0.3">
      <c r="G1149" s="101"/>
      <c r="H1149" s="101"/>
      <c r="I1149" s="101"/>
      <c r="K1149" s="225"/>
      <c r="L1149" s="225"/>
      <c r="M1149" s="114"/>
      <c r="N1149" s="114"/>
    </row>
    <row r="1150" spans="7:14" hidden="1" x14ac:dyDescent="0.3">
      <c r="G1150" s="101"/>
      <c r="H1150" s="101"/>
      <c r="I1150" s="101"/>
      <c r="K1150" s="225"/>
      <c r="L1150" s="225"/>
      <c r="M1150" s="114"/>
      <c r="N1150" s="114"/>
    </row>
    <row r="1151" spans="7:14" hidden="1" x14ac:dyDescent="0.3">
      <c r="G1151" s="101"/>
      <c r="H1151" s="101"/>
      <c r="I1151" s="101"/>
      <c r="K1151" s="225"/>
      <c r="L1151" s="225"/>
      <c r="M1151" s="114"/>
      <c r="N1151" s="114"/>
    </row>
    <row r="1152" spans="7:14" hidden="1" x14ac:dyDescent="0.3">
      <c r="G1152" s="101"/>
      <c r="H1152" s="101"/>
      <c r="I1152" s="101"/>
      <c r="K1152" s="225"/>
      <c r="L1152" s="225"/>
      <c r="M1152" s="114"/>
      <c r="N1152" s="114"/>
    </row>
    <row r="1153" spans="7:14" hidden="1" x14ac:dyDescent="0.3">
      <c r="G1153" s="101"/>
      <c r="H1153" s="101"/>
      <c r="I1153" s="101"/>
      <c r="K1153" s="225"/>
      <c r="L1153" s="225"/>
      <c r="M1153" s="114"/>
      <c r="N1153" s="114"/>
    </row>
    <row r="1154" spans="7:14" hidden="1" x14ac:dyDescent="0.3">
      <c r="G1154" s="101"/>
      <c r="H1154" s="101"/>
      <c r="I1154" s="101"/>
      <c r="K1154" s="225"/>
      <c r="L1154" s="225"/>
      <c r="M1154" s="114"/>
      <c r="N1154" s="114"/>
    </row>
    <row r="1155" spans="7:14" hidden="1" x14ac:dyDescent="0.3">
      <c r="G1155" s="101"/>
      <c r="H1155" s="101"/>
      <c r="I1155" s="101"/>
      <c r="K1155" s="225"/>
      <c r="L1155" s="225"/>
      <c r="M1155" s="114"/>
      <c r="N1155" s="114"/>
    </row>
    <row r="1156" spans="7:14" hidden="1" x14ac:dyDescent="0.3">
      <c r="G1156" s="101"/>
      <c r="H1156" s="101"/>
      <c r="I1156" s="101"/>
      <c r="K1156" s="225"/>
      <c r="L1156" s="225"/>
      <c r="M1156" s="114"/>
      <c r="N1156" s="114"/>
    </row>
    <row r="1157" spans="7:14" hidden="1" x14ac:dyDescent="0.3">
      <c r="G1157" s="101"/>
      <c r="H1157" s="101"/>
      <c r="I1157" s="101"/>
      <c r="K1157" s="225"/>
      <c r="L1157" s="225"/>
      <c r="M1157" s="114"/>
      <c r="N1157" s="114"/>
    </row>
    <row r="1158" spans="7:14" hidden="1" x14ac:dyDescent="0.3">
      <c r="G1158" s="101"/>
      <c r="H1158" s="101"/>
      <c r="I1158" s="101"/>
      <c r="K1158" s="225"/>
      <c r="L1158" s="225"/>
      <c r="M1158" s="114"/>
      <c r="N1158" s="114"/>
    </row>
    <row r="1159" spans="7:14" hidden="1" x14ac:dyDescent="0.3">
      <c r="G1159" s="101"/>
      <c r="H1159" s="101"/>
      <c r="I1159" s="101"/>
      <c r="K1159" s="225"/>
      <c r="L1159" s="225"/>
      <c r="M1159" s="114"/>
      <c r="N1159" s="114"/>
    </row>
    <row r="1160" spans="7:14" hidden="1" x14ac:dyDescent="0.3">
      <c r="G1160" s="101"/>
      <c r="H1160" s="101"/>
      <c r="I1160" s="101"/>
      <c r="K1160" s="225"/>
      <c r="L1160" s="225"/>
      <c r="M1160" s="114"/>
      <c r="N1160" s="114"/>
    </row>
    <row r="1161" spans="7:14" hidden="1" x14ac:dyDescent="0.3">
      <c r="G1161" s="101"/>
      <c r="H1161" s="101"/>
      <c r="I1161" s="101"/>
      <c r="K1161" s="225"/>
      <c r="L1161" s="225"/>
      <c r="M1161" s="114"/>
      <c r="N1161" s="114"/>
    </row>
    <row r="1162" spans="7:14" hidden="1" x14ac:dyDescent="0.3">
      <c r="G1162" s="101"/>
      <c r="H1162" s="101"/>
      <c r="I1162" s="101"/>
      <c r="K1162" s="225"/>
      <c r="L1162" s="225"/>
      <c r="M1162" s="114"/>
      <c r="N1162" s="114"/>
    </row>
    <row r="1163" spans="7:14" hidden="1" x14ac:dyDescent="0.3">
      <c r="G1163" s="101"/>
      <c r="H1163" s="101"/>
      <c r="I1163" s="101"/>
      <c r="K1163" s="225"/>
      <c r="L1163" s="225"/>
      <c r="M1163" s="114"/>
      <c r="N1163" s="114"/>
    </row>
    <row r="1164" spans="7:14" hidden="1" x14ac:dyDescent="0.3">
      <c r="G1164" s="101"/>
      <c r="H1164" s="101"/>
      <c r="I1164" s="101"/>
      <c r="K1164" s="225"/>
      <c r="L1164" s="225"/>
      <c r="M1164" s="114"/>
      <c r="N1164" s="114"/>
    </row>
    <row r="1165" spans="7:14" hidden="1" x14ac:dyDescent="0.3">
      <c r="G1165" s="101"/>
      <c r="H1165" s="101"/>
      <c r="I1165" s="101"/>
      <c r="K1165" s="225"/>
      <c r="L1165" s="225"/>
      <c r="M1165" s="114"/>
      <c r="N1165" s="114"/>
    </row>
    <row r="1166" spans="7:14" hidden="1" x14ac:dyDescent="0.3">
      <c r="G1166" s="101"/>
      <c r="H1166" s="101"/>
      <c r="I1166" s="101"/>
      <c r="K1166" s="225"/>
      <c r="L1166" s="225"/>
      <c r="M1166" s="114"/>
      <c r="N1166" s="114"/>
    </row>
    <row r="1167" spans="7:14" hidden="1" x14ac:dyDescent="0.3">
      <c r="G1167" s="101"/>
      <c r="H1167" s="101"/>
      <c r="I1167" s="101"/>
      <c r="K1167" s="225"/>
      <c r="L1167" s="225"/>
      <c r="M1167" s="114"/>
      <c r="N1167" s="114"/>
    </row>
    <row r="1168" spans="7:14" hidden="1" x14ac:dyDescent="0.3">
      <c r="G1168" s="101"/>
      <c r="H1168" s="101"/>
      <c r="I1168" s="101"/>
      <c r="K1168" s="225"/>
      <c r="L1168" s="225"/>
      <c r="M1168" s="114"/>
      <c r="N1168" s="114"/>
    </row>
    <row r="1169" spans="7:14" hidden="1" x14ac:dyDescent="0.3">
      <c r="G1169" s="101"/>
      <c r="H1169" s="101"/>
      <c r="I1169" s="101"/>
      <c r="K1169" s="225"/>
      <c r="L1169" s="225"/>
      <c r="M1169" s="114"/>
      <c r="N1169" s="114"/>
    </row>
    <row r="1170" spans="7:14" hidden="1" x14ac:dyDescent="0.3">
      <c r="G1170" s="101"/>
      <c r="H1170" s="101"/>
      <c r="I1170" s="101"/>
      <c r="K1170" s="225"/>
      <c r="L1170" s="225"/>
      <c r="M1170" s="114"/>
      <c r="N1170" s="114"/>
    </row>
    <row r="1171" spans="7:14" hidden="1" x14ac:dyDescent="0.3">
      <c r="G1171" s="101"/>
      <c r="H1171" s="101"/>
      <c r="I1171" s="101"/>
      <c r="K1171" s="225"/>
      <c r="L1171" s="225"/>
      <c r="M1171" s="114"/>
      <c r="N1171" s="114"/>
    </row>
    <row r="1172" spans="7:14" hidden="1" x14ac:dyDescent="0.3">
      <c r="G1172" s="101"/>
      <c r="H1172" s="101"/>
      <c r="I1172" s="101"/>
      <c r="K1172" s="225"/>
      <c r="L1172" s="225"/>
      <c r="M1172" s="114"/>
      <c r="N1172" s="114"/>
    </row>
    <row r="1173" spans="7:14" hidden="1" x14ac:dyDescent="0.3">
      <c r="G1173" s="101"/>
      <c r="H1173" s="101"/>
      <c r="I1173" s="101"/>
      <c r="K1173" s="225"/>
      <c r="L1173" s="225"/>
      <c r="M1173" s="114"/>
      <c r="N1173" s="114"/>
    </row>
    <row r="1174" spans="7:14" hidden="1" x14ac:dyDescent="0.3">
      <c r="G1174" s="101"/>
      <c r="H1174" s="101"/>
      <c r="I1174" s="101"/>
      <c r="K1174" s="225"/>
      <c r="L1174" s="225"/>
      <c r="M1174" s="114"/>
      <c r="N1174" s="114"/>
    </row>
    <row r="1175" spans="7:14" hidden="1" x14ac:dyDescent="0.3">
      <c r="G1175" s="101"/>
      <c r="H1175" s="101"/>
      <c r="I1175" s="101"/>
      <c r="K1175" s="225"/>
      <c r="L1175" s="225"/>
      <c r="M1175" s="114"/>
      <c r="N1175" s="114"/>
    </row>
    <row r="1176" spans="7:14" hidden="1" x14ac:dyDescent="0.3">
      <c r="G1176" s="101"/>
      <c r="H1176" s="101"/>
      <c r="I1176" s="101"/>
      <c r="K1176" s="225"/>
      <c r="L1176" s="225"/>
      <c r="M1176" s="114"/>
      <c r="N1176" s="114"/>
    </row>
    <row r="1177" spans="7:14" hidden="1" x14ac:dyDescent="0.3">
      <c r="G1177" s="101"/>
      <c r="H1177" s="101"/>
      <c r="I1177" s="101"/>
      <c r="K1177" s="225"/>
      <c r="L1177" s="225"/>
      <c r="M1177" s="114"/>
      <c r="N1177" s="114"/>
    </row>
    <row r="1178" spans="7:14" hidden="1" x14ac:dyDescent="0.3">
      <c r="G1178" s="101"/>
      <c r="H1178" s="101"/>
      <c r="I1178" s="101"/>
      <c r="K1178" s="225"/>
      <c r="L1178" s="225"/>
      <c r="M1178" s="114"/>
      <c r="N1178" s="114"/>
    </row>
    <row r="1179" spans="7:14" hidden="1" x14ac:dyDescent="0.3">
      <c r="G1179" s="101"/>
      <c r="H1179" s="101"/>
      <c r="I1179" s="101"/>
      <c r="K1179" s="225"/>
      <c r="L1179" s="225"/>
      <c r="M1179" s="114"/>
      <c r="N1179" s="114"/>
    </row>
    <row r="1180" spans="7:14" hidden="1" x14ac:dyDescent="0.3">
      <c r="G1180" s="101"/>
      <c r="H1180" s="101"/>
      <c r="I1180" s="101"/>
      <c r="K1180" s="225"/>
      <c r="L1180" s="225"/>
      <c r="M1180" s="114"/>
      <c r="N1180" s="114"/>
    </row>
    <row r="1181" spans="7:14" hidden="1" x14ac:dyDescent="0.3">
      <c r="G1181" s="101"/>
      <c r="H1181" s="101"/>
      <c r="I1181" s="101"/>
      <c r="K1181" s="225"/>
      <c r="L1181" s="225"/>
      <c r="M1181" s="114"/>
      <c r="N1181" s="114"/>
    </row>
    <row r="1182" spans="7:14" hidden="1" x14ac:dyDescent="0.3">
      <c r="G1182" s="101"/>
      <c r="H1182" s="101"/>
      <c r="I1182" s="101"/>
      <c r="K1182" s="225"/>
      <c r="L1182" s="225"/>
      <c r="M1182" s="114"/>
      <c r="N1182" s="114"/>
    </row>
    <row r="1183" spans="7:14" hidden="1" x14ac:dyDescent="0.3">
      <c r="G1183" s="101"/>
      <c r="H1183" s="101"/>
      <c r="I1183" s="101"/>
      <c r="K1183" s="225"/>
      <c r="L1183" s="225"/>
      <c r="M1183" s="114"/>
      <c r="N1183" s="114"/>
    </row>
    <row r="1184" spans="7:14" hidden="1" x14ac:dyDescent="0.3">
      <c r="G1184" s="101"/>
      <c r="H1184" s="101"/>
      <c r="I1184" s="101"/>
      <c r="K1184" s="225"/>
      <c r="L1184" s="225"/>
      <c r="M1184" s="114"/>
      <c r="N1184" s="114"/>
    </row>
    <row r="1185" spans="7:14" hidden="1" x14ac:dyDescent="0.3">
      <c r="G1185" s="101"/>
      <c r="H1185" s="101"/>
      <c r="I1185" s="101"/>
      <c r="K1185" s="225"/>
      <c r="L1185" s="225"/>
      <c r="M1185" s="114"/>
      <c r="N1185" s="114"/>
    </row>
    <row r="1186" spans="7:14" hidden="1" x14ac:dyDescent="0.3">
      <c r="G1186" s="101"/>
      <c r="H1186" s="101"/>
      <c r="I1186" s="101"/>
      <c r="K1186" s="225"/>
      <c r="L1186" s="225"/>
      <c r="M1186" s="114"/>
      <c r="N1186" s="114"/>
    </row>
    <row r="1187" spans="7:14" hidden="1" x14ac:dyDescent="0.3">
      <c r="G1187" s="101"/>
      <c r="H1187" s="101"/>
      <c r="I1187" s="101"/>
      <c r="K1187" s="225"/>
      <c r="L1187" s="225"/>
      <c r="M1187" s="114"/>
      <c r="N1187" s="114"/>
    </row>
    <row r="1188" spans="7:14" hidden="1" x14ac:dyDescent="0.3">
      <c r="G1188" s="101"/>
      <c r="H1188" s="101"/>
      <c r="I1188" s="101"/>
      <c r="K1188" s="225"/>
      <c r="L1188" s="225"/>
      <c r="M1188" s="114"/>
      <c r="N1188" s="114"/>
    </row>
    <row r="1189" spans="7:14" hidden="1" x14ac:dyDescent="0.3">
      <c r="G1189" s="101"/>
      <c r="H1189" s="101"/>
      <c r="I1189" s="101"/>
      <c r="K1189" s="225"/>
      <c r="L1189" s="225"/>
      <c r="M1189" s="114"/>
      <c r="N1189" s="114"/>
    </row>
    <row r="1190" spans="7:14" hidden="1" x14ac:dyDescent="0.3">
      <c r="G1190" s="101"/>
      <c r="H1190" s="101"/>
      <c r="I1190" s="101"/>
      <c r="K1190" s="225"/>
      <c r="L1190" s="225"/>
      <c r="M1190" s="114"/>
      <c r="N1190" s="114"/>
    </row>
    <row r="1191" spans="7:14" hidden="1" x14ac:dyDescent="0.3">
      <c r="G1191" s="101"/>
      <c r="H1191" s="101"/>
      <c r="I1191" s="101"/>
      <c r="K1191" s="225"/>
      <c r="L1191" s="225"/>
      <c r="M1191" s="114"/>
      <c r="N1191" s="114"/>
    </row>
    <row r="1192" spans="7:14" hidden="1" x14ac:dyDescent="0.3">
      <c r="G1192" s="101"/>
      <c r="H1192" s="101"/>
      <c r="I1192" s="101"/>
      <c r="K1192" s="225"/>
      <c r="L1192" s="225"/>
      <c r="M1192" s="114"/>
      <c r="N1192" s="114"/>
    </row>
    <row r="1193" spans="7:14" hidden="1" x14ac:dyDescent="0.3">
      <c r="G1193" s="101"/>
      <c r="H1193" s="101"/>
      <c r="I1193" s="101"/>
      <c r="K1193" s="225"/>
      <c r="L1193" s="225"/>
      <c r="M1193" s="114"/>
      <c r="N1193" s="114"/>
    </row>
    <row r="1194" spans="7:14" hidden="1" x14ac:dyDescent="0.3">
      <c r="G1194" s="101"/>
      <c r="H1194" s="101"/>
      <c r="I1194" s="101"/>
      <c r="K1194" s="225"/>
      <c r="L1194" s="225"/>
      <c r="M1194" s="114"/>
      <c r="N1194" s="114"/>
    </row>
    <row r="1195" spans="7:14" hidden="1" x14ac:dyDescent="0.3">
      <c r="G1195" s="101"/>
      <c r="H1195" s="101"/>
      <c r="I1195" s="101"/>
      <c r="K1195" s="225"/>
      <c r="L1195" s="225"/>
      <c r="M1195" s="114"/>
      <c r="N1195" s="114"/>
    </row>
    <row r="1196" spans="7:14" hidden="1" x14ac:dyDescent="0.3">
      <c r="G1196" s="101"/>
      <c r="H1196" s="101"/>
      <c r="I1196" s="101"/>
      <c r="K1196" s="225"/>
      <c r="L1196" s="225"/>
      <c r="M1196" s="114"/>
      <c r="N1196" s="114"/>
    </row>
    <row r="1197" spans="7:14" hidden="1" x14ac:dyDescent="0.3">
      <c r="G1197" s="101"/>
      <c r="H1197" s="101"/>
      <c r="I1197" s="101"/>
      <c r="K1197" s="225"/>
      <c r="L1197" s="225"/>
      <c r="M1197" s="114"/>
      <c r="N1197" s="114"/>
    </row>
    <row r="1198" spans="7:14" hidden="1" x14ac:dyDescent="0.3">
      <c r="G1198" s="101"/>
      <c r="H1198" s="101"/>
      <c r="I1198" s="101"/>
      <c r="K1198" s="225"/>
      <c r="L1198" s="225"/>
      <c r="M1198" s="114"/>
      <c r="N1198" s="114"/>
    </row>
    <row r="1199" spans="7:14" hidden="1" x14ac:dyDescent="0.3">
      <c r="G1199" s="101"/>
      <c r="H1199" s="101"/>
      <c r="I1199" s="101"/>
      <c r="K1199" s="225"/>
      <c r="L1199" s="225"/>
      <c r="M1199" s="114"/>
      <c r="N1199" s="114"/>
    </row>
    <row r="1200" spans="7:14" hidden="1" x14ac:dyDescent="0.3">
      <c r="G1200" s="101"/>
      <c r="H1200" s="101"/>
      <c r="I1200" s="101"/>
      <c r="K1200" s="225"/>
      <c r="L1200" s="225"/>
      <c r="M1200" s="114"/>
      <c r="N1200" s="114"/>
    </row>
    <row r="1201" spans="7:14" hidden="1" x14ac:dyDescent="0.3">
      <c r="G1201" s="101"/>
      <c r="H1201" s="101"/>
      <c r="I1201" s="101"/>
      <c r="K1201" s="225"/>
      <c r="L1201" s="225"/>
      <c r="M1201" s="114"/>
      <c r="N1201" s="114"/>
    </row>
    <row r="1202" spans="7:14" hidden="1" x14ac:dyDescent="0.3">
      <c r="G1202" s="101"/>
      <c r="H1202" s="101"/>
      <c r="I1202" s="101"/>
      <c r="K1202" s="225"/>
      <c r="L1202" s="225"/>
      <c r="M1202" s="114"/>
      <c r="N1202" s="114"/>
    </row>
    <row r="1203" spans="7:14" hidden="1" x14ac:dyDescent="0.3">
      <c r="G1203" s="101"/>
      <c r="H1203" s="101"/>
      <c r="I1203" s="101"/>
      <c r="K1203" s="225"/>
      <c r="L1203" s="225"/>
      <c r="M1203" s="114"/>
      <c r="N1203" s="114"/>
    </row>
    <row r="1204" spans="7:14" hidden="1" x14ac:dyDescent="0.3">
      <c r="G1204" s="101"/>
      <c r="H1204" s="101"/>
      <c r="I1204" s="101"/>
      <c r="K1204" s="225"/>
      <c r="L1204" s="225"/>
      <c r="M1204" s="114"/>
      <c r="N1204" s="114"/>
    </row>
    <row r="1205" spans="7:14" hidden="1" x14ac:dyDescent="0.3">
      <c r="G1205" s="101"/>
      <c r="H1205" s="101"/>
      <c r="I1205" s="101"/>
      <c r="K1205" s="225"/>
      <c r="L1205" s="225"/>
      <c r="M1205" s="114"/>
      <c r="N1205" s="114"/>
    </row>
    <row r="1206" spans="7:14" hidden="1" x14ac:dyDescent="0.3">
      <c r="G1206" s="101"/>
      <c r="H1206" s="101"/>
      <c r="I1206" s="101"/>
      <c r="K1206" s="225"/>
      <c r="L1206" s="225"/>
      <c r="M1206" s="114"/>
      <c r="N1206" s="114"/>
    </row>
    <row r="1207" spans="7:14" hidden="1" x14ac:dyDescent="0.3">
      <c r="G1207" s="101"/>
      <c r="H1207" s="101"/>
      <c r="I1207" s="101"/>
      <c r="K1207" s="225"/>
      <c r="L1207" s="225"/>
      <c r="M1207" s="114"/>
      <c r="N1207" s="114"/>
    </row>
    <row r="1208" spans="7:14" hidden="1" x14ac:dyDescent="0.3">
      <c r="G1208" s="101"/>
      <c r="H1208" s="101"/>
      <c r="I1208" s="101"/>
      <c r="K1208" s="225"/>
      <c r="L1208" s="225"/>
      <c r="M1208" s="114"/>
      <c r="N1208" s="114"/>
    </row>
    <row r="1209" spans="7:14" hidden="1" x14ac:dyDescent="0.3">
      <c r="G1209" s="101"/>
      <c r="H1209" s="101"/>
      <c r="I1209" s="101"/>
      <c r="K1209" s="225"/>
      <c r="L1209" s="225"/>
      <c r="M1209" s="114"/>
      <c r="N1209" s="114"/>
    </row>
    <row r="1210" spans="7:14" hidden="1" x14ac:dyDescent="0.3">
      <c r="G1210" s="101"/>
      <c r="H1210" s="101"/>
      <c r="I1210" s="101"/>
      <c r="K1210" s="225"/>
      <c r="L1210" s="225"/>
      <c r="M1210" s="114"/>
      <c r="N1210" s="114"/>
    </row>
    <row r="1211" spans="7:14" hidden="1" x14ac:dyDescent="0.3">
      <c r="G1211" s="101"/>
      <c r="H1211" s="101"/>
      <c r="I1211" s="101"/>
      <c r="K1211" s="225"/>
      <c r="L1211" s="225"/>
      <c r="M1211" s="114"/>
      <c r="N1211" s="114"/>
    </row>
    <row r="1212" spans="7:14" hidden="1" x14ac:dyDescent="0.3">
      <c r="G1212" s="101"/>
      <c r="H1212" s="101"/>
      <c r="I1212" s="101"/>
      <c r="K1212" s="225"/>
      <c r="L1212" s="225"/>
      <c r="M1212" s="114"/>
      <c r="N1212" s="114"/>
    </row>
    <row r="1213" spans="7:14" hidden="1" x14ac:dyDescent="0.3">
      <c r="G1213" s="101"/>
      <c r="H1213" s="101"/>
      <c r="I1213" s="101"/>
      <c r="K1213" s="225"/>
      <c r="L1213" s="225"/>
      <c r="M1213" s="114"/>
      <c r="N1213" s="114"/>
    </row>
    <row r="1214" spans="7:14" hidden="1" x14ac:dyDescent="0.3">
      <c r="G1214" s="101"/>
      <c r="H1214" s="101"/>
      <c r="I1214" s="101"/>
      <c r="K1214" s="225"/>
      <c r="L1214" s="225"/>
      <c r="M1214" s="114"/>
      <c r="N1214" s="114"/>
    </row>
    <row r="1215" spans="7:14" hidden="1" x14ac:dyDescent="0.3">
      <c r="G1215" s="101"/>
      <c r="H1215" s="101"/>
      <c r="I1215" s="101"/>
      <c r="K1215" s="225"/>
      <c r="L1215" s="225"/>
      <c r="M1215" s="114"/>
      <c r="N1215" s="114"/>
    </row>
    <row r="1216" spans="7:14" hidden="1" x14ac:dyDescent="0.3">
      <c r="G1216" s="101"/>
      <c r="H1216" s="101"/>
      <c r="I1216" s="101"/>
      <c r="K1216" s="225"/>
      <c r="L1216" s="225"/>
      <c r="M1216" s="114"/>
      <c r="N1216" s="114"/>
    </row>
    <row r="1217" spans="7:14" hidden="1" x14ac:dyDescent="0.3">
      <c r="G1217" s="101"/>
      <c r="H1217" s="101"/>
      <c r="I1217" s="101"/>
      <c r="K1217" s="225"/>
      <c r="L1217" s="225"/>
      <c r="M1217" s="114"/>
      <c r="N1217" s="114"/>
    </row>
    <row r="1218" spans="7:14" hidden="1" x14ac:dyDescent="0.3">
      <c r="G1218" s="101"/>
      <c r="H1218" s="101"/>
      <c r="I1218" s="101"/>
      <c r="K1218" s="225"/>
      <c r="L1218" s="225"/>
      <c r="M1218" s="114"/>
      <c r="N1218" s="114"/>
    </row>
    <row r="1219" spans="7:14" hidden="1" x14ac:dyDescent="0.3">
      <c r="G1219" s="101"/>
      <c r="H1219" s="101"/>
      <c r="I1219" s="101"/>
      <c r="K1219" s="225"/>
      <c r="L1219" s="225"/>
      <c r="M1219" s="114"/>
      <c r="N1219" s="114"/>
    </row>
    <row r="1220" spans="7:14" hidden="1" x14ac:dyDescent="0.3">
      <c r="G1220" s="101"/>
      <c r="H1220" s="101"/>
      <c r="I1220" s="101"/>
      <c r="K1220" s="225"/>
      <c r="L1220" s="225"/>
      <c r="M1220" s="114"/>
      <c r="N1220" s="114"/>
    </row>
    <row r="1221" spans="7:14" hidden="1" x14ac:dyDescent="0.3">
      <c r="G1221" s="101"/>
      <c r="H1221" s="101"/>
      <c r="I1221" s="101"/>
      <c r="K1221" s="225"/>
      <c r="L1221" s="225"/>
      <c r="M1221" s="114"/>
      <c r="N1221" s="114"/>
    </row>
    <row r="1222" spans="7:14" hidden="1" x14ac:dyDescent="0.3">
      <c r="G1222" s="101"/>
      <c r="H1222" s="101"/>
      <c r="I1222" s="101"/>
      <c r="K1222" s="225"/>
      <c r="L1222" s="225"/>
      <c r="M1222" s="114"/>
      <c r="N1222" s="114"/>
    </row>
    <row r="1223" spans="7:14" hidden="1" x14ac:dyDescent="0.3">
      <c r="G1223" s="101"/>
      <c r="H1223" s="101"/>
      <c r="I1223" s="101"/>
      <c r="K1223" s="225"/>
      <c r="L1223" s="225"/>
      <c r="M1223" s="114"/>
      <c r="N1223" s="114"/>
    </row>
    <row r="1224" spans="7:14" hidden="1" x14ac:dyDescent="0.3">
      <c r="G1224" s="101"/>
      <c r="H1224" s="101"/>
      <c r="I1224" s="101"/>
      <c r="K1224" s="225"/>
      <c r="L1224" s="225"/>
      <c r="M1224" s="114"/>
      <c r="N1224" s="114"/>
    </row>
    <row r="1225" spans="7:14" hidden="1" x14ac:dyDescent="0.3">
      <c r="G1225" s="101"/>
      <c r="H1225" s="101"/>
      <c r="I1225" s="101"/>
      <c r="K1225" s="225"/>
      <c r="L1225" s="225"/>
      <c r="M1225" s="114"/>
      <c r="N1225" s="114"/>
    </row>
    <row r="1226" spans="7:14" hidden="1" x14ac:dyDescent="0.3">
      <c r="G1226" s="101"/>
      <c r="H1226" s="101"/>
      <c r="I1226" s="101"/>
      <c r="K1226" s="225"/>
      <c r="L1226" s="225"/>
      <c r="M1226" s="114"/>
      <c r="N1226" s="114"/>
    </row>
    <row r="1227" spans="7:14" hidden="1" x14ac:dyDescent="0.3">
      <c r="G1227" s="101"/>
      <c r="H1227" s="101"/>
      <c r="I1227" s="101"/>
      <c r="K1227" s="225"/>
      <c r="L1227" s="225"/>
      <c r="M1227" s="114"/>
      <c r="N1227" s="114"/>
    </row>
    <row r="1228" spans="7:14" hidden="1" x14ac:dyDescent="0.3">
      <c r="G1228" s="101"/>
      <c r="H1228" s="101"/>
      <c r="I1228" s="101"/>
      <c r="K1228" s="225"/>
      <c r="L1228" s="225"/>
      <c r="M1228" s="114"/>
      <c r="N1228" s="114"/>
    </row>
    <row r="1229" spans="7:14" hidden="1" x14ac:dyDescent="0.3">
      <c r="G1229" s="101"/>
      <c r="H1229" s="101"/>
      <c r="I1229" s="101"/>
      <c r="K1229" s="225"/>
      <c r="L1229" s="225"/>
      <c r="M1229" s="114"/>
      <c r="N1229" s="114"/>
    </row>
    <row r="1230" spans="7:14" hidden="1" x14ac:dyDescent="0.3">
      <c r="G1230" s="101"/>
      <c r="H1230" s="101"/>
      <c r="I1230" s="101"/>
      <c r="K1230" s="225"/>
      <c r="L1230" s="225"/>
      <c r="M1230" s="114"/>
      <c r="N1230" s="114"/>
    </row>
    <row r="1231" spans="7:14" hidden="1" x14ac:dyDescent="0.3">
      <c r="G1231" s="101"/>
      <c r="H1231" s="101"/>
      <c r="I1231" s="101"/>
      <c r="K1231" s="225"/>
      <c r="L1231" s="225"/>
      <c r="M1231" s="114"/>
      <c r="N1231" s="114"/>
    </row>
    <row r="1232" spans="7:14" hidden="1" x14ac:dyDescent="0.3">
      <c r="G1232" s="101"/>
      <c r="H1232" s="101"/>
      <c r="I1232" s="101"/>
      <c r="K1232" s="225"/>
      <c r="L1232" s="225"/>
      <c r="M1232" s="114"/>
      <c r="N1232" s="114"/>
    </row>
    <row r="1233" spans="7:14" hidden="1" x14ac:dyDescent="0.3">
      <c r="G1233" s="101"/>
      <c r="H1233" s="101"/>
      <c r="I1233" s="101"/>
      <c r="K1233" s="225"/>
      <c r="L1233" s="225"/>
      <c r="M1233" s="114"/>
      <c r="N1233" s="114"/>
    </row>
    <row r="1234" spans="7:14" hidden="1" x14ac:dyDescent="0.3">
      <c r="G1234" s="101"/>
      <c r="H1234" s="101"/>
      <c r="I1234" s="101"/>
      <c r="K1234" s="225"/>
      <c r="L1234" s="225"/>
      <c r="M1234" s="114"/>
      <c r="N1234" s="114"/>
    </row>
    <row r="1235" spans="7:14" hidden="1" x14ac:dyDescent="0.3">
      <c r="G1235" s="101"/>
      <c r="H1235" s="101"/>
      <c r="I1235" s="101"/>
      <c r="K1235" s="225"/>
      <c r="L1235" s="225"/>
      <c r="M1235" s="114"/>
      <c r="N1235" s="114"/>
    </row>
    <row r="1236" spans="7:14" hidden="1" x14ac:dyDescent="0.3">
      <c r="G1236" s="101"/>
      <c r="H1236" s="101"/>
      <c r="I1236" s="101"/>
      <c r="K1236" s="225"/>
      <c r="L1236" s="225"/>
      <c r="M1236" s="114"/>
      <c r="N1236" s="114"/>
    </row>
    <row r="1237" spans="7:14" hidden="1" x14ac:dyDescent="0.3">
      <c r="G1237" s="101"/>
      <c r="H1237" s="101"/>
      <c r="I1237" s="101"/>
      <c r="K1237" s="225"/>
      <c r="L1237" s="225"/>
      <c r="M1237" s="114"/>
      <c r="N1237" s="114"/>
    </row>
    <row r="1238" spans="7:14" hidden="1" x14ac:dyDescent="0.3">
      <c r="G1238" s="101"/>
      <c r="H1238" s="101"/>
      <c r="I1238" s="101"/>
      <c r="K1238" s="225"/>
      <c r="L1238" s="225"/>
      <c r="M1238" s="114"/>
      <c r="N1238" s="114"/>
    </row>
    <row r="1239" spans="7:14" hidden="1" x14ac:dyDescent="0.3">
      <c r="G1239" s="101"/>
      <c r="H1239" s="101"/>
      <c r="I1239" s="101"/>
      <c r="K1239" s="225"/>
      <c r="L1239" s="225"/>
      <c r="M1239" s="114"/>
      <c r="N1239" s="114"/>
    </row>
    <row r="1240" spans="7:14" hidden="1" x14ac:dyDescent="0.3">
      <c r="G1240" s="101"/>
      <c r="H1240" s="101"/>
      <c r="I1240" s="101"/>
      <c r="K1240" s="225"/>
      <c r="L1240" s="225"/>
      <c r="M1240" s="114"/>
      <c r="N1240" s="114"/>
    </row>
    <row r="1241" spans="7:14" hidden="1" x14ac:dyDescent="0.3">
      <c r="G1241" s="101"/>
      <c r="H1241" s="101"/>
      <c r="I1241" s="101"/>
      <c r="K1241" s="225"/>
      <c r="L1241" s="225"/>
      <c r="M1241" s="114"/>
      <c r="N1241" s="114"/>
    </row>
    <row r="1242" spans="7:14" hidden="1" x14ac:dyDescent="0.3">
      <c r="G1242" s="101"/>
      <c r="H1242" s="101"/>
      <c r="I1242" s="101"/>
      <c r="K1242" s="225"/>
      <c r="L1242" s="225"/>
      <c r="M1242" s="114"/>
      <c r="N1242" s="114"/>
    </row>
    <row r="1243" spans="7:14" hidden="1" x14ac:dyDescent="0.3">
      <c r="G1243" s="101"/>
      <c r="H1243" s="101"/>
      <c r="I1243" s="101"/>
      <c r="K1243" s="225"/>
      <c r="L1243" s="225"/>
      <c r="M1243" s="114"/>
      <c r="N1243" s="114"/>
    </row>
    <row r="1244" spans="7:14" hidden="1" x14ac:dyDescent="0.3">
      <c r="G1244" s="101"/>
      <c r="H1244" s="101"/>
      <c r="I1244" s="101"/>
      <c r="K1244" s="225"/>
      <c r="L1244" s="225"/>
      <c r="M1244" s="114"/>
      <c r="N1244" s="114"/>
    </row>
    <row r="1245" spans="7:14" hidden="1" x14ac:dyDescent="0.3">
      <c r="G1245" s="101"/>
      <c r="H1245" s="101"/>
      <c r="I1245" s="101"/>
      <c r="K1245" s="225"/>
      <c r="L1245" s="225"/>
      <c r="M1245" s="114"/>
      <c r="N1245" s="114"/>
    </row>
    <row r="1246" spans="7:14" hidden="1" x14ac:dyDescent="0.3">
      <c r="G1246" s="101"/>
      <c r="H1246" s="101"/>
      <c r="I1246" s="101"/>
      <c r="K1246" s="225"/>
      <c r="L1246" s="225"/>
      <c r="M1246" s="114"/>
      <c r="N1246" s="114"/>
    </row>
    <row r="1247" spans="7:14" hidden="1" x14ac:dyDescent="0.3">
      <c r="G1247" s="101"/>
      <c r="H1247" s="101"/>
      <c r="I1247" s="101"/>
      <c r="K1247" s="225"/>
      <c r="L1247" s="225"/>
      <c r="M1247" s="114"/>
      <c r="N1247" s="114"/>
    </row>
    <row r="1248" spans="7:14" hidden="1" x14ac:dyDescent="0.3">
      <c r="G1248" s="101"/>
      <c r="H1248" s="101"/>
      <c r="I1248" s="101"/>
      <c r="K1248" s="225"/>
      <c r="L1248" s="225"/>
      <c r="M1248" s="114"/>
      <c r="N1248" s="114"/>
    </row>
    <row r="1249" spans="7:14" hidden="1" x14ac:dyDescent="0.3">
      <c r="G1249" s="101"/>
      <c r="H1249" s="101"/>
      <c r="I1249" s="101"/>
      <c r="K1249" s="225"/>
      <c r="L1249" s="225"/>
      <c r="M1249" s="114"/>
      <c r="N1249" s="114"/>
    </row>
    <row r="1250" spans="7:14" hidden="1" x14ac:dyDescent="0.3">
      <c r="G1250" s="101"/>
      <c r="H1250" s="101"/>
      <c r="I1250" s="101"/>
      <c r="K1250" s="225"/>
      <c r="L1250" s="225"/>
      <c r="M1250" s="114"/>
      <c r="N1250" s="114"/>
    </row>
    <row r="1251" spans="7:14" hidden="1" x14ac:dyDescent="0.3">
      <c r="G1251" s="101"/>
      <c r="H1251" s="101"/>
      <c r="I1251" s="101"/>
      <c r="K1251" s="225"/>
      <c r="L1251" s="225"/>
      <c r="M1251" s="114"/>
      <c r="N1251" s="114"/>
    </row>
    <row r="1252" spans="7:14" hidden="1" x14ac:dyDescent="0.3">
      <c r="G1252" s="101"/>
      <c r="H1252" s="101"/>
      <c r="I1252" s="101"/>
      <c r="K1252" s="225"/>
      <c r="L1252" s="225"/>
      <c r="M1252" s="114"/>
      <c r="N1252" s="114"/>
    </row>
    <row r="1253" spans="7:14" hidden="1" x14ac:dyDescent="0.3">
      <c r="G1253" s="101"/>
      <c r="H1253" s="101"/>
      <c r="I1253" s="101"/>
      <c r="K1253" s="225"/>
      <c r="L1253" s="225"/>
      <c r="M1253" s="114"/>
      <c r="N1253" s="114"/>
    </row>
    <row r="1254" spans="7:14" hidden="1" x14ac:dyDescent="0.3">
      <c r="G1254" s="101"/>
      <c r="H1254" s="101"/>
      <c r="I1254" s="101"/>
      <c r="K1254" s="225"/>
      <c r="L1254" s="225"/>
      <c r="M1254" s="114"/>
      <c r="N1254" s="114"/>
    </row>
    <row r="1255" spans="7:14" hidden="1" x14ac:dyDescent="0.3">
      <c r="G1255" s="101"/>
      <c r="H1255" s="101"/>
      <c r="I1255" s="101"/>
      <c r="K1255" s="225"/>
      <c r="L1255" s="225"/>
      <c r="M1255" s="114"/>
      <c r="N1255" s="114"/>
    </row>
    <row r="1256" spans="7:14" hidden="1" x14ac:dyDescent="0.3">
      <c r="G1256" s="101"/>
      <c r="H1256" s="101"/>
      <c r="I1256" s="101"/>
      <c r="K1256" s="225"/>
      <c r="L1256" s="225"/>
      <c r="M1256" s="114"/>
      <c r="N1256" s="114"/>
    </row>
    <row r="1257" spans="7:14" hidden="1" x14ac:dyDescent="0.3">
      <c r="G1257" s="101"/>
      <c r="H1257" s="101"/>
      <c r="I1257" s="101"/>
      <c r="K1257" s="225"/>
      <c r="L1257" s="225"/>
      <c r="M1257" s="114"/>
      <c r="N1257" s="114"/>
    </row>
    <row r="1258" spans="7:14" hidden="1" x14ac:dyDescent="0.3">
      <c r="G1258" s="101"/>
      <c r="H1258" s="101"/>
      <c r="I1258" s="101"/>
      <c r="K1258" s="225"/>
      <c r="L1258" s="225"/>
      <c r="M1258" s="114"/>
      <c r="N1258" s="114"/>
    </row>
    <row r="1259" spans="7:14" hidden="1" x14ac:dyDescent="0.3">
      <c r="G1259" s="101"/>
      <c r="H1259" s="101"/>
      <c r="I1259" s="101"/>
      <c r="K1259" s="225"/>
      <c r="L1259" s="225"/>
      <c r="M1259" s="114"/>
      <c r="N1259" s="114"/>
    </row>
    <row r="1260" spans="7:14" hidden="1" x14ac:dyDescent="0.3">
      <c r="G1260" s="101"/>
      <c r="H1260" s="101"/>
      <c r="I1260" s="101"/>
      <c r="K1260" s="225"/>
      <c r="L1260" s="225"/>
      <c r="M1260" s="114"/>
      <c r="N1260" s="114"/>
    </row>
    <row r="1261" spans="7:14" hidden="1" x14ac:dyDescent="0.3">
      <c r="G1261" s="101"/>
      <c r="H1261" s="101"/>
      <c r="I1261" s="101"/>
      <c r="K1261" s="225"/>
      <c r="L1261" s="225"/>
      <c r="M1261" s="114"/>
      <c r="N1261" s="114"/>
    </row>
    <row r="1262" spans="7:14" hidden="1" x14ac:dyDescent="0.3">
      <c r="G1262" s="101"/>
      <c r="H1262" s="101"/>
      <c r="I1262" s="101"/>
      <c r="K1262" s="225"/>
      <c r="L1262" s="225"/>
      <c r="M1262" s="114"/>
      <c r="N1262" s="114"/>
    </row>
    <row r="1263" spans="7:14" hidden="1" x14ac:dyDescent="0.3">
      <c r="G1263" s="101"/>
      <c r="H1263" s="101"/>
      <c r="I1263" s="101"/>
      <c r="K1263" s="225"/>
      <c r="L1263" s="225"/>
      <c r="M1263" s="114"/>
      <c r="N1263" s="114"/>
    </row>
    <row r="1264" spans="7:14" hidden="1" x14ac:dyDescent="0.3">
      <c r="G1264" s="101"/>
      <c r="H1264" s="101"/>
      <c r="I1264" s="101"/>
      <c r="K1264" s="225"/>
      <c r="L1264" s="225"/>
      <c r="M1264" s="114"/>
      <c r="N1264" s="114"/>
    </row>
    <row r="1265" spans="7:14" hidden="1" x14ac:dyDescent="0.3">
      <c r="G1265" s="101"/>
      <c r="H1265" s="101"/>
      <c r="I1265" s="101"/>
      <c r="K1265" s="225"/>
      <c r="L1265" s="225"/>
      <c r="M1265" s="114"/>
      <c r="N1265" s="114"/>
    </row>
    <row r="1266" spans="7:14" hidden="1" x14ac:dyDescent="0.3">
      <c r="G1266" s="101"/>
      <c r="H1266" s="101"/>
      <c r="I1266" s="101"/>
      <c r="K1266" s="225"/>
      <c r="L1266" s="225"/>
      <c r="M1266" s="114"/>
      <c r="N1266" s="114"/>
    </row>
    <row r="1267" spans="7:14" hidden="1" x14ac:dyDescent="0.3">
      <c r="G1267" s="101"/>
      <c r="H1267" s="101"/>
      <c r="I1267" s="101"/>
      <c r="K1267" s="225"/>
      <c r="L1267" s="225"/>
      <c r="M1267" s="114"/>
      <c r="N1267" s="114"/>
    </row>
    <row r="1268" spans="7:14" hidden="1" x14ac:dyDescent="0.3">
      <c r="G1268" s="101"/>
      <c r="H1268" s="101"/>
      <c r="I1268" s="101"/>
      <c r="K1268" s="225"/>
      <c r="L1268" s="225"/>
      <c r="M1268" s="114"/>
      <c r="N1268" s="114"/>
    </row>
    <row r="1269" spans="7:14" hidden="1" x14ac:dyDescent="0.3">
      <c r="G1269" s="101"/>
      <c r="H1269" s="101"/>
      <c r="I1269" s="101"/>
      <c r="K1269" s="225"/>
      <c r="L1269" s="225"/>
      <c r="M1269" s="114"/>
      <c r="N1269" s="114"/>
    </row>
    <row r="1270" spans="7:14" hidden="1" x14ac:dyDescent="0.3">
      <c r="G1270" s="101"/>
      <c r="H1270" s="101"/>
      <c r="I1270" s="101"/>
      <c r="K1270" s="225"/>
      <c r="L1270" s="225"/>
      <c r="M1270" s="114"/>
      <c r="N1270" s="114"/>
    </row>
    <row r="1271" spans="7:14" hidden="1" x14ac:dyDescent="0.3">
      <c r="G1271" s="101"/>
      <c r="H1271" s="101"/>
      <c r="I1271" s="101"/>
      <c r="K1271" s="225"/>
      <c r="L1271" s="225"/>
      <c r="M1271" s="114"/>
      <c r="N1271" s="114"/>
    </row>
    <row r="1272" spans="7:14" hidden="1" x14ac:dyDescent="0.3">
      <c r="G1272" s="101"/>
      <c r="H1272" s="101"/>
      <c r="I1272" s="101"/>
      <c r="K1272" s="225"/>
      <c r="L1272" s="225"/>
      <c r="M1272" s="114"/>
      <c r="N1272" s="114"/>
    </row>
    <row r="1273" spans="7:14" hidden="1" x14ac:dyDescent="0.3">
      <c r="G1273" s="101"/>
      <c r="H1273" s="101"/>
      <c r="I1273" s="101"/>
      <c r="K1273" s="225"/>
      <c r="L1273" s="225"/>
      <c r="M1273" s="114"/>
      <c r="N1273" s="114"/>
    </row>
    <row r="1274" spans="7:14" hidden="1" x14ac:dyDescent="0.3">
      <c r="G1274" s="101"/>
      <c r="H1274" s="101"/>
      <c r="I1274" s="101"/>
      <c r="K1274" s="225"/>
      <c r="L1274" s="225"/>
      <c r="M1274" s="114"/>
      <c r="N1274" s="114"/>
    </row>
    <row r="1275" spans="7:14" hidden="1" x14ac:dyDescent="0.3">
      <c r="G1275" s="101"/>
      <c r="H1275" s="101"/>
      <c r="I1275" s="101"/>
      <c r="K1275" s="225"/>
      <c r="L1275" s="225"/>
      <c r="M1275" s="114"/>
      <c r="N1275" s="114"/>
    </row>
    <row r="1276" spans="7:14" hidden="1" x14ac:dyDescent="0.3">
      <c r="G1276" s="101"/>
      <c r="H1276" s="101"/>
      <c r="I1276" s="101"/>
      <c r="K1276" s="225"/>
      <c r="L1276" s="225"/>
      <c r="M1276" s="114"/>
      <c r="N1276" s="114"/>
    </row>
    <row r="1277" spans="7:14" hidden="1" x14ac:dyDescent="0.3">
      <c r="G1277" s="101"/>
      <c r="H1277" s="101"/>
      <c r="I1277" s="101"/>
      <c r="K1277" s="225"/>
      <c r="L1277" s="225"/>
      <c r="M1277" s="114"/>
      <c r="N1277" s="114"/>
    </row>
    <row r="1278" spans="7:14" hidden="1" x14ac:dyDescent="0.3">
      <c r="G1278" s="101"/>
      <c r="H1278" s="101"/>
      <c r="I1278" s="101"/>
      <c r="K1278" s="225"/>
      <c r="L1278" s="225"/>
      <c r="M1278" s="114"/>
      <c r="N1278" s="114"/>
    </row>
    <row r="1279" spans="7:14" hidden="1" x14ac:dyDescent="0.3">
      <c r="G1279" s="101"/>
      <c r="H1279" s="101"/>
      <c r="I1279" s="101"/>
      <c r="K1279" s="225"/>
      <c r="L1279" s="225"/>
      <c r="M1279" s="114"/>
      <c r="N1279" s="114"/>
    </row>
    <row r="1280" spans="7:14" hidden="1" x14ac:dyDescent="0.3">
      <c r="G1280" s="101"/>
      <c r="H1280" s="101"/>
      <c r="I1280" s="101"/>
      <c r="K1280" s="225"/>
      <c r="L1280" s="225"/>
      <c r="M1280" s="114"/>
      <c r="N1280" s="114"/>
    </row>
    <row r="1281" spans="7:14" hidden="1" x14ac:dyDescent="0.3">
      <c r="G1281" s="101"/>
      <c r="H1281" s="101"/>
      <c r="I1281" s="101"/>
      <c r="K1281" s="225"/>
      <c r="L1281" s="225"/>
      <c r="M1281" s="114"/>
      <c r="N1281" s="114"/>
    </row>
    <row r="1282" spans="7:14" hidden="1" x14ac:dyDescent="0.3">
      <c r="G1282" s="101"/>
      <c r="H1282" s="101"/>
      <c r="I1282" s="101"/>
      <c r="K1282" s="225"/>
      <c r="L1282" s="225"/>
      <c r="M1282" s="114"/>
      <c r="N1282" s="114"/>
    </row>
    <row r="1283" spans="7:14" hidden="1" x14ac:dyDescent="0.3">
      <c r="G1283" s="101"/>
      <c r="H1283" s="101"/>
      <c r="I1283" s="101"/>
      <c r="K1283" s="225"/>
      <c r="L1283" s="225"/>
      <c r="M1283" s="114"/>
      <c r="N1283" s="114"/>
    </row>
    <row r="1284" spans="7:14" hidden="1" x14ac:dyDescent="0.3">
      <c r="G1284" s="101"/>
      <c r="H1284" s="101"/>
      <c r="I1284" s="101"/>
      <c r="K1284" s="225"/>
      <c r="L1284" s="225"/>
      <c r="M1284" s="114"/>
      <c r="N1284" s="114"/>
    </row>
    <row r="1285" spans="7:14" hidden="1" x14ac:dyDescent="0.3">
      <c r="G1285" s="101"/>
      <c r="H1285" s="101"/>
      <c r="I1285" s="101"/>
      <c r="K1285" s="225"/>
      <c r="L1285" s="225"/>
      <c r="M1285" s="114"/>
      <c r="N1285" s="114"/>
    </row>
    <row r="1286" spans="7:14" hidden="1" x14ac:dyDescent="0.3">
      <c r="G1286" s="101"/>
      <c r="H1286" s="101"/>
      <c r="I1286" s="101"/>
      <c r="K1286" s="225"/>
      <c r="L1286" s="225"/>
      <c r="M1286" s="114"/>
      <c r="N1286" s="114"/>
    </row>
    <row r="1287" spans="7:14" hidden="1" x14ac:dyDescent="0.3">
      <c r="G1287" s="101"/>
      <c r="H1287" s="101"/>
      <c r="I1287" s="101"/>
      <c r="K1287" s="225"/>
      <c r="L1287" s="225"/>
      <c r="M1287" s="114"/>
      <c r="N1287" s="114"/>
    </row>
    <row r="1288" spans="7:14" hidden="1" x14ac:dyDescent="0.3">
      <c r="G1288" s="101"/>
      <c r="H1288" s="101"/>
      <c r="I1288" s="101"/>
      <c r="K1288" s="225"/>
      <c r="L1288" s="225"/>
      <c r="M1288" s="114"/>
      <c r="N1288" s="114"/>
    </row>
    <row r="1289" spans="7:14" hidden="1" x14ac:dyDescent="0.3">
      <c r="G1289" s="101"/>
      <c r="H1289" s="101"/>
      <c r="I1289" s="101"/>
      <c r="K1289" s="225"/>
      <c r="L1289" s="225"/>
      <c r="M1289" s="114"/>
      <c r="N1289" s="114"/>
    </row>
    <row r="1290" spans="7:14" hidden="1" x14ac:dyDescent="0.3">
      <c r="G1290" s="101"/>
      <c r="H1290" s="101"/>
      <c r="I1290" s="101"/>
      <c r="K1290" s="225"/>
      <c r="L1290" s="225"/>
      <c r="M1290" s="114"/>
      <c r="N1290" s="114"/>
    </row>
    <row r="1291" spans="7:14" hidden="1" x14ac:dyDescent="0.3">
      <c r="G1291" s="101"/>
      <c r="H1291" s="101"/>
      <c r="I1291" s="101"/>
      <c r="K1291" s="225"/>
      <c r="L1291" s="225"/>
      <c r="M1291" s="114"/>
      <c r="N1291" s="114"/>
    </row>
    <row r="1292" spans="7:14" hidden="1" x14ac:dyDescent="0.3">
      <c r="G1292" s="101"/>
      <c r="H1292" s="101"/>
      <c r="I1292" s="101"/>
      <c r="K1292" s="225"/>
      <c r="L1292" s="225"/>
      <c r="M1292" s="114"/>
      <c r="N1292" s="114"/>
    </row>
    <row r="1293" spans="7:14" hidden="1" x14ac:dyDescent="0.3">
      <c r="G1293" s="101"/>
      <c r="H1293" s="101"/>
      <c r="I1293" s="101"/>
      <c r="K1293" s="225"/>
      <c r="L1293" s="225"/>
      <c r="M1293" s="114"/>
      <c r="N1293" s="114"/>
    </row>
    <row r="1294" spans="7:14" hidden="1" x14ac:dyDescent="0.3">
      <c r="G1294" s="101"/>
      <c r="H1294" s="101"/>
      <c r="I1294" s="101"/>
      <c r="K1294" s="225"/>
      <c r="L1294" s="225"/>
      <c r="M1294" s="114"/>
      <c r="N1294" s="114"/>
    </row>
    <row r="1295" spans="7:14" hidden="1" x14ac:dyDescent="0.3">
      <c r="G1295" s="101"/>
      <c r="H1295" s="101"/>
      <c r="I1295" s="101"/>
      <c r="K1295" s="225"/>
      <c r="L1295" s="225"/>
      <c r="M1295" s="114"/>
      <c r="N1295" s="114"/>
    </row>
    <row r="1296" spans="7:14" hidden="1" x14ac:dyDescent="0.3">
      <c r="G1296" s="101"/>
      <c r="H1296" s="101"/>
      <c r="I1296" s="101"/>
      <c r="K1296" s="225"/>
      <c r="L1296" s="225"/>
      <c r="M1296" s="114"/>
      <c r="N1296" s="114"/>
    </row>
    <row r="1297" spans="7:14" hidden="1" x14ac:dyDescent="0.3">
      <c r="G1297" s="101"/>
      <c r="H1297" s="101"/>
      <c r="I1297" s="101"/>
      <c r="K1297" s="225"/>
      <c r="L1297" s="225"/>
      <c r="M1297" s="114"/>
      <c r="N1297" s="114"/>
    </row>
    <row r="1298" spans="7:14" hidden="1" x14ac:dyDescent="0.3">
      <c r="G1298" s="101"/>
      <c r="H1298" s="101"/>
      <c r="I1298" s="101"/>
      <c r="K1298" s="225"/>
      <c r="L1298" s="225"/>
      <c r="M1298" s="114"/>
      <c r="N1298" s="114"/>
    </row>
    <row r="1299" spans="7:14" hidden="1" x14ac:dyDescent="0.3">
      <c r="G1299" s="101"/>
      <c r="H1299" s="101"/>
      <c r="I1299" s="101"/>
      <c r="K1299" s="225"/>
      <c r="L1299" s="225"/>
      <c r="M1299" s="114"/>
      <c r="N1299" s="114"/>
    </row>
    <row r="1300" spans="7:14" hidden="1" x14ac:dyDescent="0.3">
      <c r="G1300" s="101"/>
      <c r="H1300" s="101"/>
      <c r="I1300" s="101"/>
      <c r="K1300" s="225"/>
      <c r="L1300" s="225"/>
      <c r="M1300" s="114"/>
      <c r="N1300" s="114"/>
    </row>
    <row r="1301" spans="7:14" hidden="1" x14ac:dyDescent="0.3">
      <c r="G1301" s="101"/>
      <c r="H1301" s="101"/>
      <c r="I1301" s="101"/>
      <c r="K1301" s="225"/>
      <c r="L1301" s="225"/>
      <c r="M1301" s="114"/>
      <c r="N1301" s="114"/>
    </row>
    <row r="1302" spans="7:14" hidden="1" x14ac:dyDescent="0.3">
      <c r="G1302" s="101"/>
      <c r="H1302" s="101"/>
      <c r="I1302" s="101"/>
      <c r="K1302" s="225"/>
      <c r="L1302" s="225"/>
      <c r="M1302" s="114"/>
      <c r="N1302" s="114"/>
    </row>
    <row r="1303" spans="7:14" hidden="1" x14ac:dyDescent="0.3">
      <c r="G1303" s="101"/>
      <c r="H1303" s="101"/>
      <c r="I1303" s="101"/>
      <c r="K1303" s="225"/>
      <c r="L1303" s="225"/>
      <c r="M1303" s="114"/>
      <c r="N1303" s="114"/>
    </row>
    <row r="1304" spans="7:14" hidden="1" x14ac:dyDescent="0.3">
      <c r="G1304" s="101"/>
      <c r="H1304" s="101"/>
      <c r="I1304" s="101"/>
      <c r="K1304" s="225"/>
      <c r="L1304" s="225"/>
      <c r="M1304" s="114"/>
      <c r="N1304" s="114"/>
    </row>
    <row r="1305" spans="7:14" hidden="1" x14ac:dyDescent="0.3">
      <c r="G1305" s="101"/>
      <c r="H1305" s="101"/>
      <c r="I1305" s="101"/>
      <c r="K1305" s="225"/>
      <c r="L1305" s="225"/>
      <c r="M1305" s="114"/>
      <c r="N1305" s="114"/>
    </row>
    <row r="1306" spans="7:14" hidden="1" x14ac:dyDescent="0.3">
      <c r="G1306" s="101"/>
      <c r="H1306" s="101"/>
      <c r="I1306" s="101"/>
      <c r="K1306" s="225"/>
      <c r="L1306" s="225"/>
      <c r="M1306" s="114"/>
      <c r="N1306" s="114"/>
    </row>
    <row r="1307" spans="7:14" hidden="1" x14ac:dyDescent="0.3">
      <c r="G1307" s="101"/>
      <c r="H1307" s="101"/>
      <c r="I1307" s="101"/>
      <c r="K1307" s="225"/>
      <c r="L1307" s="225"/>
      <c r="M1307" s="114"/>
      <c r="N1307" s="114"/>
    </row>
    <row r="1308" spans="7:14" hidden="1" x14ac:dyDescent="0.3">
      <c r="G1308" s="101"/>
      <c r="H1308" s="101"/>
      <c r="I1308" s="101"/>
      <c r="K1308" s="225"/>
      <c r="L1308" s="225"/>
      <c r="M1308" s="114"/>
      <c r="N1308" s="114"/>
    </row>
    <row r="1309" spans="7:14" hidden="1" x14ac:dyDescent="0.3">
      <c r="G1309" s="101"/>
      <c r="H1309" s="101"/>
      <c r="I1309" s="101"/>
      <c r="K1309" s="225"/>
      <c r="L1309" s="225"/>
      <c r="M1309" s="114"/>
      <c r="N1309" s="114"/>
    </row>
    <row r="1310" spans="7:14" hidden="1" x14ac:dyDescent="0.3">
      <c r="G1310" s="101"/>
      <c r="H1310" s="101"/>
      <c r="I1310" s="101"/>
      <c r="K1310" s="225"/>
      <c r="L1310" s="225"/>
      <c r="M1310" s="114"/>
      <c r="N1310" s="114"/>
    </row>
    <row r="1311" spans="7:14" hidden="1" x14ac:dyDescent="0.3">
      <c r="G1311" s="101"/>
      <c r="H1311" s="101"/>
      <c r="I1311" s="101"/>
      <c r="K1311" s="225"/>
      <c r="L1311" s="225"/>
      <c r="M1311" s="114"/>
      <c r="N1311" s="114"/>
    </row>
    <row r="1312" spans="7:14" hidden="1" x14ac:dyDescent="0.3">
      <c r="G1312" s="101"/>
      <c r="H1312" s="101"/>
      <c r="I1312" s="101"/>
      <c r="K1312" s="225"/>
      <c r="L1312" s="225"/>
      <c r="M1312" s="114"/>
      <c r="N1312" s="114"/>
    </row>
    <row r="1313" spans="7:14" hidden="1" x14ac:dyDescent="0.3">
      <c r="G1313" s="101"/>
      <c r="H1313" s="101"/>
      <c r="I1313" s="101"/>
      <c r="K1313" s="225"/>
      <c r="L1313" s="225"/>
      <c r="M1313" s="114"/>
      <c r="N1313" s="114"/>
    </row>
    <row r="1314" spans="7:14" hidden="1" x14ac:dyDescent="0.3">
      <c r="G1314" s="101"/>
      <c r="H1314" s="101"/>
      <c r="I1314" s="101"/>
      <c r="K1314" s="225"/>
      <c r="L1314" s="225"/>
      <c r="M1314" s="114"/>
      <c r="N1314" s="114"/>
    </row>
    <row r="1315" spans="7:14" hidden="1" x14ac:dyDescent="0.3">
      <c r="G1315" s="101"/>
      <c r="H1315" s="101"/>
      <c r="I1315" s="101"/>
      <c r="K1315" s="225"/>
      <c r="L1315" s="225"/>
      <c r="M1315" s="114"/>
      <c r="N1315" s="114"/>
    </row>
    <row r="1316" spans="7:14" hidden="1" x14ac:dyDescent="0.3">
      <c r="G1316" s="101"/>
      <c r="H1316" s="101"/>
      <c r="I1316" s="101"/>
      <c r="K1316" s="225"/>
      <c r="L1316" s="225"/>
      <c r="M1316" s="114"/>
      <c r="N1316" s="114"/>
    </row>
    <row r="1317" spans="7:14" hidden="1" x14ac:dyDescent="0.3">
      <c r="G1317" s="101"/>
      <c r="H1317" s="101"/>
      <c r="I1317" s="101"/>
      <c r="K1317" s="225"/>
      <c r="L1317" s="225"/>
      <c r="M1317" s="114"/>
      <c r="N1317" s="114"/>
    </row>
    <row r="1318" spans="7:14" hidden="1" x14ac:dyDescent="0.3">
      <c r="G1318" s="101"/>
      <c r="H1318" s="101"/>
      <c r="I1318" s="101"/>
      <c r="K1318" s="225"/>
      <c r="L1318" s="225"/>
      <c r="M1318" s="114"/>
      <c r="N1318" s="114"/>
    </row>
    <row r="1319" spans="7:14" hidden="1" x14ac:dyDescent="0.3">
      <c r="G1319" s="101"/>
      <c r="H1319" s="101"/>
      <c r="I1319" s="101"/>
      <c r="K1319" s="225"/>
      <c r="L1319" s="225"/>
      <c r="M1319" s="114"/>
      <c r="N1319" s="114"/>
    </row>
    <row r="1320" spans="7:14" hidden="1" x14ac:dyDescent="0.3">
      <c r="G1320" s="101"/>
      <c r="H1320" s="101"/>
      <c r="I1320" s="101"/>
      <c r="K1320" s="225"/>
      <c r="L1320" s="225"/>
      <c r="M1320" s="114"/>
      <c r="N1320" s="114"/>
    </row>
    <row r="1321" spans="7:14" hidden="1" x14ac:dyDescent="0.3">
      <c r="G1321" s="101"/>
      <c r="H1321" s="101"/>
      <c r="I1321" s="101"/>
      <c r="K1321" s="225"/>
      <c r="L1321" s="225"/>
      <c r="M1321" s="114"/>
      <c r="N1321" s="114"/>
    </row>
    <row r="1322" spans="7:14" hidden="1" x14ac:dyDescent="0.3">
      <c r="G1322" s="101"/>
      <c r="H1322" s="101"/>
      <c r="I1322" s="101"/>
      <c r="K1322" s="225"/>
      <c r="L1322" s="225"/>
      <c r="M1322" s="114"/>
      <c r="N1322" s="114"/>
    </row>
    <row r="1323" spans="7:14" hidden="1" x14ac:dyDescent="0.3">
      <c r="G1323" s="101"/>
      <c r="H1323" s="101"/>
      <c r="I1323" s="101"/>
      <c r="K1323" s="225"/>
      <c r="L1323" s="225"/>
      <c r="M1323" s="114"/>
      <c r="N1323" s="114"/>
    </row>
    <row r="1324" spans="7:14" hidden="1" x14ac:dyDescent="0.3">
      <c r="G1324" s="101"/>
      <c r="H1324" s="101"/>
      <c r="I1324" s="101"/>
      <c r="K1324" s="225"/>
      <c r="L1324" s="225"/>
      <c r="M1324" s="114"/>
      <c r="N1324" s="114"/>
    </row>
    <row r="1325" spans="7:14" hidden="1" x14ac:dyDescent="0.3">
      <c r="G1325" s="101"/>
      <c r="H1325" s="101"/>
      <c r="I1325" s="101"/>
      <c r="K1325" s="225"/>
      <c r="L1325" s="225"/>
      <c r="M1325" s="114"/>
      <c r="N1325" s="114"/>
    </row>
    <row r="1326" spans="7:14" hidden="1" x14ac:dyDescent="0.3">
      <c r="G1326" s="101"/>
      <c r="H1326" s="101"/>
      <c r="I1326" s="101"/>
      <c r="K1326" s="225"/>
      <c r="L1326" s="225"/>
      <c r="M1326" s="114"/>
      <c r="N1326" s="114"/>
    </row>
    <row r="1327" spans="7:14" hidden="1" x14ac:dyDescent="0.3">
      <c r="G1327" s="101"/>
      <c r="H1327" s="101"/>
      <c r="I1327" s="101"/>
      <c r="K1327" s="225"/>
      <c r="L1327" s="225"/>
      <c r="M1327" s="114"/>
      <c r="N1327" s="114"/>
    </row>
    <row r="1328" spans="7:14" hidden="1" x14ac:dyDescent="0.3">
      <c r="G1328" s="101"/>
      <c r="H1328" s="101"/>
      <c r="I1328" s="101"/>
      <c r="K1328" s="225"/>
      <c r="L1328" s="225"/>
      <c r="M1328" s="114"/>
      <c r="N1328" s="114"/>
    </row>
    <row r="1329" spans="7:14" hidden="1" x14ac:dyDescent="0.3">
      <c r="G1329" s="101"/>
      <c r="H1329" s="101"/>
      <c r="I1329" s="101"/>
      <c r="K1329" s="225"/>
      <c r="L1329" s="225"/>
      <c r="M1329" s="114"/>
      <c r="N1329" s="114"/>
    </row>
    <row r="1330" spans="7:14" hidden="1" x14ac:dyDescent="0.3">
      <c r="G1330" s="101"/>
      <c r="H1330" s="101"/>
      <c r="I1330" s="101"/>
      <c r="K1330" s="225"/>
      <c r="L1330" s="225"/>
      <c r="M1330" s="114"/>
      <c r="N1330" s="114"/>
    </row>
    <row r="1331" spans="7:14" hidden="1" x14ac:dyDescent="0.3">
      <c r="G1331" s="101"/>
      <c r="H1331" s="101"/>
      <c r="I1331" s="101"/>
      <c r="K1331" s="225"/>
      <c r="L1331" s="225"/>
      <c r="M1331" s="114"/>
      <c r="N1331" s="114"/>
    </row>
    <row r="1332" spans="7:14" hidden="1" x14ac:dyDescent="0.3">
      <c r="G1332" s="101"/>
      <c r="H1332" s="101"/>
      <c r="I1332" s="101"/>
      <c r="K1332" s="225"/>
      <c r="L1332" s="225"/>
      <c r="M1332" s="114"/>
      <c r="N1332" s="114"/>
    </row>
    <row r="1333" spans="7:14" hidden="1" x14ac:dyDescent="0.3">
      <c r="G1333" s="101"/>
      <c r="H1333" s="101"/>
      <c r="I1333" s="101"/>
      <c r="K1333" s="225"/>
      <c r="L1333" s="225"/>
      <c r="M1333" s="114"/>
      <c r="N1333" s="114"/>
    </row>
    <row r="1334" spans="7:14" hidden="1" x14ac:dyDescent="0.3">
      <c r="G1334" s="101"/>
      <c r="H1334" s="101"/>
      <c r="I1334" s="101"/>
      <c r="K1334" s="225"/>
      <c r="L1334" s="225"/>
      <c r="M1334" s="114"/>
      <c r="N1334" s="114"/>
    </row>
    <row r="1335" spans="7:14" hidden="1" x14ac:dyDescent="0.3">
      <c r="G1335" s="101"/>
      <c r="H1335" s="101"/>
      <c r="I1335" s="101"/>
      <c r="K1335" s="225"/>
      <c r="L1335" s="225"/>
      <c r="M1335" s="114"/>
      <c r="N1335" s="114"/>
    </row>
    <row r="1336" spans="7:14" hidden="1" x14ac:dyDescent="0.3">
      <c r="G1336" s="101"/>
      <c r="H1336" s="101"/>
      <c r="I1336" s="101"/>
      <c r="K1336" s="225"/>
      <c r="L1336" s="225"/>
      <c r="M1336" s="114"/>
      <c r="N1336" s="114"/>
    </row>
    <row r="1337" spans="7:14" hidden="1" x14ac:dyDescent="0.3">
      <c r="G1337" s="101"/>
      <c r="H1337" s="101"/>
      <c r="I1337" s="101"/>
      <c r="K1337" s="225"/>
      <c r="L1337" s="225"/>
      <c r="M1337" s="114"/>
      <c r="N1337" s="114"/>
    </row>
    <row r="1338" spans="7:14" hidden="1" x14ac:dyDescent="0.3">
      <c r="G1338" s="101"/>
      <c r="H1338" s="101"/>
      <c r="I1338" s="101"/>
      <c r="K1338" s="225"/>
      <c r="L1338" s="225"/>
      <c r="M1338" s="114"/>
      <c r="N1338" s="114"/>
    </row>
    <row r="1339" spans="7:14" hidden="1" x14ac:dyDescent="0.3">
      <c r="G1339" s="101"/>
      <c r="H1339" s="101"/>
      <c r="I1339" s="101"/>
      <c r="K1339" s="225"/>
      <c r="L1339" s="225"/>
      <c r="M1339" s="114"/>
      <c r="N1339" s="114"/>
    </row>
    <row r="1340" spans="7:14" hidden="1" x14ac:dyDescent="0.3">
      <c r="G1340" s="101"/>
      <c r="H1340" s="101"/>
      <c r="I1340" s="101"/>
      <c r="K1340" s="225"/>
      <c r="L1340" s="225"/>
      <c r="M1340" s="114"/>
      <c r="N1340" s="114"/>
    </row>
    <row r="1341" spans="7:14" hidden="1" x14ac:dyDescent="0.3">
      <c r="G1341" s="101"/>
      <c r="H1341" s="101"/>
      <c r="I1341" s="101"/>
      <c r="K1341" s="225"/>
      <c r="L1341" s="225"/>
      <c r="M1341" s="114"/>
      <c r="N1341" s="114"/>
    </row>
    <row r="1342" spans="7:14" hidden="1" x14ac:dyDescent="0.3">
      <c r="G1342" s="101"/>
      <c r="H1342" s="101"/>
      <c r="I1342" s="101"/>
      <c r="K1342" s="225"/>
      <c r="L1342" s="225"/>
      <c r="M1342" s="114"/>
      <c r="N1342" s="114"/>
    </row>
    <row r="1343" spans="7:14" hidden="1" x14ac:dyDescent="0.3">
      <c r="G1343" s="101"/>
      <c r="H1343" s="101"/>
      <c r="I1343" s="101"/>
      <c r="K1343" s="225"/>
      <c r="L1343" s="225"/>
      <c r="M1343" s="114"/>
      <c r="N1343" s="114"/>
    </row>
    <row r="1344" spans="7:14" hidden="1" x14ac:dyDescent="0.3">
      <c r="G1344" s="101"/>
      <c r="H1344" s="101"/>
      <c r="I1344" s="101"/>
      <c r="K1344" s="225"/>
      <c r="L1344" s="225"/>
      <c r="M1344" s="114"/>
      <c r="N1344" s="114"/>
    </row>
    <row r="1345" spans="7:14" hidden="1" x14ac:dyDescent="0.3">
      <c r="G1345" s="101"/>
      <c r="H1345" s="101"/>
      <c r="I1345" s="101"/>
      <c r="K1345" s="225"/>
      <c r="L1345" s="225"/>
      <c r="M1345" s="114"/>
      <c r="N1345" s="114"/>
    </row>
    <row r="1346" spans="7:14" hidden="1" x14ac:dyDescent="0.3">
      <c r="G1346" s="101"/>
      <c r="H1346" s="101"/>
      <c r="I1346" s="101"/>
      <c r="K1346" s="225"/>
      <c r="L1346" s="225"/>
      <c r="M1346" s="114"/>
      <c r="N1346" s="114"/>
    </row>
    <row r="1347" spans="7:14" hidden="1" x14ac:dyDescent="0.3">
      <c r="G1347" s="101"/>
      <c r="H1347" s="101"/>
      <c r="I1347" s="101"/>
      <c r="K1347" s="225"/>
      <c r="L1347" s="225"/>
      <c r="M1347" s="114"/>
      <c r="N1347" s="114"/>
    </row>
    <row r="1348" spans="7:14" hidden="1" x14ac:dyDescent="0.3">
      <c r="G1348" s="101"/>
      <c r="H1348" s="101"/>
      <c r="I1348" s="101"/>
      <c r="K1348" s="225"/>
      <c r="L1348" s="225"/>
      <c r="M1348" s="114"/>
      <c r="N1348" s="114"/>
    </row>
    <row r="1349" spans="7:14" hidden="1" x14ac:dyDescent="0.3">
      <c r="G1349" s="101"/>
      <c r="H1349" s="101"/>
      <c r="I1349" s="101"/>
      <c r="K1349" s="225"/>
      <c r="L1349" s="225"/>
      <c r="M1349" s="114"/>
      <c r="N1349" s="114"/>
    </row>
    <row r="1350" spans="7:14" hidden="1" x14ac:dyDescent="0.3">
      <c r="G1350" s="101"/>
      <c r="H1350" s="101"/>
      <c r="I1350" s="101"/>
      <c r="K1350" s="225"/>
      <c r="L1350" s="225"/>
      <c r="M1350" s="114"/>
      <c r="N1350" s="114"/>
    </row>
    <row r="1351" spans="7:14" hidden="1" x14ac:dyDescent="0.3">
      <c r="G1351" s="101"/>
      <c r="H1351" s="101"/>
      <c r="I1351" s="101"/>
      <c r="K1351" s="225"/>
      <c r="L1351" s="225"/>
      <c r="M1351" s="114"/>
      <c r="N1351" s="114"/>
    </row>
    <row r="1352" spans="7:14" hidden="1" x14ac:dyDescent="0.3">
      <c r="G1352" s="101"/>
      <c r="H1352" s="101"/>
      <c r="I1352" s="101"/>
      <c r="K1352" s="225"/>
      <c r="L1352" s="225"/>
      <c r="M1352" s="114"/>
      <c r="N1352" s="114"/>
    </row>
    <row r="1353" spans="7:14" hidden="1" x14ac:dyDescent="0.3">
      <c r="G1353" s="101"/>
      <c r="H1353" s="101"/>
      <c r="I1353" s="101"/>
      <c r="K1353" s="225"/>
      <c r="L1353" s="225"/>
      <c r="M1353" s="114"/>
      <c r="N1353" s="114"/>
    </row>
    <row r="1354" spans="7:14" hidden="1" x14ac:dyDescent="0.3">
      <c r="G1354" s="101"/>
      <c r="H1354" s="101"/>
      <c r="I1354" s="101"/>
      <c r="K1354" s="225"/>
      <c r="L1354" s="225"/>
      <c r="M1354" s="114"/>
      <c r="N1354" s="114"/>
    </row>
    <row r="1355" spans="7:14" hidden="1" x14ac:dyDescent="0.3">
      <c r="G1355" s="101"/>
      <c r="H1355" s="101"/>
      <c r="I1355" s="101"/>
      <c r="K1355" s="225"/>
      <c r="L1355" s="225"/>
      <c r="M1355" s="114"/>
      <c r="N1355" s="114"/>
    </row>
    <row r="1356" spans="7:14" hidden="1" x14ac:dyDescent="0.3">
      <c r="G1356" s="101"/>
      <c r="H1356" s="101"/>
      <c r="I1356" s="101"/>
      <c r="K1356" s="225"/>
      <c r="L1356" s="225"/>
      <c r="M1356" s="114"/>
      <c r="N1356" s="114"/>
    </row>
    <row r="1357" spans="7:14" hidden="1" x14ac:dyDescent="0.3">
      <c r="G1357" s="101"/>
      <c r="H1357" s="101"/>
      <c r="I1357" s="101"/>
      <c r="K1357" s="225"/>
      <c r="L1357" s="225"/>
      <c r="M1357" s="114"/>
      <c r="N1357" s="114"/>
    </row>
    <row r="1358" spans="7:14" hidden="1" x14ac:dyDescent="0.3">
      <c r="G1358" s="101"/>
      <c r="H1358" s="101"/>
      <c r="I1358" s="101"/>
      <c r="K1358" s="225"/>
      <c r="L1358" s="225"/>
      <c r="M1358" s="114"/>
      <c r="N1358" s="114"/>
    </row>
    <row r="1359" spans="7:14" hidden="1" x14ac:dyDescent="0.3">
      <c r="G1359" s="101"/>
      <c r="H1359" s="101"/>
      <c r="I1359" s="101"/>
      <c r="K1359" s="225"/>
      <c r="L1359" s="225"/>
      <c r="M1359" s="114"/>
      <c r="N1359" s="114"/>
    </row>
    <row r="1360" spans="7:14" hidden="1" x14ac:dyDescent="0.3">
      <c r="G1360" s="101"/>
      <c r="H1360" s="101"/>
      <c r="I1360" s="101"/>
      <c r="K1360" s="225"/>
      <c r="L1360" s="225"/>
      <c r="M1360" s="114"/>
      <c r="N1360" s="114"/>
    </row>
    <row r="1361" spans="7:14" hidden="1" x14ac:dyDescent="0.3">
      <c r="G1361" s="101"/>
      <c r="H1361" s="101"/>
      <c r="I1361" s="101"/>
      <c r="K1361" s="225"/>
      <c r="L1361" s="225"/>
      <c r="M1361" s="114"/>
      <c r="N1361" s="114"/>
    </row>
    <row r="1362" spans="7:14" hidden="1" x14ac:dyDescent="0.3">
      <c r="G1362" s="101"/>
      <c r="H1362" s="101"/>
      <c r="I1362" s="101"/>
      <c r="K1362" s="225"/>
      <c r="L1362" s="225"/>
      <c r="M1362" s="114"/>
      <c r="N1362" s="114"/>
    </row>
    <row r="1363" spans="7:14" hidden="1" x14ac:dyDescent="0.3">
      <c r="G1363" s="101"/>
      <c r="H1363" s="101"/>
      <c r="I1363" s="101"/>
      <c r="K1363" s="225"/>
      <c r="L1363" s="225"/>
      <c r="M1363" s="114"/>
      <c r="N1363" s="114"/>
    </row>
    <row r="1364" spans="7:14" hidden="1" x14ac:dyDescent="0.3">
      <c r="G1364" s="101"/>
      <c r="H1364" s="101"/>
      <c r="I1364" s="101"/>
      <c r="K1364" s="225"/>
      <c r="L1364" s="225"/>
      <c r="M1364" s="114"/>
      <c r="N1364" s="114"/>
    </row>
    <row r="1365" spans="7:14" hidden="1" x14ac:dyDescent="0.3">
      <c r="G1365" s="101"/>
      <c r="H1365" s="101"/>
      <c r="I1365" s="101"/>
      <c r="K1365" s="225"/>
      <c r="L1365" s="225"/>
      <c r="M1365" s="114"/>
      <c r="N1365" s="114"/>
    </row>
    <row r="1366" spans="7:14" hidden="1" x14ac:dyDescent="0.3">
      <c r="G1366" s="101"/>
      <c r="H1366" s="101"/>
      <c r="I1366" s="101"/>
      <c r="K1366" s="225"/>
      <c r="L1366" s="225"/>
      <c r="M1366" s="114"/>
      <c r="N1366" s="114"/>
    </row>
    <row r="1367" spans="7:14" hidden="1" x14ac:dyDescent="0.3">
      <c r="G1367" s="101"/>
      <c r="H1367" s="101"/>
      <c r="I1367" s="101"/>
      <c r="K1367" s="225"/>
      <c r="L1367" s="225"/>
      <c r="M1367" s="114"/>
      <c r="N1367" s="114"/>
    </row>
    <row r="1368" spans="7:14" hidden="1" x14ac:dyDescent="0.3">
      <c r="G1368" s="101"/>
      <c r="H1368" s="101"/>
      <c r="I1368" s="101"/>
      <c r="K1368" s="225"/>
      <c r="L1368" s="225"/>
      <c r="M1368" s="114"/>
      <c r="N1368" s="114"/>
    </row>
    <row r="1369" spans="7:14" hidden="1" x14ac:dyDescent="0.3">
      <c r="G1369" s="101"/>
      <c r="H1369" s="101"/>
      <c r="I1369" s="101"/>
      <c r="K1369" s="225"/>
      <c r="L1369" s="225"/>
      <c r="M1369" s="114"/>
      <c r="N1369" s="114"/>
    </row>
    <row r="1370" spans="7:14" hidden="1" x14ac:dyDescent="0.3">
      <c r="G1370" s="101"/>
      <c r="H1370" s="101"/>
      <c r="I1370" s="101"/>
      <c r="K1370" s="225"/>
      <c r="L1370" s="225"/>
      <c r="M1370" s="114"/>
      <c r="N1370" s="114"/>
    </row>
    <row r="1371" spans="7:14" hidden="1" x14ac:dyDescent="0.3">
      <c r="G1371" s="101"/>
      <c r="H1371" s="101"/>
      <c r="I1371" s="101"/>
      <c r="K1371" s="225"/>
      <c r="L1371" s="225"/>
      <c r="M1371" s="114"/>
      <c r="N1371" s="114"/>
    </row>
    <row r="1372" spans="7:14" hidden="1" x14ac:dyDescent="0.3">
      <c r="G1372" s="101"/>
      <c r="H1372" s="101"/>
      <c r="I1372" s="101"/>
      <c r="K1372" s="225"/>
      <c r="L1372" s="225"/>
      <c r="M1372" s="114"/>
      <c r="N1372" s="114"/>
    </row>
    <row r="1373" spans="7:14" hidden="1" x14ac:dyDescent="0.3">
      <c r="G1373" s="101"/>
      <c r="H1373" s="101"/>
      <c r="I1373" s="101"/>
      <c r="K1373" s="225"/>
      <c r="L1373" s="225"/>
      <c r="M1373" s="114"/>
      <c r="N1373" s="114"/>
    </row>
    <row r="1374" spans="7:14" hidden="1" x14ac:dyDescent="0.3">
      <c r="G1374" s="101"/>
      <c r="H1374" s="101"/>
      <c r="I1374" s="101"/>
      <c r="K1374" s="225"/>
      <c r="L1374" s="225"/>
      <c r="M1374" s="114"/>
      <c r="N1374" s="114"/>
    </row>
    <row r="1375" spans="7:14" hidden="1" x14ac:dyDescent="0.3">
      <c r="G1375" s="101"/>
      <c r="H1375" s="101"/>
      <c r="I1375" s="101"/>
      <c r="K1375" s="225"/>
      <c r="L1375" s="225"/>
      <c r="M1375" s="114"/>
      <c r="N1375" s="114"/>
    </row>
    <row r="1376" spans="7:14" hidden="1" x14ac:dyDescent="0.3">
      <c r="G1376" s="101"/>
      <c r="H1376" s="101"/>
      <c r="I1376" s="101"/>
      <c r="K1376" s="225"/>
      <c r="L1376" s="225"/>
      <c r="M1376" s="114"/>
      <c r="N1376" s="114"/>
    </row>
    <row r="1377" spans="7:14" hidden="1" x14ac:dyDescent="0.3">
      <c r="G1377" s="101"/>
      <c r="H1377" s="101"/>
      <c r="I1377" s="101"/>
      <c r="K1377" s="225"/>
      <c r="L1377" s="225"/>
      <c r="M1377" s="114"/>
      <c r="N1377" s="114"/>
    </row>
    <row r="1378" spans="7:14" hidden="1" x14ac:dyDescent="0.3">
      <c r="G1378" s="101"/>
      <c r="H1378" s="101"/>
      <c r="I1378" s="101"/>
      <c r="K1378" s="225"/>
      <c r="L1378" s="225"/>
      <c r="M1378" s="114"/>
      <c r="N1378" s="114"/>
    </row>
    <row r="1379" spans="7:14" hidden="1" x14ac:dyDescent="0.3">
      <c r="G1379" s="101"/>
      <c r="H1379" s="101"/>
      <c r="I1379" s="101"/>
      <c r="K1379" s="225"/>
      <c r="L1379" s="225"/>
      <c r="M1379" s="114"/>
      <c r="N1379" s="114"/>
    </row>
    <row r="1380" spans="7:14" hidden="1" x14ac:dyDescent="0.3">
      <c r="G1380" s="101"/>
      <c r="H1380" s="101"/>
      <c r="I1380" s="101"/>
      <c r="K1380" s="225"/>
      <c r="L1380" s="225"/>
      <c r="M1380" s="114"/>
      <c r="N1380" s="114"/>
    </row>
    <row r="1381" spans="7:14" hidden="1" x14ac:dyDescent="0.3">
      <c r="G1381" s="101"/>
      <c r="H1381" s="101"/>
      <c r="I1381" s="101"/>
      <c r="K1381" s="225"/>
      <c r="L1381" s="225"/>
      <c r="M1381" s="114"/>
      <c r="N1381" s="114"/>
    </row>
    <row r="1382" spans="7:14" hidden="1" x14ac:dyDescent="0.3">
      <c r="G1382" s="101"/>
      <c r="H1382" s="101"/>
      <c r="I1382" s="101"/>
      <c r="K1382" s="225"/>
      <c r="L1382" s="225"/>
      <c r="M1382" s="114"/>
      <c r="N1382" s="114"/>
    </row>
    <row r="1383" spans="7:14" hidden="1" x14ac:dyDescent="0.3">
      <c r="G1383" s="101"/>
      <c r="H1383" s="101"/>
      <c r="I1383" s="101"/>
      <c r="K1383" s="225"/>
      <c r="L1383" s="225"/>
      <c r="M1383" s="114"/>
      <c r="N1383" s="114"/>
    </row>
    <row r="1384" spans="7:14" hidden="1" x14ac:dyDescent="0.3">
      <c r="G1384" s="101"/>
      <c r="H1384" s="101"/>
      <c r="I1384" s="101"/>
      <c r="K1384" s="225"/>
      <c r="L1384" s="225"/>
      <c r="M1384" s="114"/>
      <c r="N1384" s="114"/>
    </row>
    <row r="1385" spans="7:14" hidden="1" x14ac:dyDescent="0.3">
      <c r="G1385" s="101"/>
      <c r="H1385" s="101"/>
      <c r="I1385" s="101"/>
      <c r="K1385" s="225"/>
      <c r="L1385" s="225"/>
      <c r="M1385" s="114"/>
      <c r="N1385" s="114"/>
    </row>
    <row r="1386" spans="7:14" hidden="1" x14ac:dyDescent="0.3">
      <c r="G1386" s="101"/>
      <c r="H1386" s="101"/>
      <c r="I1386" s="101"/>
      <c r="K1386" s="225"/>
      <c r="L1386" s="225"/>
      <c r="M1386" s="114"/>
      <c r="N1386" s="114"/>
    </row>
    <row r="1387" spans="7:14" hidden="1" x14ac:dyDescent="0.3">
      <c r="G1387" s="101"/>
      <c r="H1387" s="101"/>
      <c r="I1387" s="101"/>
      <c r="K1387" s="225"/>
      <c r="L1387" s="225"/>
      <c r="M1387" s="114"/>
      <c r="N1387" s="114"/>
    </row>
    <row r="1388" spans="7:14" hidden="1" x14ac:dyDescent="0.3">
      <c r="G1388" s="101"/>
      <c r="H1388" s="101"/>
      <c r="I1388" s="101"/>
      <c r="K1388" s="225"/>
      <c r="L1388" s="225"/>
      <c r="M1388" s="114"/>
      <c r="N1388" s="114"/>
    </row>
    <row r="1389" spans="7:14" hidden="1" x14ac:dyDescent="0.3">
      <c r="G1389" s="101"/>
      <c r="H1389" s="101"/>
      <c r="I1389" s="101"/>
      <c r="K1389" s="225"/>
      <c r="L1389" s="225"/>
      <c r="M1389" s="114"/>
      <c r="N1389" s="114"/>
    </row>
    <row r="1390" spans="7:14" hidden="1" x14ac:dyDescent="0.3">
      <c r="G1390" s="101"/>
      <c r="H1390" s="101"/>
      <c r="I1390" s="101"/>
      <c r="K1390" s="225"/>
      <c r="L1390" s="225"/>
      <c r="M1390" s="114"/>
      <c r="N1390" s="114"/>
    </row>
    <row r="1391" spans="7:14" hidden="1" x14ac:dyDescent="0.3">
      <c r="G1391" s="101"/>
      <c r="H1391" s="101"/>
      <c r="I1391" s="101"/>
      <c r="K1391" s="225"/>
      <c r="L1391" s="225"/>
      <c r="M1391" s="114"/>
      <c r="N1391" s="114"/>
    </row>
    <row r="1392" spans="7:14" hidden="1" x14ac:dyDescent="0.3">
      <c r="G1392" s="101"/>
      <c r="H1392" s="101"/>
      <c r="I1392" s="101"/>
      <c r="K1392" s="225"/>
      <c r="L1392" s="225"/>
      <c r="M1392" s="114"/>
      <c r="N1392" s="114"/>
    </row>
    <row r="1393" spans="7:14" hidden="1" x14ac:dyDescent="0.3">
      <c r="G1393" s="101"/>
      <c r="H1393" s="101"/>
      <c r="I1393" s="101"/>
      <c r="K1393" s="225"/>
      <c r="L1393" s="225"/>
      <c r="M1393" s="114"/>
      <c r="N1393" s="114"/>
    </row>
    <row r="1394" spans="7:14" hidden="1" x14ac:dyDescent="0.3">
      <c r="G1394" s="101"/>
      <c r="H1394" s="101"/>
      <c r="I1394" s="101"/>
      <c r="K1394" s="225"/>
      <c r="L1394" s="225"/>
      <c r="M1394" s="114"/>
      <c r="N1394" s="114"/>
    </row>
    <row r="1395" spans="7:14" hidden="1" x14ac:dyDescent="0.3">
      <c r="G1395" s="101"/>
      <c r="H1395" s="101"/>
      <c r="I1395" s="101"/>
      <c r="K1395" s="225"/>
      <c r="L1395" s="225"/>
      <c r="M1395" s="114"/>
      <c r="N1395" s="114"/>
    </row>
    <row r="1396" spans="7:14" hidden="1" x14ac:dyDescent="0.3">
      <c r="G1396" s="101"/>
      <c r="H1396" s="101"/>
      <c r="I1396" s="101"/>
      <c r="K1396" s="225"/>
      <c r="L1396" s="225"/>
      <c r="M1396" s="114"/>
      <c r="N1396" s="114"/>
    </row>
    <row r="1397" spans="7:14" hidden="1" x14ac:dyDescent="0.3">
      <c r="G1397" s="101"/>
      <c r="H1397" s="101"/>
      <c r="I1397" s="101"/>
      <c r="K1397" s="225"/>
      <c r="L1397" s="225"/>
      <c r="M1397" s="114"/>
      <c r="N1397" s="114"/>
    </row>
    <row r="1398" spans="7:14" hidden="1" x14ac:dyDescent="0.3">
      <c r="G1398" s="101"/>
      <c r="H1398" s="101"/>
      <c r="I1398" s="101"/>
      <c r="K1398" s="225"/>
      <c r="L1398" s="225"/>
      <c r="M1398" s="114"/>
      <c r="N1398" s="114"/>
    </row>
    <row r="1399" spans="7:14" hidden="1" x14ac:dyDescent="0.3">
      <c r="G1399" s="101"/>
      <c r="H1399" s="101"/>
      <c r="I1399" s="101"/>
      <c r="K1399" s="225"/>
      <c r="L1399" s="225"/>
      <c r="M1399" s="114"/>
      <c r="N1399" s="114"/>
    </row>
    <row r="1400" spans="7:14" hidden="1" x14ac:dyDescent="0.3">
      <c r="G1400" s="101"/>
      <c r="H1400" s="101"/>
      <c r="I1400" s="101"/>
      <c r="K1400" s="225"/>
      <c r="L1400" s="225"/>
      <c r="M1400" s="114"/>
      <c r="N1400" s="114"/>
    </row>
    <row r="1401" spans="7:14" hidden="1" x14ac:dyDescent="0.3">
      <c r="G1401" s="101"/>
      <c r="H1401" s="101"/>
      <c r="I1401" s="101"/>
      <c r="K1401" s="225"/>
      <c r="L1401" s="225"/>
      <c r="M1401" s="114"/>
      <c r="N1401" s="114"/>
    </row>
    <row r="1402" spans="7:14" hidden="1" x14ac:dyDescent="0.3">
      <c r="G1402" s="101"/>
      <c r="H1402" s="101"/>
      <c r="I1402" s="101"/>
      <c r="K1402" s="225"/>
      <c r="L1402" s="225"/>
      <c r="M1402" s="114"/>
      <c r="N1402" s="114"/>
    </row>
    <row r="1403" spans="7:14" hidden="1" x14ac:dyDescent="0.3">
      <c r="G1403" s="101"/>
      <c r="H1403" s="101"/>
      <c r="I1403" s="101"/>
      <c r="K1403" s="225"/>
      <c r="L1403" s="225"/>
      <c r="M1403" s="114"/>
      <c r="N1403" s="114"/>
    </row>
    <row r="1404" spans="7:14" hidden="1" x14ac:dyDescent="0.3">
      <c r="G1404" s="101"/>
      <c r="H1404" s="101"/>
      <c r="I1404" s="101"/>
      <c r="K1404" s="225"/>
      <c r="L1404" s="225"/>
      <c r="M1404" s="114"/>
      <c r="N1404" s="114"/>
    </row>
    <row r="1405" spans="7:14" hidden="1" x14ac:dyDescent="0.3">
      <c r="G1405" s="101"/>
      <c r="H1405" s="101"/>
      <c r="I1405" s="101"/>
      <c r="K1405" s="225"/>
      <c r="L1405" s="225"/>
      <c r="M1405" s="114"/>
      <c r="N1405" s="114"/>
    </row>
    <row r="1406" spans="7:14" hidden="1" x14ac:dyDescent="0.3">
      <c r="G1406" s="101"/>
      <c r="H1406" s="101"/>
      <c r="I1406" s="101"/>
      <c r="K1406" s="225"/>
      <c r="L1406" s="225"/>
      <c r="M1406" s="114"/>
      <c r="N1406" s="114"/>
    </row>
    <row r="1407" spans="7:14" hidden="1" x14ac:dyDescent="0.3">
      <c r="G1407" s="101"/>
      <c r="H1407" s="101"/>
      <c r="I1407" s="101"/>
      <c r="K1407" s="225"/>
      <c r="L1407" s="225"/>
      <c r="M1407" s="114"/>
      <c r="N1407" s="114"/>
    </row>
    <row r="1408" spans="7:14" hidden="1" x14ac:dyDescent="0.3">
      <c r="G1408" s="101"/>
      <c r="H1408" s="101"/>
      <c r="I1408" s="101"/>
      <c r="K1408" s="225"/>
      <c r="L1408" s="225"/>
      <c r="M1408" s="114"/>
      <c r="N1408" s="114"/>
    </row>
    <row r="1409" spans="7:14" hidden="1" x14ac:dyDescent="0.3">
      <c r="G1409" s="101"/>
      <c r="H1409" s="101"/>
      <c r="I1409" s="101"/>
      <c r="K1409" s="225"/>
      <c r="L1409" s="225"/>
      <c r="M1409" s="114"/>
      <c r="N1409" s="114"/>
    </row>
    <row r="1410" spans="7:14" hidden="1" x14ac:dyDescent="0.3">
      <c r="G1410" s="101"/>
      <c r="H1410" s="101"/>
      <c r="I1410" s="101"/>
      <c r="K1410" s="225"/>
      <c r="L1410" s="225"/>
      <c r="M1410" s="114"/>
      <c r="N1410" s="114"/>
    </row>
    <row r="1411" spans="7:14" hidden="1" x14ac:dyDescent="0.3">
      <c r="G1411" s="101"/>
      <c r="H1411" s="101"/>
      <c r="I1411" s="101"/>
      <c r="K1411" s="225"/>
      <c r="L1411" s="225"/>
      <c r="M1411" s="114"/>
      <c r="N1411" s="114"/>
    </row>
    <row r="1412" spans="7:14" hidden="1" x14ac:dyDescent="0.3">
      <c r="G1412" s="101"/>
      <c r="H1412" s="101"/>
      <c r="I1412" s="101"/>
      <c r="K1412" s="225"/>
      <c r="L1412" s="225"/>
      <c r="M1412" s="114"/>
      <c r="N1412" s="114"/>
    </row>
    <row r="1413" spans="7:14" hidden="1" x14ac:dyDescent="0.3">
      <c r="G1413" s="101"/>
      <c r="H1413" s="101"/>
      <c r="I1413" s="101"/>
      <c r="K1413" s="225"/>
      <c r="L1413" s="225"/>
      <c r="M1413" s="114"/>
      <c r="N1413" s="114"/>
    </row>
    <row r="1414" spans="7:14" hidden="1" x14ac:dyDescent="0.3">
      <c r="G1414" s="101"/>
      <c r="H1414" s="101"/>
      <c r="I1414" s="101"/>
      <c r="K1414" s="225"/>
      <c r="L1414" s="225"/>
      <c r="M1414" s="114"/>
      <c r="N1414" s="114"/>
    </row>
    <row r="1415" spans="7:14" hidden="1" x14ac:dyDescent="0.3">
      <c r="G1415" s="101"/>
      <c r="H1415" s="101"/>
      <c r="I1415" s="101"/>
      <c r="K1415" s="225"/>
      <c r="L1415" s="225"/>
      <c r="M1415" s="114"/>
      <c r="N1415" s="114"/>
    </row>
    <row r="1416" spans="7:14" hidden="1" x14ac:dyDescent="0.3">
      <c r="G1416" s="101"/>
      <c r="H1416" s="101"/>
      <c r="I1416" s="101"/>
      <c r="K1416" s="225"/>
      <c r="L1416" s="225"/>
      <c r="M1416" s="114"/>
      <c r="N1416" s="114"/>
    </row>
    <row r="1417" spans="7:14" hidden="1" x14ac:dyDescent="0.3">
      <c r="G1417" s="101"/>
      <c r="H1417" s="101"/>
      <c r="I1417" s="101"/>
      <c r="K1417" s="225"/>
      <c r="L1417" s="225"/>
      <c r="M1417" s="114"/>
      <c r="N1417" s="114"/>
    </row>
    <row r="1418" spans="7:14" hidden="1" x14ac:dyDescent="0.3">
      <c r="G1418" s="101"/>
      <c r="H1418" s="101"/>
      <c r="I1418" s="101"/>
      <c r="K1418" s="225"/>
      <c r="L1418" s="225"/>
      <c r="M1418" s="114"/>
      <c r="N1418" s="114"/>
    </row>
    <row r="1419" spans="7:14" hidden="1" x14ac:dyDescent="0.3">
      <c r="G1419" s="101"/>
      <c r="H1419" s="101"/>
      <c r="I1419" s="101"/>
      <c r="K1419" s="225"/>
      <c r="L1419" s="225"/>
      <c r="M1419" s="114"/>
      <c r="N1419" s="114"/>
    </row>
    <row r="1420" spans="7:14" hidden="1" x14ac:dyDescent="0.3">
      <c r="G1420" s="101"/>
      <c r="H1420" s="101"/>
      <c r="I1420" s="101"/>
      <c r="K1420" s="225"/>
      <c r="L1420" s="225"/>
      <c r="M1420" s="114"/>
      <c r="N1420" s="114"/>
    </row>
    <row r="1421" spans="7:14" hidden="1" x14ac:dyDescent="0.3">
      <c r="G1421" s="101"/>
      <c r="H1421" s="101"/>
      <c r="I1421" s="101"/>
      <c r="K1421" s="225"/>
      <c r="L1421" s="225"/>
      <c r="M1421" s="114"/>
      <c r="N1421" s="114"/>
    </row>
    <row r="1422" spans="7:14" hidden="1" x14ac:dyDescent="0.3">
      <c r="G1422" s="101"/>
      <c r="H1422" s="101"/>
      <c r="I1422" s="101"/>
      <c r="K1422" s="225"/>
      <c r="L1422" s="225"/>
      <c r="M1422" s="114"/>
      <c r="N1422" s="114"/>
    </row>
    <row r="1423" spans="7:14" hidden="1" x14ac:dyDescent="0.3">
      <c r="G1423" s="101"/>
      <c r="H1423" s="101"/>
      <c r="I1423" s="101"/>
      <c r="K1423" s="225"/>
      <c r="L1423" s="225"/>
      <c r="M1423" s="114"/>
      <c r="N1423" s="114"/>
    </row>
    <row r="1424" spans="7:14" hidden="1" x14ac:dyDescent="0.3">
      <c r="G1424" s="101"/>
      <c r="H1424" s="101"/>
      <c r="I1424" s="101"/>
      <c r="K1424" s="225"/>
      <c r="L1424" s="225"/>
      <c r="M1424" s="114"/>
      <c r="N1424" s="114"/>
    </row>
    <row r="1425" spans="7:14" hidden="1" x14ac:dyDescent="0.3">
      <c r="G1425" s="101"/>
      <c r="H1425" s="101"/>
      <c r="I1425" s="101"/>
      <c r="K1425" s="225"/>
      <c r="L1425" s="225"/>
      <c r="M1425" s="114"/>
      <c r="N1425" s="114"/>
    </row>
    <row r="1426" spans="7:14" hidden="1" x14ac:dyDescent="0.3">
      <c r="G1426" s="101"/>
      <c r="H1426" s="101"/>
      <c r="I1426" s="101"/>
      <c r="K1426" s="225"/>
      <c r="L1426" s="225"/>
      <c r="M1426" s="114"/>
      <c r="N1426" s="114"/>
    </row>
    <row r="1427" spans="7:14" hidden="1" x14ac:dyDescent="0.3">
      <c r="G1427" s="101"/>
      <c r="H1427" s="101"/>
      <c r="I1427" s="101"/>
      <c r="K1427" s="225"/>
      <c r="L1427" s="225"/>
      <c r="M1427" s="114"/>
      <c r="N1427" s="114"/>
    </row>
    <row r="1428" spans="7:14" hidden="1" x14ac:dyDescent="0.3">
      <c r="G1428" s="101"/>
      <c r="H1428" s="101"/>
      <c r="I1428" s="101"/>
      <c r="K1428" s="225"/>
      <c r="L1428" s="225"/>
      <c r="M1428" s="114"/>
      <c r="N1428" s="114"/>
    </row>
    <row r="1429" spans="7:14" hidden="1" x14ac:dyDescent="0.3">
      <c r="G1429" s="101"/>
      <c r="H1429" s="101"/>
      <c r="I1429" s="101"/>
      <c r="K1429" s="225"/>
      <c r="L1429" s="225"/>
      <c r="M1429" s="114"/>
      <c r="N1429" s="114"/>
    </row>
    <row r="1430" spans="7:14" hidden="1" x14ac:dyDescent="0.3">
      <c r="G1430" s="101"/>
      <c r="H1430" s="101"/>
      <c r="I1430" s="101"/>
      <c r="K1430" s="225"/>
      <c r="L1430" s="225"/>
      <c r="M1430" s="114"/>
      <c r="N1430" s="114"/>
    </row>
    <row r="1431" spans="7:14" hidden="1" x14ac:dyDescent="0.3">
      <c r="G1431" s="101"/>
      <c r="H1431" s="101"/>
      <c r="I1431" s="101"/>
      <c r="K1431" s="225"/>
      <c r="L1431" s="225"/>
      <c r="M1431" s="114"/>
      <c r="N1431" s="114"/>
    </row>
    <row r="1432" spans="7:14" hidden="1" x14ac:dyDescent="0.3">
      <c r="G1432" s="101"/>
      <c r="H1432" s="101"/>
      <c r="I1432" s="101"/>
      <c r="K1432" s="225"/>
      <c r="L1432" s="225"/>
      <c r="M1432" s="114"/>
      <c r="N1432" s="114"/>
    </row>
    <row r="1433" spans="7:14" hidden="1" x14ac:dyDescent="0.3">
      <c r="G1433" s="101"/>
      <c r="H1433" s="101"/>
      <c r="I1433" s="101"/>
      <c r="K1433" s="225"/>
      <c r="L1433" s="225"/>
      <c r="M1433" s="114"/>
      <c r="N1433" s="114"/>
    </row>
    <row r="1434" spans="7:14" hidden="1" x14ac:dyDescent="0.3">
      <c r="G1434" s="101"/>
      <c r="H1434" s="101"/>
      <c r="I1434" s="101"/>
      <c r="K1434" s="225"/>
      <c r="L1434" s="225"/>
      <c r="M1434" s="114"/>
      <c r="N1434" s="114"/>
    </row>
    <row r="1435" spans="7:14" hidden="1" x14ac:dyDescent="0.3">
      <c r="G1435" s="101"/>
      <c r="H1435" s="101"/>
      <c r="I1435" s="101"/>
      <c r="K1435" s="225"/>
      <c r="L1435" s="225"/>
      <c r="M1435" s="114"/>
      <c r="N1435" s="114"/>
    </row>
    <row r="1436" spans="7:14" hidden="1" x14ac:dyDescent="0.3">
      <c r="G1436" s="101"/>
      <c r="H1436" s="101"/>
      <c r="I1436" s="101"/>
      <c r="K1436" s="225"/>
      <c r="L1436" s="225"/>
      <c r="M1436" s="114"/>
      <c r="N1436" s="114"/>
    </row>
    <row r="1437" spans="7:14" hidden="1" x14ac:dyDescent="0.3">
      <c r="G1437" s="101"/>
      <c r="H1437" s="101"/>
      <c r="I1437" s="101"/>
      <c r="K1437" s="225"/>
      <c r="L1437" s="225"/>
      <c r="M1437" s="114"/>
      <c r="N1437" s="114"/>
    </row>
    <row r="1438" spans="7:14" hidden="1" x14ac:dyDescent="0.3">
      <c r="G1438" s="101"/>
      <c r="H1438" s="101"/>
      <c r="I1438" s="101"/>
      <c r="K1438" s="225"/>
      <c r="L1438" s="225"/>
      <c r="M1438" s="114"/>
      <c r="N1438" s="114"/>
    </row>
    <row r="1439" spans="7:14" hidden="1" x14ac:dyDescent="0.3">
      <c r="G1439" s="101"/>
      <c r="H1439" s="101"/>
      <c r="I1439" s="101"/>
      <c r="K1439" s="225"/>
      <c r="L1439" s="225"/>
      <c r="M1439" s="114"/>
      <c r="N1439" s="114"/>
    </row>
    <row r="1440" spans="7:14" hidden="1" x14ac:dyDescent="0.3">
      <c r="G1440" s="101"/>
      <c r="H1440" s="101"/>
      <c r="I1440" s="101"/>
      <c r="K1440" s="225"/>
      <c r="L1440" s="225"/>
      <c r="M1440" s="114"/>
      <c r="N1440" s="114"/>
    </row>
    <row r="1441" spans="7:14" hidden="1" x14ac:dyDescent="0.3">
      <c r="G1441" s="101"/>
      <c r="H1441" s="101"/>
      <c r="I1441" s="101"/>
      <c r="K1441" s="225"/>
      <c r="L1441" s="225"/>
      <c r="M1441" s="114"/>
      <c r="N1441" s="114"/>
    </row>
    <row r="1442" spans="7:14" hidden="1" x14ac:dyDescent="0.3">
      <c r="G1442" s="101"/>
      <c r="H1442" s="101"/>
      <c r="I1442" s="101"/>
      <c r="K1442" s="225"/>
      <c r="L1442" s="225"/>
      <c r="M1442" s="114"/>
      <c r="N1442" s="114"/>
    </row>
    <row r="1443" spans="7:14" hidden="1" x14ac:dyDescent="0.3">
      <c r="G1443" s="101"/>
      <c r="H1443" s="101"/>
      <c r="I1443" s="101"/>
      <c r="K1443" s="225"/>
      <c r="L1443" s="225"/>
      <c r="M1443" s="114"/>
      <c r="N1443" s="114"/>
    </row>
    <row r="1444" spans="7:14" hidden="1" x14ac:dyDescent="0.3">
      <c r="G1444" s="101"/>
      <c r="H1444" s="101"/>
      <c r="I1444" s="101"/>
      <c r="K1444" s="225"/>
      <c r="L1444" s="225"/>
      <c r="M1444" s="114"/>
      <c r="N1444" s="114"/>
    </row>
    <row r="1445" spans="7:14" hidden="1" x14ac:dyDescent="0.3">
      <c r="G1445" s="101"/>
      <c r="H1445" s="101"/>
      <c r="I1445" s="101"/>
      <c r="K1445" s="225"/>
      <c r="L1445" s="225"/>
      <c r="M1445" s="114"/>
      <c r="N1445" s="114"/>
    </row>
    <row r="1446" spans="7:14" hidden="1" x14ac:dyDescent="0.3">
      <c r="G1446" s="101"/>
      <c r="H1446" s="101"/>
      <c r="I1446" s="101"/>
      <c r="K1446" s="225"/>
      <c r="L1446" s="225"/>
      <c r="M1446" s="114"/>
      <c r="N1446" s="114"/>
    </row>
    <row r="1447" spans="7:14" hidden="1" x14ac:dyDescent="0.3">
      <c r="G1447" s="101"/>
      <c r="H1447" s="101"/>
      <c r="I1447" s="101"/>
      <c r="K1447" s="225"/>
      <c r="L1447" s="225"/>
      <c r="M1447" s="114"/>
      <c r="N1447" s="114"/>
    </row>
    <row r="1448" spans="7:14" hidden="1" x14ac:dyDescent="0.3">
      <c r="G1448" s="101"/>
      <c r="H1448" s="101"/>
      <c r="I1448" s="101"/>
      <c r="K1448" s="225"/>
      <c r="L1448" s="225"/>
      <c r="M1448" s="114"/>
      <c r="N1448" s="114"/>
    </row>
    <row r="1449" spans="7:14" hidden="1" x14ac:dyDescent="0.3">
      <c r="G1449" s="101"/>
      <c r="H1449" s="101"/>
      <c r="I1449" s="101"/>
      <c r="K1449" s="225"/>
      <c r="L1449" s="225"/>
      <c r="M1449" s="114"/>
      <c r="N1449" s="114"/>
    </row>
    <row r="1450" spans="7:14" hidden="1" x14ac:dyDescent="0.3">
      <c r="G1450" s="101"/>
      <c r="H1450" s="101"/>
      <c r="I1450" s="101"/>
      <c r="K1450" s="225"/>
      <c r="L1450" s="225"/>
      <c r="M1450" s="114"/>
      <c r="N1450" s="114"/>
    </row>
    <row r="1451" spans="7:14" hidden="1" x14ac:dyDescent="0.3">
      <c r="G1451" s="101"/>
      <c r="H1451" s="101"/>
      <c r="I1451" s="101"/>
      <c r="K1451" s="225"/>
      <c r="L1451" s="225"/>
      <c r="M1451" s="114"/>
      <c r="N1451" s="114"/>
    </row>
    <row r="1452" spans="7:14" hidden="1" x14ac:dyDescent="0.3">
      <c r="G1452" s="101"/>
      <c r="H1452" s="101"/>
      <c r="I1452" s="101"/>
      <c r="K1452" s="225"/>
      <c r="L1452" s="225"/>
      <c r="M1452" s="114"/>
      <c r="N1452" s="114"/>
    </row>
    <row r="1453" spans="7:14" hidden="1" x14ac:dyDescent="0.3">
      <c r="G1453" s="101"/>
      <c r="H1453" s="101"/>
      <c r="I1453" s="101"/>
      <c r="K1453" s="225"/>
      <c r="L1453" s="225"/>
      <c r="M1453" s="114"/>
      <c r="N1453" s="114"/>
    </row>
    <row r="1454" spans="7:14" hidden="1" x14ac:dyDescent="0.3">
      <c r="G1454" s="101"/>
      <c r="H1454" s="101"/>
      <c r="I1454" s="101"/>
      <c r="K1454" s="225"/>
      <c r="L1454" s="225"/>
      <c r="M1454" s="114"/>
      <c r="N1454" s="114"/>
    </row>
    <row r="1455" spans="7:14" hidden="1" x14ac:dyDescent="0.3">
      <c r="G1455" s="101"/>
      <c r="H1455" s="101"/>
      <c r="I1455" s="101"/>
      <c r="K1455" s="225"/>
      <c r="L1455" s="225"/>
      <c r="M1455" s="114"/>
      <c r="N1455" s="114"/>
    </row>
    <row r="1456" spans="7:14" hidden="1" x14ac:dyDescent="0.3">
      <c r="G1456" s="101"/>
      <c r="H1456" s="101"/>
      <c r="I1456" s="101"/>
      <c r="K1456" s="225"/>
      <c r="L1456" s="225"/>
      <c r="M1456" s="114"/>
      <c r="N1456" s="114"/>
    </row>
    <row r="1457" spans="7:14" hidden="1" x14ac:dyDescent="0.3">
      <c r="G1457" s="101"/>
      <c r="H1457" s="101"/>
      <c r="I1457" s="101"/>
      <c r="K1457" s="225"/>
      <c r="L1457" s="225"/>
      <c r="M1457" s="114"/>
      <c r="N1457" s="114"/>
    </row>
    <row r="1458" spans="7:14" hidden="1" x14ac:dyDescent="0.3">
      <c r="G1458" s="101"/>
      <c r="H1458" s="101"/>
      <c r="I1458" s="101"/>
      <c r="K1458" s="225"/>
      <c r="L1458" s="225"/>
      <c r="M1458" s="114"/>
      <c r="N1458" s="114"/>
    </row>
    <row r="1459" spans="7:14" hidden="1" x14ac:dyDescent="0.3">
      <c r="G1459" s="101"/>
      <c r="H1459" s="101"/>
      <c r="I1459" s="101"/>
      <c r="K1459" s="225"/>
      <c r="L1459" s="225"/>
      <c r="M1459" s="114"/>
      <c r="N1459" s="114"/>
    </row>
    <row r="1460" spans="7:14" hidden="1" x14ac:dyDescent="0.3">
      <c r="G1460" s="101"/>
      <c r="H1460" s="101"/>
      <c r="I1460" s="101"/>
      <c r="K1460" s="225"/>
      <c r="L1460" s="225"/>
      <c r="M1460" s="114"/>
      <c r="N1460" s="114"/>
    </row>
    <row r="1461" spans="7:14" hidden="1" x14ac:dyDescent="0.3">
      <c r="G1461" s="101"/>
      <c r="H1461" s="101"/>
      <c r="I1461" s="101"/>
      <c r="K1461" s="225"/>
      <c r="L1461" s="225"/>
      <c r="M1461" s="114"/>
      <c r="N1461" s="114"/>
    </row>
    <row r="1462" spans="7:14" hidden="1" x14ac:dyDescent="0.3">
      <c r="G1462" s="101"/>
      <c r="H1462" s="101"/>
      <c r="I1462" s="101"/>
      <c r="K1462" s="225"/>
      <c r="L1462" s="225"/>
      <c r="M1462" s="114"/>
      <c r="N1462" s="114"/>
    </row>
    <row r="1463" spans="7:14" hidden="1" x14ac:dyDescent="0.3">
      <c r="G1463" s="101"/>
      <c r="H1463" s="101"/>
      <c r="I1463" s="101"/>
      <c r="K1463" s="225"/>
      <c r="L1463" s="225"/>
      <c r="M1463" s="114"/>
      <c r="N1463" s="114"/>
    </row>
    <row r="1464" spans="7:14" hidden="1" x14ac:dyDescent="0.3">
      <c r="G1464" s="101"/>
      <c r="H1464" s="101"/>
      <c r="I1464" s="101"/>
      <c r="K1464" s="225"/>
      <c r="L1464" s="225"/>
      <c r="M1464" s="114"/>
      <c r="N1464" s="114"/>
    </row>
    <row r="1465" spans="7:14" hidden="1" x14ac:dyDescent="0.3">
      <c r="G1465" s="101"/>
      <c r="H1465" s="101"/>
      <c r="I1465" s="101"/>
      <c r="K1465" s="225"/>
      <c r="L1465" s="225"/>
      <c r="M1465" s="114"/>
      <c r="N1465" s="114"/>
    </row>
    <row r="1466" spans="7:14" hidden="1" x14ac:dyDescent="0.3">
      <c r="G1466" s="101"/>
      <c r="H1466" s="101"/>
      <c r="I1466" s="101"/>
      <c r="K1466" s="225"/>
      <c r="L1466" s="225"/>
      <c r="M1466" s="114"/>
      <c r="N1466" s="114"/>
    </row>
    <row r="1467" spans="7:14" hidden="1" x14ac:dyDescent="0.3">
      <c r="G1467" s="101"/>
      <c r="H1467" s="101"/>
      <c r="I1467" s="101"/>
      <c r="K1467" s="225"/>
      <c r="L1467" s="225"/>
      <c r="M1467" s="114"/>
      <c r="N1467" s="114"/>
    </row>
    <row r="1468" spans="7:14" hidden="1" x14ac:dyDescent="0.3">
      <c r="G1468" s="101"/>
      <c r="H1468" s="101"/>
      <c r="I1468" s="101"/>
      <c r="K1468" s="225"/>
      <c r="L1468" s="225"/>
      <c r="M1468" s="114"/>
      <c r="N1468" s="114"/>
    </row>
    <row r="1469" spans="7:14" hidden="1" x14ac:dyDescent="0.3">
      <c r="G1469" s="101"/>
      <c r="H1469" s="101"/>
      <c r="I1469" s="101"/>
      <c r="K1469" s="225"/>
      <c r="L1469" s="225"/>
      <c r="M1469" s="114"/>
      <c r="N1469" s="114"/>
    </row>
    <row r="1470" spans="7:14" hidden="1" x14ac:dyDescent="0.3">
      <c r="G1470" s="101"/>
      <c r="H1470" s="101"/>
      <c r="I1470" s="101"/>
      <c r="K1470" s="225"/>
      <c r="L1470" s="225"/>
      <c r="M1470" s="114"/>
      <c r="N1470" s="114"/>
    </row>
    <row r="1471" spans="7:14" hidden="1" x14ac:dyDescent="0.3">
      <c r="G1471" s="101"/>
      <c r="H1471" s="101"/>
      <c r="I1471" s="101"/>
      <c r="K1471" s="225"/>
      <c r="L1471" s="225"/>
      <c r="M1471" s="114"/>
      <c r="N1471" s="114"/>
    </row>
    <row r="1472" spans="7:14" hidden="1" x14ac:dyDescent="0.3">
      <c r="G1472" s="101"/>
      <c r="H1472" s="101"/>
      <c r="I1472" s="101"/>
      <c r="K1472" s="225"/>
      <c r="L1472" s="225"/>
      <c r="M1472" s="114"/>
      <c r="N1472" s="114"/>
    </row>
    <row r="1473" spans="7:14" hidden="1" x14ac:dyDescent="0.3">
      <c r="G1473" s="101"/>
      <c r="H1473" s="101"/>
      <c r="I1473" s="101"/>
      <c r="K1473" s="225"/>
      <c r="L1473" s="225"/>
      <c r="M1473" s="114"/>
      <c r="N1473" s="114"/>
    </row>
    <row r="1474" spans="7:14" hidden="1" x14ac:dyDescent="0.3">
      <c r="G1474" s="101"/>
      <c r="H1474" s="101"/>
      <c r="I1474" s="101"/>
      <c r="K1474" s="225"/>
      <c r="L1474" s="225"/>
      <c r="M1474" s="114"/>
      <c r="N1474" s="114"/>
    </row>
    <row r="1475" spans="7:14" hidden="1" x14ac:dyDescent="0.3">
      <c r="G1475" s="101"/>
      <c r="H1475" s="101"/>
      <c r="I1475" s="101"/>
      <c r="K1475" s="225"/>
      <c r="L1475" s="225"/>
      <c r="M1475" s="114"/>
      <c r="N1475" s="114"/>
    </row>
    <row r="1476" spans="7:14" hidden="1" x14ac:dyDescent="0.3">
      <c r="G1476" s="101"/>
      <c r="H1476" s="101"/>
      <c r="I1476" s="101"/>
      <c r="K1476" s="225"/>
      <c r="L1476" s="225"/>
      <c r="M1476" s="114"/>
      <c r="N1476" s="114"/>
    </row>
    <row r="1477" spans="7:14" hidden="1" x14ac:dyDescent="0.3">
      <c r="G1477" s="101"/>
      <c r="H1477" s="101"/>
      <c r="I1477" s="101"/>
      <c r="K1477" s="225"/>
      <c r="L1477" s="225"/>
      <c r="M1477" s="114"/>
      <c r="N1477" s="114"/>
    </row>
    <row r="1478" spans="7:14" hidden="1" x14ac:dyDescent="0.3">
      <c r="G1478" s="101"/>
      <c r="H1478" s="101"/>
      <c r="I1478" s="101"/>
      <c r="K1478" s="225"/>
      <c r="L1478" s="225"/>
      <c r="M1478" s="114"/>
      <c r="N1478" s="114"/>
    </row>
    <row r="1479" spans="7:14" hidden="1" x14ac:dyDescent="0.3">
      <c r="G1479" s="101"/>
      <c r="H1479" s="101"/>
      <c r="I1479" s="101"/>
      <c r="K1479" s="225"/>
      <c r="L1479" s="225"/>
      <c r="M1479" s="114"/>
      <c r="N1479" s="114"/>
    </row>
    <row r="1480" spans="7:14" hidden="1" x14ac:dyDescent="0.3">
      <c r="G1480" s="101"/>
      <c r="H1480" s="101"/>
      <c r="I1480" s="101"/>
      <c r="K1480" s="225"/>
      <c r="L1480" s="225"/>
      <c r="M1480" s="114"/>
      <c r="N1480" s="114"/>
    </row>
    <row r="1481" spans="7:14" hidden="1" x14ac:dyDescent="0.3">
      <c r="G1481" s="101"/>
      <c r="H1481" s="101"/>
      <c r="I1481" s="101"/>
      <c r="K1481" s="225"/>
      <c r="L1481" s="225"/>
      <c r="M1481" s="114"/>
      <c r="N1481" s="114"/>
    </row>
    <row r="1482" spans="7:14" hidden="1" x14ac:dyDescent="0.3">
      <c r="G1482" s="101"/>
      <c r="H1482" s="101"/>
      <c r="I1482" s="101"/>
      <c r="K1482" s="225"/>
      <c r="L1482" s="225"/>
      <c r="M1482" s="114"/>
      <c r="N1482" s="114"/>
    </row>
    <row r="1483" spans="7:14" hidden="1" x14ac:dyDescent="0.3">
      <c r="G1483" s="101"/>
      <c r="H1483" s="101"/>
      <c r="I1483" s="101"/>
      <c r="K1483" s="225"/>
      <c r="L1483" s="225"/>
      <c r="M1483" s="114"/>
      <c r="N1483" s="114"/>
    </row>
    <row r="1484" spans="7:14" hidden="1" x14ac:dyDescent="0.3">
      <c r="G1484" s="101"/>
      <c r="H1484" s="101"/>
      <c r="I1484" s="101"/>
      <c r="K1484" s="225"/>
      <c r="L1484" s="225"/>
      <c r="M1484" s="114"/>
      <c r="N1484" s="114"/>
    </row>
    <row r="1485" spans="7:14" hidden="1" x14ac:dyDescent="0.3">
      <c r="G1485" s="101"/>
      <c r="H1485" s="101"/>
      <c r="I1485" s="101"/>
      <c r="K1485" s="225"/>
      <c r="L1485" s="225"/>
      <c r="M1485" s="114"/>
      <c r="N1485" s="114"/>
    </row>
    <row r="1486" spans="7:14" hidden="1" x14ac:dyDescent="0.3">
      <c r="G1486" s="101"/>
      <c r="H1486" s="101"/>
      <c r="I1486" s="101"/>
      <c r="K1486" s="225"/>
      <c r="L1486" s="225"/>
      <c r="M1486" s="114"/>
      <c r="N1486" s="114"/>
    </row>
    <row r="1487" spans="7:14" hidden="1" x14ac:dyDescent="0.3">
      <c r="G1487" s="101"/>
      <c r="H1487" s="101"/>
      <c r="I1487" s="101"/>
      <c r="K1487" s="225"/>
      <c r="L1487" s="225"/>
      <c r="M1487" s="114"/>
      <c r="N1487" s="114"/>
    </row>
    <row r="1488" spans="7:14" hidden="1" x14ac:dyDescent="0.3">
      <c r="G1488" s="101"/>
      <c r="H1488" s="101"/>
      <c r="I1488" s="101"/>
      <c r="K1488" s="225"/>
      <c r="L1488" s="225"/>
      <c r="M1488" s="114"/>
      <c r="N1488" s="114"/>
    </row>
    <row r="1489" spans="7:14" hidden="1" x14ac:dyDescent="0.3">
      <c r="G1489" s="101"/>
      <c r="H1489" s="101"/>
      <c r="I1489" s="101"/>
      <c r="K1489" s="225"/>
      <c r="L1489" s="225"/>
      <c r="M1489" s="114"/>
      <c r="N1489" s="114"/>
    </row>
    <row r="1490" spans="7:14" hidden="1" x14ac:dyDescent="0.3">
      <c r="G1490" s="101"/>
      <c r="H1490" s="101"/>
      <c r="I1490" s="101"/>
      <c r="K1490" s="225"/>
      <c r="L1490" s="225"/>
      <c r="M1490" s="114"/>
      <c r="N1490" s="114"/>
    </row>
    <row r="1491" spans="7:14" hidden="1" x14ac:dyDescent="0.3">
      <c r="G1491" s="101"/>
      <c r="H1491" s="101"/>
      <c r="I1491" s="101"/>
      <c r="K1491" s="225"/>
      <c r="L1491" s="225"/>
      <c r="M1491" s="114"/>
      <c r="N1491" s="114"/>
    </row>
    <row r="1492" spans="7:14" hidden="1" x14ac:dyDescent="0.3">
      <c r="G1492" s="101"/>
      <c r="H1492" s="101"/>
      <c r="I1492" s="101"/>
      <c r="K1492" s="225"/>
      <c r="L1492" s="225"/>
      <c r="M1492" s="114"/>
      <c r="N1492" s="114"/>
    </row>
    <row r="1493" spans="7:14" hidden="1" x14ac:dyDescent="0.3">
      <c r="G1493" s="101"/>
      <c r="H1493" s="101"/>
      <c r="I1493" s="101"/>
      <c r="K1493" s="225"/>
      <c r="L1493" s="225"/>
      <c r="M1493" s="114"/>
      <c r="N1493" s="114"/>
    </row>
    <row r="1494" spans="7:14" hidden="1" x14ac:dyDescent="0.3">
      <c r="G1494" s="101"/>
      <c r="H1494" s="101"/>
      <c r="I1494" s="101"/>
      <c r="K1494" s="225"/>
      <c r="L1494" s="225"/>
      <c r="M1494" s="114"/>
      <c r="N1494" s="114"/>
    </row>
    <row r="1495" spans="7:14" hidden="1" x14ac:dyDescent="0.3">
      <c r="G1495" s="101"/>
      <c r="H1495" s="101"/>
      <c r="I1495" s="101"/>
      <c r="K1495" s="225"/>
      <c r="L1495" s="225"/>
      <c r="M1495" s="114"/>
      <c r="N1495" s="114"/>
    </row>
    <row r="1496" spans="7:14" hidden="1" x14ac:dyDescent="0.3">
      <c r="G1496" s="101"/>
      <c r="H1496" s="101"/>
      <c r="I1496" s="101"/>
      <c r="K1496" s="225"/>
      <c r="L1496" s="225"/>
      <c r="M1496" s="114"/>
      <c r="N1496" s="114"/>
    </row>
    <row r="1497" spans="7:14" hidden="1" x14ac:dyDescent="0.3">
      <c r="G1497" s="101"/>
      <c r="H1497" s="101"/>
      <c r="I1497" s="101"/>
      <c r="K1497" s="225"/>
      <c r="L1497" s="225"/>
      <c r="M1497" s="114"/>
      <c r="N1497" s="114"/>
    </row>
    <row r="1498" spans="7:14" hidden="1" x14ac:dyDescent="0.3">
      <c r="G1498" s="101"/>
      <c r="H1498" s="101"/>
      <c r="I1498" s="101"/>
      <c r="K1498" s="225"/>
      <c r="L1498" s="225"/>
      <c r="M1498" s="114"/>
      <c r="N1498" s="114"/>
    </row>
    <row r="1499" spans="7:14" hidden="1" x14ac:dyDescent="0.3">
      <c r="G1499" s="101"/>
      <c r="H1499" s="101"/>
      <c r="I1499" s="101"/>
      <c r="K1499" s="225"/>
      <c r="L1499" s="225"/>
      <c r="M1499" s="114"/>
      <c r="N1499" s="114"/>
    </row>
    <row r="1500" spans="7:14" hidden="1" x14ac:dyDescent="0.3">
      <c r="G1500" s="101"/>
      <c r="H1500" s="101"/>
      <c r="I1500" s="101"/>
      <c r="K1500" s="225"/>
      <c r="L1500" s="225"/>
      <c r="M1500" s="114"/>
      <c r="N1500" s="114"/>
    </row>
    <row r="1501" spans="7:14" hidden="1" x14ac:dyDescent="0.3">
      <c r="G1501" s="101"/>
      <c r="H1501" s="101"/>
      <c r="I1501" s="101"/>
      <c r="K1501" s="225"/>
      <c r="L1501" s="225"/>
      <c r="M1501" s="114"/>
      <c r="N1501" s="114"/>
    </row>
    <row r="1502" spans="7:14" hidden="1" x14ac:dyDescent="0.3">
      <c r="G1502" s="101"/>
      <c r="H1502" s="101"/>
      <c r="I1502" s="101"/>
      <c r="K1502" s="225"/>
      <c r="L1502" s="225"/>
      <c r="M1502" s="114"/>
      <c r="N1502" s="114"/>
    </row>
    <row r="1503" spans="7:14" hidden="1" x14ac:dyDescent="0.3">
      <c r="G1503" s="101"/>
      <c r="H1503" s="101"/>
      <c r="I1503" s="101"/>
      <c r="K1503" s="225"/>
      <c r="L1503" s="225"/>
      <c r="M1503" s="114"/>
      <c r="N1503" s="114"/>
    </row>
    <row r="1504" spans="7:14" hidden="1" x14ac:dyDescent="0.3">
      <c r="G1504" s="101"/>
      <c r="H1504" s="101"/>
      <c r="I1504" s="101"/>
      <c r="K1504" s="225"/>
      <c r="L1504" s="225"/>
      <c r="M1504" s="114"/>
      <c r="N1504" s="114"/>
    </row>
    <row r="1505" spans="7:14" hidden="1" x14ac:dyDescent="0.3">
      <c r="G1505" s="101"/>
      <c r="H1505" s="101"/>
      <c r="I1505" s="101"/>
      <c r="K1505" s="225"/>
      <c r="L1505" s="225"/>
      <c r="M1505" s="114"/>
      <c r="N1505" s="114"/>
    </row>
    <row r="1506" spans="7:14" hidden="1" x14ac:dyDescent="0.3">
      <c r="G1506" s="101"/>
      <c r="H1506" s="101"/>
      <c r="I1506" s="101"/>
      <c r="K1506" s="225"/>
      <c r="L1506" s="225"/>
      <c r="M1506" s="114"/>
      <c r="N1506" s="114"/>
    </row>
    <row r="1507" spans="7:14" hidden="1" x14ac:dyDescent="0.3">
      <c r="G1507" s="101"/>
      <c r="H1507" s="101"/>
      <c r="I1507" s="101"/>
      <c r="K1507" s="225"/>
      <c r="L1507" s="225"/>
      <c r="M1507" s="114"/>
      <c r="N1507" s="114"/>
    </row>
    <row r="1508" spans="7:14" hidden="1" x14ac:dyDescent="0.3">
      <c r="G1508" s="101"/>
      <c r="H1508" s="101"/>
      <c r="I1508" s="101"/>
      <c r="K1508" s="225"/>
      <c r="L1508" s="225"/>
      <c r="M1508" s="114"/>
      <c r="N1508" s="114"/>
    </row>
    <row r="1509" spans="7:14" hidden="1" x14ac:dyDescent="0.3">
      <c r="G1509" s="101"/>
      <c r="H1509" s="101"/>
      <c r="I1509" s="101"/>
      <c r="K1509" s="225"/>
      <c r="L1509" s="225"/>
      <c r="M1509" s="114"/>
      <c r="N1509" s="114"/>
    </row>
    <row r="1510" spans="7:14" hidden="1" x14ac:dyDescent="0.3">
      <c r="G1510" s="101"/>
      <c r="H1510" s="101"/>
      <c r="I1510" s="101"/>
      <c r="K1510" s="225"/>
      <c r="L1510" s="225"/>
      <c r="M1510" s="114"/>
      <c r="N1510" s="114"/>
    </row>
    <row r="1511" spans="7:14" hidden="1" x14ac:dyDescent="0.3">
      <c r="G1511" s="101"/>
      <c r="H1511" s="101"/>
      <c r="I1511" s="101"/>
      <c r="K1511" s="225"/>
      <c r="L1511" s="225"/>
      <c r="M1511" s="114"/>
      <c r="N1511" s="114"/>
    </row>
    <row r="1512" spans="7:14" hidden="1" x14ac:dyDescent="0.3">
      <c r="G1512" s="101"/>
      <c r="H1512" s="101"/>
      <c r="I1512" s="101"/>
      <c r="K1512" s="225"/>
      <c r="L1512" s="225"/>
      <c r="M1512" s="114"/>
      <c r="N1512" s="114"/>
    </row>
    <row r="1513" spans="7:14" hidden="1" x14ac:dyDescent="0.3">
      <c r="G1513" s="101"/>
      <c r="H1513" s="101"/>
      <c r="I1513" s="101"/>
      <c r="K1513" s="225"/>
      <c r="L1513" s="225"/>
      <c r="M1513" s="114"/>
      <c r="N1513" s="114"/>
    </row>
    <row r="1514" spans="7:14" hidden="1" x14ac:dyDescent="0.3">
      <c r="G1514" s="101"/>
      <c r="H1514" s="101"/>
      <c r="I1514" s="101"/>
      <c r="K1514" s="225"/>
      <c r="L1514" s="225"/>
      <c r="M1514" s="114"/>
      <c r="N1514" s="114"/>
    </row>
    <row r="1515" spans="7:14" hidden="1" x14ac:dyDescent="0.3">
      <c r="G1515" s="101"/>
      <c r="H1515" s="101"/>
      <c r="I1515" s="101"/>
      <c r="K1515" s="225"/>
      <c r="L1515" s="225"/>
      <c r="M1515" s="114"/>
      <c r="N1515" s="114"/>
    </row>
    <row r="1516" spans="7:14" hidden="1" x14ac:dyDescent="0.3">
      <c r="G1516" s="101"/>
      <c r="H1516" s="101"/>
      <c r="I1516" s="101"/>
      <c r="K1516" s="225"/>
      <c r="L1516" s="225"/>
      <c r="M1516" s="114"/>
      <c r="N1516" s="114"/>
    </row>
    <row r="1517" spans="7:14" hidden="1" x14ac:dyDescent="0.3">
      <c r="G1517" s="101"/>
      <c r="H1517" s="101"/>
      <c r="I1517" s="101"/>
      <c r="K1517" s="225"/>
      <c r="L1517" s="225"/>
      <c r="M1517" s="114"/>
      <c r="N1517" s="114"/>
    </row>
    <row r="1518" spans="7:14" hidden="1" x14ac:dyDescent="0.3">
      <c r="G1518" s="101"/>
      <c r="H1518" s="101"/>
      <c r="I1518" s="101"/>
      <c r="K1518" s="225"/>
      <c r="L1518" s="225"/>
      <c r="M1518" s="114"/>
      <c r="N1518" s="114"/>
    </row>
    <row r="1519" spans="7:14" hidden="1" x14ac:dyDescent="0.3">
      <c r="G1519" s="101"/>
      <c r="H1519" s="101"/>
      <c r="I1519" s="101"/>
      <c r="K1519" s="225"/>
      <c r="L1519" s="225"/>
      <c r="M1519" s="114"/>
      <c r="N1519" s="114"/>
    </row>
    <row r="1520" spans="7:14" hidden="1" x14ac:dyDescent="0.3">
      <c r="G1520" s="101"/>
      <c r="H1520" s="101"/>
      <c r="I1520" s="101"/>
      <c r="K1520" s="225"/>
      <c r="L1520" s="225"/>
      <c r="M1520" s="114"/>
      <c r="N1520" s="114"/>
    </row>
    <row r="1521" spans="7:14" hidden="1" x14ac:dyDescent="0.3">
      <c r="G1521" s="101"/>
      <c r="H1521" s="101"/>
      <c r="I1521" s="101"/>
      <c r="K1521" s="225"/>
      <c r="L1521" s="225"/>
      <c r="M1521" s="114"/>
      <c r="N1521" s="114"/>
    </row>
    <row r="1522" spans="7:14" hidden="1" x14ac:dyDescent="0.3">
      <c r="G1522" s="101"/>
      <c r="H1522" s="101"/>
      <c r="I1522" s="101"/>
      <c r="K1522" s="225"/>
      <c r="L1522" s="225"/>
      <c r="M1522" s="114"/>
      <c r="N1522" s="114"/>
    </row>
    <row r="1523" spans="7:14" hidden="1" x14ac:dyDescent="0.3">
      <c r="G1523" s="101"/>
      <c r="H1523" s="101"/>
      <c r="I1523" s="101"/>
      <c r="K1523" s="225"/>
      <c r="L1523" s="225"/>
      <c r="M1523" s="114"/>
      <c r="N1523" s="114"/>
    </row>
    <row r="1524" spans="7:14" hidden="1" x14ac:dyDescent="0.3">
      <c r="G1524" s="101"/>
      <c r="H1524" s="101"/>
      <c r="I1524" s="101"/>
      <c r="K1524" s="225"/>
      <c r="L1524" s="225"/>
      <c r="M1524" s="114"/>
      <c r="N1524" s="114"/>
    </row>
    <row r="1525" spans="7:14" hidden="1" x14ac:dyDescent="0.3">
      <c r="G1525" s="101"/>
      <c r="H1525" s="101"/>
      <c r="I1525" s="101"/>
      <c r="K1525" s="225"/>
      <c r="L1525" s="225"/>
      <c r="M1525" s="114"/>
      <c r="N1525" s="114"/>
    </row>
    <row r="1526" spans="7:14" hidden="1" x14ac:dyDescent="0.3">
      <c r="G1526" s="101"/>
      <c r="H1526" s="101"/>
      <c r="I1526" s="101"/>
      <c r="K1526" s="225"/>
      <c r="L1526" s="225"/>
      <c r="M1526" s="114"/>
      <c r="N1526" s="114"/>
    </row>
    <row r="1527" spans="7:14" hidden="1" x14ac:dyDescent="0.3">
      <c r="G1527" s="101"/>
      <c r="H1527" s="101"/>
      <c r="I1527" s="101"/>
      <c r="K1527" s="225"/>
      <c r="L1527" s="225"/>
      <c r="M1527" s="114"/>
      <c r="N1527" s="114"/>
    </row>
    <row r="1528" spans="7:14" hidden="1" x14ac:dyDescent="0.3">
      <c r="G1528" s="101"/>
      <c r="H1528" s="101"/>
      <c r="I1528" s="101"/>
      <c r="K1528" s="225"/>
      <c r="L1528" s="225"/>
      <c r="M1528" s="114"/>
      <c r="N1528" s="114"/>
    </row>
    <row r="1529" spans="7:14" hidden="1" x14ac:dyDescent="0.3">
      <c r="G1529" s="101"/>
      <c r="H1529" s="101"/>
      <c r="I1529" s="101"/>
      <c r="K1529" s="225"/>
      <c r="L1529" s="225"/>
      <c r="M1529" s="114"/>
      <c r="N1529" s="114"/>
    </row>
    <row r="1530" spans="7:14" hidden="1" x14ac:dyDescent="0.3">
      <c r="G1530" s="101"/>
      <c r="H1530" s="101"/>
      <c r="I1530" s="101"/>
      <c r="K1530" s="225"/>
      <c r="L1530" s="225"/>
      <c r="M1530" s="114"/>
      <c r="N1530" s="114"/>
    </row>
    <row r="1531" spans="7:14" hidden="1" x14ac:dyDescent="0.3">
      <c r="G1531" s="101"/>
      <c r="H1531" s="101"/>
      <c r="I1531" s="101"/>
      <c r="K1531" s="225"/>
      <c r="L1531" s="225"/>
      <c r="M1531" s="114"/>
      <c r="N1531" s="114"/>
    </row>
    <row r="1532" spans="7:14" hidden="1" x14ac:dyDescent="0.3">
      <c r="G1532" s="101"/>
      <c r="H1532" s="101"/>
      <c r="I1532" s="101"/>
      <c r="K1532" s="225"/>
      <c r="L1532" s="225"/>
      <c r="M1532" s="114"/>
      <c r="N1532" s="114"/>
    </row>
    <row r="1533" spans="7:14" hidden="1" x14ac:dyDescent="0.3">
      <c r="G1533" s="101"/>
      <c r="H1533" s="101"/>
      <c r="I1533" s="101"/>
      <c r="K1533" s="225"/>
      <c r="L1533" s="225"/>
      <c r="M1533" s="114"/>
      <c r="N1533" s="114"/>
    </row>
    <row r="1534" spans="7:14" hidden="1" x14ac:dyDescent="0.3">
      <c r="G1534" s="101"/>
      <c r="H1534" s="101"/>
      <c r="I1534" s="101"/>
      <c r="K1534" s="225"/>
      <c r="L1534" s="225"/>
      <c r="M1534" s="114"/>
      <c r="N1534" s="114"/>
    </row>
    <row r="1535" spans="7:14" hidden="1" x14ac:dyDescent="0.3">
      <c r="G1535" s="101"/>
      <c r="H1535" s="101"/>
      <c r="I1535" s="101"/>
      <c r="K1535" s="225"/>
      <c r="L1535" s="225"/>
      <c r="M1535" s="114"/>
      <c r="N1535" s="114"/>
    </row>
    <row r="1536" spans="7:14" hidden="1" x14ac:dyDescent="0.3">
      <c r="G1536" s="101"/>
      <c r="H1536" s="101"/>
      <c r="I1536" s="101"/>
      <c r="K1536" s="225"/>
      <c r="L1536" s="225"/>
      <c r="M1536" s="114"/>
      <c r="N1536" s="114"/>
    </row>
    <row r="1537" spans="7:14" hidden="1" x14ac:dyDescent="0.3">
      <c r="G1537" s="101"/>
      <c r="H1537" s="101"/>
      <c r="I1537" s="101"/>
      <c r="K1537" s="225"/>
      <c r="L1537" s="225"/>
      <c r="M1537" s="114"/>
      <c r="N1537" s="114"/>
    </row>
    <row r="1538" spans="7:14" hidden="1" x14ac:dyDescent="0.3">
      <c r="G1538" s="101"/>
      <c r="H1538" s="101"/>
      <c r="I1538" s="101"/>
      <c r="K1538" s="225"/>
      <c r="L1538" s="225"/>
      <c r="M1538" s="114"/>
      <c r="N1538" s="114"/>
    </row>
    <row r="1539" spans="7:14" hidden="1" x14ac:dyDescent="0.3">
      <c r="G1539" s="101"/>
      <c r="H1539" s="101"/>
      <c r="I1539" s="101"/>
      <c r="K1539" s="225"/>
      <c r="L1539" s="225"/>
      <c r="M1539" s="114"/>
      <c r="N1539" s="114"/>
    </row>
    <row r="1540" spans="7:14" hidden="1" x14ac:dyDescent="0.3">
      <c r="G1540" s="101"/>
      <c r="H1540" s="101"/>
      <c r="I1540" s="101"/>
      <c r="K1540" s="225"/>
      <c r="L1540" s="225"/>
      <c r="M1540" s="114"/>
      <c r="N1540" s="114"/>
    </row>
    <row r="1541" spans="7:14" hidden="1" x14ac:dyDescent="0.3">
      <c r="G1541" s="101"/>
      <c r="H1541" s="101"/>
      <c r="I1541" s="101"/>
      <c r="K1541" s="225"/>
      <c r="L1541" s="225"/>
      <c r="M1541" s="114"/>
      <c r="N1541" s="114"/>
    </row>
    <row r="1542" spans="7:14" hidden="1" x14ac:dyDescent="0.3">
      <c r="G1542" s="101"/>
      <c r="H1542" s="101"/>
      <c r="I1542" s="101"/>
      <c r="K1542" s="225"/>
      <c r="L1542" s="225"/>
      <c r="M1542" s="114"/>
      <c r="N1542" s="114"/>
    </row>
    <row r="1543" spans="7:14" hidden="1" x14ac:dyDescent="0.3">
      <c r="G1543" s="101"/>
      <c r="H1543" s="101"/>
      <c r="I1543" s="101"/>
      <c r="K1543" s="225"/>
      <c r="L1543" s="225"/>
      <c r="M1543" s="114"/>
      <c r="N1543" s="114"/>
    </row>
    <row r="1544" spans="7:14" hidden="1" x14ac:dyDescent="0.3">
      <c r="G1544" s="101"/>
      <c r="H1544" s="101"/>
      <c r="I1544" s="101"/>
      <c r="K1544" s="225"/>
      <c r="L1544" s="225"/>
      <c r="M1544" s="114"/>
      <c r="N1544" s="114"/>
    </row>
    <row r="1545" spans="7:14" hidden="1" x14ac:dyDescent="0.3">
      <c r="G1545" s="101"/>
      <c r="H1545" s="101"/>
      <c r="I1545" s="101"/>
      <c r="K1545" s="225"/>
      <c r="L1545" s="225"/>
      <c r="M1545" s="114"/>
      <c r="N1545" s="114"/>
    </row>
    <row r="1546" spans="7:14" hidden="1" x14ac:dyDescent="0.3">
      <c r="G1546" s="101"/>
      <c r="H1546" s="101"/>
      <c r="I1546" s="101"/>
      <c r="K1546" s="225"/>
      <c r="L1546" s="225"/>
      <c r="M1546" s="114"/>
      <c r="N1546" s="114"/>
    </row>
    <row r="1547" spans="7:14" hidden="1" x14ac:dyDescent="0.3">
      <c r="G1547" s="101"/>
      <c r="H1547" s="101"/>
      <c r="I1547" s="101"/>
      <c r="K1547" s="225"/>
      <c r="L1547" s="225"/>
      <c r="M1547" s="114"/>
      <c r="N1547" s="114"/>
    </row>
    <row r="1548" spans="7:14" hidden="1" x14ac:dyDescent="0.3">
      <c r="G1548" s="101"/>
      <c r="H1548" s="101"/>
      <c r="I1548" s="101"/>
      <c r="K1548" s="225"/>
      <c r="L1548" s="225"/>
      <c r="M1548" s="114"/>
      <c r="N1548" s="114"/>
    </row>
    <row r="1549" spans="7:14" hidden="1" x14ac:dyDescent="0.3">
      <c r="G1549" s="101"/>
      <c r="H1549" s="101"/>
      <c r="I1549" s="101"/>
      <c r="K1549" s="225"/>
      <c r="L1549" s="225"/>
      <c r="M1549" s="114"/>
      <c r="N1549" s="114"/>
    </row>
    <row r="1550" spans="7:14" hidden="1" x14ac:dyDescent="0.3">
      <c r="G1550" s="101"/>
      <c r="H1550" s="101"/>
      <c r="I1550" s="101"/>
      <c r="K1550" s="225"/>
      <c r="L1550" s="225"/>
      <c r="M1550" s="114"/>
      <c r="N1550" s="114"/>
    </row>
    <row r="1551" spans="7:14" hidden="1" x14ac:dyDescent="0.3">
      <c r="G1551" s="101"/>
      <c r="H1551" s="101"/>
      <c r="I1551" s="101"/>
      <c r="K1551" s="225"/>
      <c r="L1551" s="225"/>
      <c r="M1551" s="114"/>
      <c r="N1551" s="114"/>
    </row>
    <row r="1552" spans="7:14" hidden="1" x14ac:dyDescent="0.3">
      <c r="G1552" s="101"/>
      <c r="H1552" s="101"/>
      <c r="I1552" s="101"/>
      <c r="K1552" s="225"/>
      <c r="L1552" s="225"/>
      <c r="M1552" s="114"/>
      <c r="N1552" s="114"/>
    </row>
    <row r="1553" spans="7:14" hidden="1" x14ac:dyDescent="0.3">
      <c r="G1553" s="101"/>
      <c r="H1553" s="101"/>
      <c r="I1553" s="101"/>
      <c r="K1553" s="225"/>
      <c r="L1553" s="225"/>
      <c r="M1553" s="114"/>
      <c r="N1553" s="114"/>
    </row>
    <row r="1554" spans="7:14" hidden="1" x14ac:dyDescent="0.3">
      <c r="G1554" s="101"/>
      <c r="H1554" s="101"/>
      <c r="I1554" s="101"/>
      <c r="K1554" s="225"/>
      <c r="L1554" s="225"/>
      <c r="M1554" s="114"/>
      <c r="N1554" s="114"/>
    </row>
    <row r="1555" spans="7:14" hidden="1" x14ac:dyDescent="0.3">
      <c r="G1555" s="101"/>
      <c r="H1555" s="101"/>
      <c r="I1555" s="101"/>
      <c r="K1555" s="225"/>
      <c r="L1555" s="225"/>
      <c r="M1555" s="114"/>
      <c r="N1555" s="114"/>
    </row>
    <row r="1556" spans="7:14" hidden="1" x14ac:dyDescent="0.3">
      <c r="G1556" s="101"/>
      <c r="H1556" s="101"/>
      <c r="I1556" s="101"/>
      <c r="K1556" s="225"/>
      <c r="L1556" s="225"/>
      <c r="M1556" s="114"/>
      <c r="N1556" s="114"/>
    </row>
    <row r="1557" spans="7:14" hidden="1" x14ac:dyDescent="0.3">
      <c r="G1557" s="101"/>
      <c r="H1557" s="101"/>
      <c r="I1557" s="101"/>
      <c r="K1557" s="225"/>
      <c r="L1557" s="225"/>
      <c r="M1557" s="114"/>
      <c r="N1557" s="114"/>
    </row>
    <row r="1558" spans="7:14" hidden="1" x14ac:dyDescent="0.3">
      <c r="G1558" s="101"/>
      <c r="H1558" s="101"/>
      <c r="I1558" s="101"/>
      <c r="K1558" s="225"/>
      <c r="L1558" s="225"/>
      <c r="M1558" s="114"/>
      <c r="N1558" s="114"/>
    </row>
    <row r="1559" spans="7:14" hidden="1" x14ac:dyDescent="0.3">
      <c r="G1559" s="101"/>
      <c r="H1559" s="101"/>
      <c r="I1559" s="101"/>
      <c r="K1559" s="225"/>
      <c r="L1559" s="225"/>
      <c r="M1559" s="114"/>
      <c r="N1559" s="114"/>
    </row>
    <row r="1560" spans="7:14" hidden="1" x14ac:dyDescent="0.3">
      <c r="G1560" s="101"/>
      <c r="H1560" s="101"/>
      <c r="I1560" s="101"/>
      <c r="K1560" s="225"/>
      <c r="L1560" s="225"/>
      <c r="M1560" s="114"/>
      <c r="N1560" s="114"/>
    </row>
    <row r="1561" spans="7:14" hidden="1" x14ac:dyDescent="0.3">
      <c r="G1561" s="101"/>
      <c r="H1561" s="101"/>
      <c r="I1561" s="101"/>
      <c r="K1561" s="225"/>
      <c r="L1561" s="225"/>
      <c r="M1561" s="114"/>
      <c r="N1561" s="114"/>
    </row>
    <row r="1562" spans="7:14" hidden="1" x14ac:dyDescent="0.3">
      <c r="G1562" s="101"/>
      <c r="H1562" s="101"/>
      <c r="I1562" s="101"/>
      <c r="K1562" s="225"/>
      <c r="L1562" s="225"/>
      <c r="M1562" s="114"/>
      <c r="N1562" s="114"/>
    </row>
    <row r="1563" spans="7:14" hidden="1" x14ac:dyDescent="0.3">
      <c r="G1563" s="101"/>
      <c r="H1563" s="101"/>
      <c r="I1563" s="101"/>
      <c r="K1563" s="225"/>
      <c r="L1563" s="225"/>
      <c r="M1563" s="114"/>
      <c r="N1563" s="114"/>
    </row>
    <row r="1564" spans="7:14" hidden="1" x14ac:dyDescent="0.3">
      <c r="G1564" s="101"/>
      <c r="H1564" s="101"/>
      <c r="I1564" s="101"/>
      <c r="K1564" s="225"/>
      <c r="L1564" s="225"/>
      <c r="M1564" s="114"/>
      <c r="N1564" s="114"/>
    </row>
    <row r="1565" spans="7:14" hidden="1" x14ac:dyDescent="0.3">
      <c r="G1565" s="101"/>
      <c r="H1565" s="101"/>
      <c r="I1565" s="101"/>
      <c r="K1565" s="225"/>
      <c r="L1565" s="225"/>
      <c r="M1565" s="114"/>
      <c r="N1565" s="114"/>
    </row>
    <row r="1566" spans="7:14" hidden="1" x14ac:dyDescent="0.3">
      <c r="G1566" s="101"/>
      <c r="H1566" s="101"/>
      <c r="I1566" s="101"/>
      <c r="K1566" s="225"/>
      <c r="L1566" s="225"/>
      <c r="M1566" s="114"/>
      <c r="N1566" s="114"/>
    </row>
    <row r="1567" spans="7:14" hidden="1" x14ac:dyDescent="0.3">
      <c r="G1567" s="101"/>
      <c r="H1567" s="101"/>
      <c r="I1567" s="101"/>
      <c r="K1567" s="225"/>
      <c r="L1567" s="225"/>
      <c r="M1567" s="114"/>
      <c r="N1567" s="114"/>
    </row>
    <row r="1568" spans="7:14" hidden="1" x14ac:dyDescent="0.3">
      <c r="G1568" s="101"/>
      <c r="H1568" s="101"/>
      <c r="I1568" s="101"/>
      <c r="K1568" s="225"/>
      <c r="L1568" s="225"/>
      <c r="M1568" s="114"/>
      <c r="N1568" s="114"/>
    </row>
    <row r="1569" spans="7:14" hidden="1" x14ac:dyDescent="0.3">
      <c r="G1569" s="101"/>
      <c r="H1569" s="101"/>
      <c r="I1569" s="101"/>
      <c r="K1569" s="225"/>
      <c r="L1569" s="225"/>
      <c r="M1569" s="114"/>
      <c r="N1569" s="114"/>
    </row>
    <row r="1570" spans="7:14" hidden="1" x14ac:dyDescent="0.3">
      <c r="G1570" s="101"/>
      <c r="H1570" s="101"/>
      <c r="I1570" s="101"/>
      <c r="K1570" s="225"/>
      <c r="L1570" s="225"/>
      <c r="M1570" s="114"/>
      <c r="N1570" s="114"/>
    </row>
    <row r="1571" spans="7:14" hidden="1" x14ac:dyDescent="0.3">
      <c r="G1571" s="101"/>
      <c r="H1571" s="101"/>
      <c r="I1571" s="101"/>
      <c r="K1571" s="225"/>
      <c r="L1571" s="225"/>
      <c r="M1571" s="114"/>
      <c r="N1571" s="114"/>
    </row>
    <row r="1572" spans="7:14" hidden="1" x14ac:dyDescent="0.3">
      <c r="G1572" s="101"/>
      <c r="H1572" s="101"/>
      <c r="I1572" s="101"/>
      <c r="K1572" s="225"/>
      <c r="L1572" s="225"/>
      <c r="M1572" s="114"/>
      <c r="N1572" s="114"/>
    </row>
    <row r="1573" spans="7:14" hidden="1" x14ac:dyDescent="0.3">
      <c r="G1573" s="101"/>
      <c r="H1573" s="101"/>
      <c r="I1573" s="101"/>
      <c r="K1573" s="225"/>
      <c r="L1573" s="225"/>
      <c r="M1573" s="114"/>
      <c r="N1573" s="114"/>
    </row>
    <row r="1574" spans="7:14" hidden="1" x14ac:dyDescent="0.3">
      <c r="G1574" s="101"/>
      <c r="H1574" s="101"/>
      <c r="I1574" s="101"/>
      <c r="K1574" s="225"/>
      <c r="L1574" s="225"/>
      <c r="M1574" s="114"/>
      <c r="N1574" s="114"/>
    </row>
    <row r="1575" spans="7:14" hidden="1" x14ac:dyDescent="0.3">
      <c r="G1575" s="101"/>
      <c r="H1575" s="101"/>
      <c r="I1575" s="101"/>
      <c r="K1575" s="225"/>
      <c r="L1575" s="225"/>
      <c r="M1575" s="114"/>
      <c r="N1575" s="114"/>
    </row>
    <row r="1576" spans="7:14" hidden="1" x14ac:dyDescent="0.3">
      <c r="G1576" s="101"/>
      <c r="H1576" s="101"/>
      <c r="I1576" s="101"/>
      <c r="K1576" s="225"/>
      <c r="L1576" s="225"/>
      <c r="M1576" s="114"/>
      <c r="N1576" s="114"/>
    </row>
    <row r="1577" spans="7:14" hidden="1" x14ac:dyDescent="0.3">
      <c r="G1577" s="101"/>
      <c r="H1577" s="101"/>
      <c r="I1577" s="101"/>
      <c r="K1577" s="225"/>
      <c r="L1577" s="225"/>
      <c r="M1577" s="114"/>
      <c r="N1577" s="114"/>
    </row>
    <row r="1578" spans="7:14" hidden="1" x14ac:dyDescent="0.3">
      <c r="G1578" s="101"/>
      <c r="H1578" s="101"/>
      <c r="I1578" s="101"/>
      <c r="K1578" s="225"/>
      <c r="L1578" s="225"/>
      <c r="M1578" s="114"/>
      <c r="N1578" s="114"/>
    </row>
    <row r="1579" spans="7:14" hidden="1" x14ac:dyDescent="0.3">
      <c r="G1579" s="101"/>
      <c r="H1579" s="101"/>
      <c r="I1579" s="101"/>
      <c r="K1579" s="225"/>
      <c r="L1579" s="225"/>
      <c r="M1579" s="114"/>
      <c r="N1579" s="114"/>
    </row>
    <row r="1580" spans="7:14" hidden="1" x14ac:dyDescent="0.3">
      <c r="G1580" s="101"/>
      <c r="H1580" s="101"/>
      <c r="I1580" s="101"/>
      <c r="K1580" s="225"/>
      <c r="L1580" s="225"/>
      <c r="M1580" s="114"/>
      <c r="N1580" s="114"/>
    </row>
    <row r="1581" spans="7:14" hidden="1" x14ac:dyDescent="0.3">
      <c r="G1581" s="101"/>
      <c r="H1581" s="101"/>
      <c r="I1581" s="101"/>
      <c r="K1581" s="225"/>
      <c r="L1581" s="225"/>
      <c r="M1581" s="114"/>
      <c r="N1581" s="114"/>
    </row>
    <row r="1582" spans="7:14" hidden="1" x14ac:dyDescent="0.3">
      <c r="G1582" s="101"/>
      <c r="H1582" s="101"/>
      <c r="I1582" s="101"/>
      <c r="K1582" s="225"/>
      <c r="L1582" s="225"/>
      <c r="M1582" s="114"/>
      <c r="N1582" s="114"/>
    </row>
    <row r="1583" spans="7:14" hidden="1" x14ac:dyDescent="0.3">
      <c r="G1583" s="101"/>
      <c r="H1583" s="101"/>
      <c r="I1583" s="101"/>
      <c r="K1583" s="225"/>
      <c r="L1583" s="225"/>
      <c r="M1583" s="114"/>
      <c r="N1583" s="114"/>
    </row>
    <row r="1584" spans="7:14" hidden="1" x14ac:dyDescent="0.3">
      <c r="G1584" s="101"/>
      <c r="H1584" s="101"/>
      <c r="I1584" s="101"/>
      <c r="K1584" s="225"/>
      <c r="L1584" s="225"/>
      <c r="M1584" s="114"/>
      <c r="N1584" s="114"/>
    </row>
    <row r="1585" spans="7:14" hidden="1" x14ac:dyDescent="0.3">
      <c r="G1585" s="101"/>
      <c r="H1585" s="101"/>
      <c r="I1585" s="101"/>
      <c r="K1585" s="225"/>
      <c r="L1585" s="225"/>
      <c r="M1585" s="114"/>
      <c r="N1585" s="114"/>
    </row>
    <row r="1586" spans="7:14" hidden="1" x14ac:dyDescent="0.3">
      <c r="G1586" s="101"/>
      <c r="H1586" s="101"/>
      <c r="I1586" s="101"/>
      <c r="K1586" s="225"/>
      <c r="L1586" s="225"/>
      <c r="M1586" s="114"/>
      <c r="N1586" s="114"/>
    </row>
    <row r="1587" spans="7:14" hidden="1" x14ac:dyDescent="0.3">
      <c r="G1587" s="101"/>
      <c r="H1587" s="101"/>
      <c r="I1587" s="101"/>
      <c r="K1587" s="225"/>
      <c r="L1587" s="225"/>
      <c r="M1587" s="114"/>
      <c r="N1587" s="114"/>
    </row>
    <row r="1588" spans="7:14" hidden="1" x14ac:dyDescent="0.3">
      <c r="G1588" s="101"/>
      <c r="H1588" s="101"/>
      <c r="I1588" s="101"/>
      <c r="K1588" s="225"/>
      <c r="L1588" s="225"/>
      <c r="M1588" s="114"/>
      <c r="N1588" s="114"/>
    </row>
    <row r="1589" spans="7:14" hidden="1" x14ac:dyDescent="0.3">
      <c r="G1589" s="101"/>
      <c r="H1589" s="101"/>
      <c r="I1589" s="101"/>
      <c r="K1589" s="225"/>
      <c r="L1589" s="225"/>
      <c r="M1589" s="114"/>
      <c r="N1589" s="114"/>
    </row>
    <row r="1590" spans="7:14" hidden="1" x14ac:dyDescent="0.3">
      <c r="G1590" s="101"/>
      <c r="H1590" s="101"/>
      <c r="I1590" s="101"/>
      <c r="K1590" s="225"/>
      <c r="L1590" s="225"/>
      <c r="M1590" s="114"/>
      <c r="N1590" s="114"/>
    </row>
    <row r="1591" spans="7:14" hidden="1" x14ac:dyDescent="0.3">
      <c r="G1591" s="101"/>
      <c r="H1591" s="101"/>
      <c r="I1591" s="101"/>
      <c r="K1591" s="225"/>
      <c r="L1591" s="225"/>
      <c r="M1591" s="114"/>
      <c r="N1591" s="114"/>
    </row>
    <row r="1592" spans="7:14" hidden="1" x14ac:dyDescent="0.3">
      <c r="G1592" s="101"/>
      <c r="H1592" s="101"/>
      <c r="I1592" s="101"/>
      <c r="K1592" s="225"/>
      <c r="L1592" s="225"/>
      <c r="M1592" s="114"/>
      <c r="N1592" s="114"/>
    </row>
    <row r="1593" spans="7:14" hidden="1" x14ac:dyDescent="0.3">
      <c r="G1593" s="101"/>
      <c r="H1593" s="101"/>
      <c r="I1593" s="101"/>
      <c r="K1593" s="225"/>
      <c r="L1593" s="225"/>
      <c r="M1593" s="114"/>
      <c r="N1593" s="114"/>
    </row>
    <row r="1594" spans="7:14" hidden="1" x14ac:dyDescent="0.3">
      <c r="G1594" s="101"/>
      <c r="H1594" s="101"/>
      <c r="I1594" s="101"/>
      <c r="K1594" s="225"/>
      <c r="L1594" s="225"/>
      <c r="M1594" s="114"/>
      <c r="N1594" s="114"/>
    </row>
    <row r="1595" spans="7:14" hidden="1" x14ac:dyDescent="0.3">
      <c r="G1595" s="101"/>
      <c r="H1595" s="101"/>
      <c r="I1595" s="101"/>
      <c r="K1595" s="225"/>
      <c r="L1595" s="225"/>
      <c r="M1595" s="114"/>
      <c r="N1595" s="114"/>
    </row>
    <row r="1596" spans="7:14" hidden="1" x14ac:dyDescent="0.3">
      <c r="G1596" s="101"/>
      <c r="H1596" s="101"/>
      <c r="I1596" s="101"/>
      <c r="K1596" s="225"/>
      <c r="L1596" s="225"/>
      <c r="M1596" s="114"/>
      <c r="N1596" s="114"/>
    </row>
    <row r="1597" spans="7:14" hidden="1" x14ac:dyDescent="0.3">
      <c r="G1597" s="101"/>
      <c r="H1597" s="101"/>
      <c r="I1597" s="101"/>
      <c r="K1597" s="225"/>
      <c r="L1597" s="225"/>
      <c r="M1597" s="114"/>
      <c r="N1597" s="114"/>
    </row>
    <row r="1598" spans="7:14" hidden="1" x14ac:dyDescent="0.3">
      <c r="G1598" s="101"/>
      <c r="H1598" s="101"/>
      <c r="I1598" s="101"/>
      <c r="K1598" s="225"/>
      <c r="L1598" s="225"/>
      <c r="M1598" s="114"/>
      <c r="N1598" s="114"/>
    </row>
    <row r="1599" spans="7:14" hidden="1" x14ac:dyDescent="0.3">
      <c r="G1599" s="101"/>
      <c r="H1599" s="101"/>
      <c r="I1599" s="101"/>
      <c r="K1599" s="225"/>
      <c r="L1599" s="225"/>
      <c r="M1599" s="114"/>
      <c r="N1599" s="114"/>
    </row>
    <row r="1600" spans="7:14" hidden="1" x14ac:dyDescent="0.3">
      <c r="G1600" s="101"/>
      <c r="H1600" s="101"/>
      <c r="I1600" s="101"/>
      <c r="K1600" s="225"/>
      <c r="L1600" s="225"/>
      <c r="M1600" s="114"/>
      <c r="N1600" s="114"/>
    </row>
    <row r="1601" spans="7:14" hidden="1" x14ac:dyDescent="0.3">
      <c r="G1601" s="101"/>
      <c r="H1601" s="101"/>
      <c r="I1601" s="101"/>
      <c r="K1601" s="225"/>
      <c r="L1601" s="225"/>
      <c r="M1601" s="114"/>
      <c r="N1601" s="114"/>
    </row>
    <row r="1602" spans="7:14" hidden="1" x14ac:dyDescent="0.3">
      <c r="G1602" s="101"/>
      <c r="H1602" s="101"/>
      <c r="I1602" s="101"/>
      <c r="K1602" s="225"/>
      <c r="L1602" s="225"/>
      <c r="M1602" s="114"/>
      <c r="N1602" s="114"/>
    </row>
    <row r="1603" spans="7:14" hidden="1" x14ac:dyDescent="0.3">
      <c r="G1603" s="101"/>
      <c r="H1603" s="101"/>
      <c r="I1603" s="101"/>
      <c r="K1603" s="225"/>
      <c r="L1603" s="225"/>
      <c r="M1603" s="114"/>
      <c r="N1603" s="114"/>
    </row>
    <row r="1604" spans="7:14" hidden="1" x14ac:dyDescent="0.3">
      <c r="G1604" s="101"/>
      <c r="H1604" s="101"/>
      <c r="I1604" s="101"/>
      <c r="K1604" s="225"/>
      <c r="L1604" s="225"/>
      <c r="M1604" s="114"/>
      <c r="N1604" s="114"/>
    </row>
    <row r="1605" spans="7:14" hidden="1" x14ac:dyDescent="0.3">
      <c r="G1605" s="101"/>
      <c r="H1605" s="101"/>
      <c r="I1605" s="101"/>
      <c r="K1605" s="225"/>
      <c r="L1605" s="225"/>
      <c r="M1605" s="114"/>
      <c r="N1605" s="114"/>
    </row>
    <row r="1606" spans="7:14" hidden="1" x14ac:dyDescent="0.3">
      <c r="G1606" s="101"/>
      <c r="H1606" s="101"/>
      <c r="I1606" s="101"/>
      <c r="K1606" s="225"/>
      <c r="L1606" s="225"/>
      <c r="M1606" s="114"/>
      <c r="N1606" s="114"/>
    </row>
    <row r="1607" spans="7:14" hidden="1" x14ac:dyDescent="0.3">
      <c r="G1607" s="101"/>
      <c r="H1607" s="101"/>
      <c r="I1607" s="101"/>
      <c r="K1607" s="225"/>
      <c r="L1607" s="225"/>
      <c r="M1607" s="114"/>
      <c r="N1607" s="114"/>
    </row>
    <row r="1608" spans="7:14" hidden="1" x14ac:dyDescent="0.3">
      <c r="G1608" s="101"/>
      <c r="H1608" s="101"/>
      <c r="I1608" s="101"/>
      <c r="K1608" s="225"/>
      <c r="L1608" s="225"/>
      <c r="M1608" s="114"/>
      <c r="N1608" s="114"/>
    </row>
    <row r="1609" spans="7:14" hidden="1" x14ac:dyDescent="0.3">
      <c r="G1609" s="101"/>
      <c r="H1609" s="101"/>
      <c r="I1609" s="101"/>
      <c r="K1609" s="225"/>
      <c r="L1609" s="225"/>
      <c r="M1609" s="114"/>
      <c r="N1609" s="114"/>
    </row>
    <row r="1610" spans="7:14" hidden="1" x14ac:dyDescent="0.3">
      <c r="G1610" s="101"/>
      <c r="H1610" s="101"/>
      <c r="I1610" s="101"/>
      <c r="K1610" s="225"/>
      <c r="L1610" s="225"/>
      <c r="M1610" s="114"/>
      <c r="N1610" s="114"/>
    </row>
    <row r="1611" spans="7:14" hidden="1" x14ac:dyDescent="0.3">
      <c r="G1611" s="101"/>
      <c r="H1611" s="101"/>
      <c r="I1611" s="101"/>
      <c r="K1611" s="225"/>
      <c r="L1611" s="225"/>
      <c r="M1611" s="114"/>
      <c r="N1611" s="114"/>
    </row>
    <row r="1612" spans="7:14" hidden="1" x14ac:dyDescent="0.3">
      <c r="G1612" s="101"/>
      <c r="H1612" s="101"/>
      <c r="I1612" s="101"/>
      <c r="K1612" s="225"/>
      <c r="L1612" s="225"/>
      <c r="M1612" s="114"/>
      <c r="N1612" s="114"/>
    </row>
    <row r="1613" spans="7:14" hidden="1" x14ac:dyDescent="0.3">
      <c r="G1613" s="101"/>
      <c r="H1613" s="101"/>
      <c r="I1613" s="101"/>
      <c r="K1613" s="225"/>
      <c r="L1613" s="225"/>
      <c r="M1613" s="114"/>
      <c r="N1613" s="114"/>
    </row>
    <row r="1614" spans="7:14" hidden="1" x14ac:dyDescent="0.3">
      <c r="G1614" s="101"/>
      <c r="H1614" s="101"/>
      <c r="I1614" s="101"/>
      <c r="K1614" s="225"/>
      <c r="L1614" s="225"/>
      <c r="M1614" s="114"/>
      <c r="N1614" s="114"/>
    </row>
    <row r="1615" spans="7:14" hidden="1" x14ac:dyDescent="0.3">
      <c r="G1615" s="101"/>
      <c r="H1615" s="101"/>
      <c r="I1615" s="101"/>
      <c r="K1615" s="225"/>
      <c r="L1615" s="225"/>
      <c r="M1615" s="114"/>
      <c r="N1615" s="114"/>
    </row>
    <row r="1616" spans="7:14" hidden="1" x14ac:dyDescent="0.3">
      <c r="G1616" s="101"/>
      <c r="H1616" s="101"/>
      <c r="I1616" s="101"/>
      <c r="K1616" s="225"/>
      <c r="L1616" s="225"/>
      <c r="M1616" s="114"/>
      <c r="N1616" s="114"/>
    </row>
    <row r="1617" spans="7:14" hidden="1" x14ac:dyDescent="0.3">
      <c r="G1617" s="101"/>
      <c r="H1617" s="101"/>
      <c r="I1617" s="101"/>
      <c r="K1617" s="225"/>
      <c r="L1617" s="225"/>
      <c r="M1617" s="114"/>
      <c r="N1617" s="114"/>
    </row>
    <row r="1618" spans="7:14" hidden="1" x14ac:dyDescent="0.3">
      <c r="G1618" s="101"/>
      <c r="H1618" s="101"/>
      <c r="I1618" s="101"/>
      <c r="K1618" s="225"/>
      <c r="L1618" s="225"/>
      <c r="M1618" s="114"/>
      <c r="N1618" s="114"/>
    </row>
    <row r="1619" spans="7:14" hidden="1" x14ac:dyDescent="0.3">
      <c r="G1619" s="101"/>
      <c r="H1619" s="101"/>
      <c r="I1619" s="101"/>
      <c r="K1619" s="225"/>
      <c r="L1619" s="225"/>
      <c r="M1619" s="114"/>
      <c r="N1619" s="114"/>
    </row>
    <row r="1620" spans="7:14" hidden="1" x14ac:dyDescent="0.3">
      <c r="G1620" s="101"/>
      <c r="H1620" s="101"/>
      <c r="I1620" s="101"/>
      <c r="K1620" s="225"/>
      <c r="L1620" s="225"/>
      <c r="M1620" s="114"/>
      <c r="N1620" s="114"/>
    </row>
    <row r="1621" spans="7:14" hidden="1" x14ac:dyDescent="0.3">
      <c r="G1621" s="101"/>
      <c r="H1621" s="101"/>
      <c r="I1621" s="101"/>
      <c r="K1621" s="225"/>
      <c r="L1621" s="225"/>
      <c r="M1621" s="114"/>
      <c r="N1621" s="114"/>
    </row>
    <row r="1622" spans="7:14" hidden="1" x14ac:dyDescent="0.3">
      <c r="G1622" s="101"/>
      <c r="H1622" s="101"/>
      <c r="I1622" s="101"/>
      <c r="K1622" s="225"/>
      <c r="L1622" s="225"/>
      <c r="M1622" s="114"/>
      <c r="N1622" s="114"/>
    </row>
    <row r="1623" spans="7:14" hidden="1" x14ac:dyDescent="0.3">
      <c r="G1623" s="101"/>
      <c r="H1623" s="101"/>
      <c r="I1623" s="101"/>
      <c r="K1623" s="225"/>
      <c r="L1623" s="225"/>
      <c r="M1623" s="114"/>
      <c r="N1623" s="114"/>
    </row>
    <row r="1624" spans="7:14" hidden="1" x14ac:dyDescent="0.3">
      <c r="G1624" s="101"/>
      <c r="H1624" s="101"/>
      <c r="I1624" s="101"/>
      <c r="K1624" s="225"/>
      <c r="L1624" s="225"/>
      <c r="M1624" s="114"/>
      <c r="N1624" s="114"/>
    </row>
    <row r="1625" spans="7:14" hidden="1" x14ac:dyDescent="0.3">
      <c r="G1625" s="101"/>
      <c r="H1625" s="101"/>
      <c r="I1625" s="101"/>
      <c r="K1625" s="225"/>
      <c r="L1625" s="225"/>
      <c r="M1625" s="114"/>
      <c r="N1625" s="114"/>
    </row>
    <row r="1626" spans="7:14" hidden="1" x14ac:dyDescent="0.3">
      <c r="G1626" s="101"/>
      <c r="H1626" s="101"/>
      <c r="I1626" s="101"/>
      <c r="K1626" s="225"/>
      <c r="L1626" s="225"/>
      <c r="M1626" s="114"/>
      <c r="N1626" s="114"/>
    </row>
    <row r="1627" spans="7:14" hidden="1" x14ac:dyDescent="0.3">
      <c r="G1627" s="101"/>
      <c r="H1627" s="101"/>
      <c r="I1627" s="101"/>
      <c r="K1627" s="225"/>
      <c r="L1627" s="225"/>
      <c r="M1627" s="114"/>
      <c r="N1627" s="114"/>
    </row>
    <row r="1628" spans="7:14" hidden="1" x14ac:dyDescent="0.3">
      <c r="G1628" s="101"/>
      <c r="H1628" s="101"/>
      <c r="I1628" s="101"/>
      <c r="K1628" s="225"/>
      <c r="L1628" s="225"/>
      <c r="M1628" s="114"/>
      <c r="N1628" s="114"/>
    </row>
    <row r="1629" spans="7:14" hidden="1" x14ac:dyDescent="0.3">
      <c r="G1629" s="101"/>
      <c r="H1629" s="101"/>
      <c r="I1629" s="101"/>
      <c r="K1629" s="225"/>
      <c r="L1629" s="225"/>
      <c r="M1629" s="114"/>
      <c r="N1629" s="114"/>
    </row>
    <row r="1630" spans="7:14" hidden="1" x14ac:dyDescent="0.3">
      <c r="G1630" s="101"/>
      <c r="H1630" s="101"/>
      <c r="I1630" s="101"/>
      <c r="K1630" s="225"/>
      <c r="L1630" s="225"/>
      <c r="M1630" s="114"/>
      <c r="N1630" s="114"/>
    </row>
    <row r="1631" spans="7:14" hidden="1" x14ac:dyDescent="0.3">
      <c r="G1631" s="101"/>
      <c r="H1631" s="101"/>
      <c r="I1631" s="101"/>
      <c r="K1631" s="225"/>
      <c r="L1631" s="225"/>
      <c r="M1631" s="114"/>
      <c r="N1631" s="114"/>
    </row>
    <row r="1632" spans="7:14" hidden="1" x14ac:dyDescent="0.3">
      <c r="G1632" s="101"/>
      <c r="H1632" s="101"/>
      <c r="I1632" s="101"/>
      <c r="K1632" s="225"/>
      <c r="L1632" s="225"/>
      <c r="M1632" s="114"/>
      <c r="N1632" s="114"/>
    </row>
    <row r="1633" spans="7:14" hidden="1" x14ac:dyDescent="0.3">
      <c r="G1633" s="101"/>
      <c r="H1633" s="101"/>
      <c r="I1633" s="101"/>
      <c r="K1633" s="225"/>
      <c r="L1633" s="225"/>
      <c r="M1633" s="114"/>
      <c r="N1633" s="114"/>
    </row>
    <row r="1634" spans="7:14" hidden="1" x14ac:dyDescent="0.3">
      <c r="G1634" s="101"/>
      <c r="H1634" s="101"/>
      <c r="I1634" s="101"/>
      <c r="K1634" s="225"/>
      <c r="L1634" s="225"/>
      <c r="M1634" s="114"/>
      <c r="N1634" s="114"/>
    </row>
    <row r="1635" spans="7:14" hidden="1" x14ac:dyDescent="0.3">
      <c r="G1635" s="101"/>
      <c r="H1635" s="101"/>
      <c r="I1635" s="101"/>
      <c r="K1635" s="225"/>
      <c r="L1635" s="225"/>
      <c r="M1635" s="114"/>
      <c r="N1635" s="114"/>
    </row>
    <row r="1636" spans="7:14" hidden="1" x14ac:dyDescent="0.3">
      <c r="G1636" s="101"/>
      <c r="H1636" s="101"/>
      <c r="I1636" s="101"/>
      <c r="K1636" s="225"/>
      <c r="L1636" s="225"/>
      <c r="M1636" s="114"/>
      <c r="N1636" s="114"/>
    </row>
    <row r="1637" spans="7:14" hidden="1" x14ac:dyDescent="0.3">
      <c r="G1637" s="101"/>
      <c r="H1637" s="101"/>
      <c r="I1637" s="101"/>
      <c r="K1637" s="225"/>
      <c r="L1637" s="225"/>
      <c r="M1637" s="114"/>
      <c r="N1637" s="114"/>
    </row>
    <row r="1638" spans="7:14" hidden="1" x14ac:dyDescent="0.3">
      <c r="G1638" s="101"/>
      <c r="H1638" s="101"/>
      <c r="I1638" s="101"/>
      <c r="K1638" s="225"/>
      <c r="L1638" s="225"/>
      <c r="M1638" s="114"/>
      <c r="N1638" s="114"/>
    </row>
    <row r="1639" spans="7:14" hidden="1" x14ac:dyDescent="0.3">
      <c r="G1639" s="101"/>
      <c r="H1639" s="101"/>
      <c r="I1639" s="101"/>
      <c r="K1639" s="225"/>
      <c r="L1639" s="225"/>
      <c r="M1639" s="114"/>
      <c r="N1639" s="114"/>
    </row>
    <row r="1640" spans="7:14" hidden="1" x14ac:dyDescent="0.3">
      <c r="G1640" s="101"/>
      <c r="H1640" s="101"/>
      <c r="I1640" s="101"/>
      <c r="K1640" s="225"/>
      <c r="L1640" s="225"/>
      <c r="M1640" s="114"/>
      <c r="N1640" s="114"/>
    </row>
    <row r="1641" spans="7:14" hidden="1" x14ac:dyDescent="0.3">
      <c r="G1641" s="101"/>
      <c r="H1641" s="101"/>
      <c r="I1641" s="101"/>
      <c r="K1641" s="225"/>
      <c r="L1641" s="225"/>
      <c r="M1641" s="114"/>
      <c r="N1641" s="114"/>
    </row>
    <row r="1642" spans="7:14" hidden="1" x14ac:dyDescent="0.3">
      <c r="G1642" s="101"/>
      <c r="H1642" s="101"/>
      <c r="I1642" s="101"/>
      <c r="K1642" s="225"/>
      <c r="L1642" s="225"/>
      <c r="M1642" s="114"/>
      <c r="N1642" s="114"/>
    </row>
    <row r="1643" spans="7:14" hidden="1" x14ac:dyDescent="0.3">
      <c r="G1643" s="101"/>
      <c r="H1643" s="101"/>
      <c r="I1643" s="101"/>
      <c r="K1643" s="225"/>
      <c r="L1643" s="225"/>
      <c r="M1643" s="114"/>
      <c r="N1643" s="114"/>
    </row>
    <row r="1644" spans="7:14" hidden="1" x14ac:dyDescent="0.3">
      <c r="G1644" s="101"/>
      <c r="H1644" s="101"/>
      <c r="I1644" s="101"/>
      <c r="K1644" s="225"/>
      <c r="L1644" s="225"/>
      <c r="M1644" s="114"/>
      <c r="N1644" s="114"/>
    </row>
    <row r="1645" spans="7:14" hidden="1" x14ac:dyDescent="0.3">
      <c r="G1645" s="101"/>
      <c r="H1645" s="101"/>
      <c r="I1645" s="101"/>
      <c r="K1645" s="225"/>
      <c r="L1645" s="225"/>
      <c r="M1645" s="114"/>
      <c r="N1645" s="114"/>
    </row>
    <row r="1646" spans="7:14" hidden="1" x14ac:dyDescent="0.3">
      <c r="G1646" s="101"/>
      <c r="H1646" s="101"/>
      <c r="I1646" s="101"/>
      <c r="K1646" s="225"/>
      <c r="L1646" s="225"/>
      <c r="M1646" s="114"/>
      <c r="N1646" s="114"/>
    </row>
    <row r="1647" spans="7:14" hidden="1" x14ac:dyDescent="0.3">
      <c r="G1647" s="101"/>
      <c r="H1647" s="101"/>
      <c r="I1647" s="101"/>
      <c r="K1647" s="225"/>
      <c r="L1647" s="225"/>
      <c r="M1647" s="114"/>
      <c r="N1647" s="114"/>
    </row>
    <row r="1648" spans="7:14" hidden="1" x14ac:dyDescent="0.3">
      <c r="G1648" s="101"/>
      <c r="H1648" s="101"/>
      <c r="I1648" s="101"/>
      <c r="K1648" s="225"/>
      <c r="L1648" s="225"/>
      <c r="M1648" s="114"/>
      <c r="N1648" s="114"/>
    </row>
    <row r="1649" spans="7:14" hidden="1" x14ac:dyDescent="0.3">
      <c r="G1649" s="101"/>
      <c r="H1649" s="101"/>
      <c r="I1649" s="101"/>
      <c r="K1649" s="225"/>
      <c r="L1649" s="225"/>
      <c r="M1649" s="114"/>
      <c r="N1649" s="114"/>
    </row>
    <row r="1650" spans="7:14" hidden="1" x14ac:dyDescent="0.3">
      <c r="G1650" s="101"/>
      <c r="H1650" s="101"/>
      <c r="I1650" s="101"/>
      <c r="K1650" s="225"/>
      <c r="L1650" s="225"/>
      <c r="M1650" s="114"/>
      <c r="N1650" s="114"/>
    </row>
    <row r="1651" spans="7:14" hidden="1" x14ac:dyDescent="0.3">
      <c r="G1651" s="101"/>
      <c r="H1651" s="101"/>
      <c r="I1651" s="101"/>
      <c r="K1651" s="225"/>
      <c r="L1651" s="225"/>
      <c r="M1651" s="114"/>
      <c r="N1651" s="114"/>
    </row>
    <row r="1652" spans="7:14" hidden="1" x14ac:dyDescent="0.3">
      <c r="G1652" s="101"/>
      <c r="H1652" s="101"/>
      <c r="I1652" s="101"/>
      <c r="K1652" s="225"/>
      <c r="L1652" s="225"/>
      <c r="M1652" s="114"/>
      <c r="N1652" s="114"/>
    </row>
    <row r="1653" spans="7:14" hidden="1" x14ac:dyDescent="0.3">
      <c r="G1653" s="101"/>
      <c r="H1653" s="101"/>
      <c r="I1653" s="101"/>
      <c r="K1653" s="225"/>
      <c r="L1653" s="225"/>
      <c r="M1653" s="114"/>
      <c r="N1653" s="114"/>
    </row>
    <row r="1654" spans="7:14" hidden="1" x14ac:dyDescent="0.3">
      <c r="G1654" s="101"/>
      <c r="H1654" s="101"/>
      <c r="I1654" s="101"/>
      <c r="K1654" s="225"/>
      <c r="L1654" s="225"/>
      <c r="M1654" s="114"/>
      <c r="N1654" s="114"/>
    </row>
    <row r="1655" spans="7:14" hidden="1" x14ac:dyDescent="0.3">
      <c r="G1655" s="101"/>
      <c r="H1655" s="101"/>
      <c r="I1655" s="101"/>
      <c r="K1655" s="225"/>
      <c r="L1655" s="225"/>
      <c r="M1655" s="114"/>
      <c r="N1655" s="114"/>
    </row>
    <row r="1656" spans="7:14" hidden="1" x14ac:dyDescent="0.3">
      <c r="G1656" s="101"/>
      <c r="H1656" s="101"/>
      <c r="I1656" s="101"/>
      <c r="K1656" s="225"/>
      <c r="L1656" s="225"/>
      <c r="M1656" s="114"/>
      <c r="N1656" s="114"/>
    </row>
    <row r="1657" spans="7:14" hidden="1" x14ac:dyDescent="0.3">
      <c r="G1657" s="101"/>
      <c r="H1657" s="101"/>
      <c r="I1657" s="101"/>
      <c r="K1657" s="225"/>
      <c r="L1657" s="225"/>
      <c r="M1657" s="114"/>
      <c r="N1657" s="114"/>
    </row>
    <row r="1658" spans="7:14" hidden="1" x14ac:dyDescent="0.3">
      <c r="G1658" s="101"/>
      <c r="H1658" s="101"/>
      <c r="I1658" s="101"/>
      <c r="K1658" s="225"/>
      <c r="L1658" s="225"/>
      <c r="M1658" s="114"/>
      <c r="N1658" s="114"/>
    </row>
    <row r="1659" spans="7:14" hidden="1" x14ac:dyDescent="0.3">
      <c r="G1659" s="101"/>
      <c r="H1659" s="101"/>
      <c r="I1659" s="101"/>
      <c r="K1659" s="225"/>
      <c r="L1659" s="225"/>
      <c r="M1659" s="114"/>
      <c r="N1659" s="114"/>
    </row>
    <row r="1660" spans="7:14" hidden="1" x14ac:dyDescent="0.3">
      <c r="G1660" s="101"/>
      <c r="H1660" s="101"/>
      <c r="I1660" s="101"/>
      <c r="K1660" s="225"/>
      <c r="L1660" s="225"/>
      <c r="M1660" s="114"/>
      <c r="N1660" s="114"/>
    </row>
    <row r="1661" spans="7:14" hidden="1" x14ac:dyDescent="0.3">
      <c r="G1661" s="101"/>
      <c r="H1661" s="101"/>
      <c r="I1661" s="101"/>
      <c r="K1661" s="225"/>
      <c r="L1661" s="225"/>
      <c r="M1661" s="114"/>
      <c r="N1661" s="114"/>
    </row>
    <row r="1662" spans="7:14" hidden="1" x14ac:dyDescent="0.3">
      <c r="G1662" s="101"/>
      <c r="H1662" s="101"/>
      <c r="I1662" s="101"/>
      <c r="K1662" s="225"/>
      <c r="L1662" s="225"/>
      <c r="M1662" s="114"/>
      <c r="N1662" s="114"/>
    </row>
    <row r="1663" spans="7:14" hidden="1" x14ac:dyDescent="0.3">
      <c r="G1663" s="101"/>
      <c r="H1663" s="101"/>
      <c r="I1663" s="101"/>
      <c r="K1663" s="225"/>
      <c r="L1663" s="225"/>
      <c r="M1663" s="114"/>
      <c r="N1663" s="114"/>
    </row>
    <row r="1664" spans="7:14" hidden="1" x14ac:dyDescent="0.3">
      <c r="G1664" s="101"/>
      <c r="H1664" s="101"/>
      <c r="I1664" s="101"/>
      <c r="K1664" s="225"/>
      <c r="L1664" s="225"/>
      <c r="M1664" s="114"/>
      <c r="N1664" s="114"/>
    </row>
    <row r="1665" spans="7:14" hidden="1" x14ac:dyDescent="0.3">
      <c r="G1665" s="101"/>
      <c r="H1665" s="101"/>
      <c r="I1665" s="101"/>
      <c r="K1665" s="225"/>
      <c r="L1665" s="225"/>
      <c r="M1665" s="114"/>
      <c r="N1665" s="114"/>
    </row>
    <row r="1666" spans="7:14" hidden="1" x14ac:dyDescent="0.3">
      <c r="G1666" s="101"/>
      <c r="H1666" s="101"/>
      <c r="I1666" s="101"/>
      <c r="K1666" s="225"/>
      <c r="L1666" s="225"/>
      <c r="M1666" s="114"/>
      <c r="N1666" s="114"/>
    </row>
    <row r="1667" spans="7:14" hidden="1" x14ac:dyDescent="0.3">
      <c r="G1667" s="101"/>
      <c r="H1667" s="101"/>
      <c r="I1667" s="101"/>
      <c r="K1667" s="225"/>
      <c r="L1667" s="225"/>
      <c r="M1667" s="114"/>
      <c r="N1667" s="114"/>
    </row>
    <row r="1668" spans="7:14" hidden="1" x14ac:dyDescent="0.3">
      <c r="G1668" s="101"/>
      <c r="H1668" s="101"/>
      <c r="I1668" s="101"/>
      <c r="K1668" s="225"/>
      <c r="L1668" s="225"/>
      <c r="M1668" s="114"/>
      <c r="N1668" s="114"/>
    </row>
    <row r="1669" spans="7:14" hidden="1" x14ac:dyDescent="0.3">
      <c r="G1669" s="101"/>
      <c r="H1669" s="101"/>
      <c r="I1669" s="101"/>
      <c r="K1669" s="225"/>
      <c r="L1669" s="225"/>
      <c r="M1669" s="114"/>
      <c r="N1669" s="114"/>
    </row>
    <row r="1670" spans="7:14" hidden="1" x14ac:dyDescent="0.3">
      <c r="G1670" s="101"/>
      <c r="H1670" s="101"/>
      <c r="I1670" s="101"/>
      <c r="K1670" s="225"/>
      <c r="L1670" s="225"/>
      <c r="M1670" s="114"/>
      <c r="N1670" s="114"/>
    </row>
    <row r="1671" spans="7:14" hidden="1" x14ac:dyDescent="0.3">
      <c r="G1671" s="101"/>
      <c r="H1671" s="101"/>
      <c r="I1671" s="101"/>
      <c r="K1671" s="225"/>
      <c r="L1671" s="225"/>
      <c r="M1671" s="114"/>
      <c r="N1671" s="114"/>
    </row>
    <row r="1672" spans="7:14" hidden="1" x14ac:dyDescent="0.3">
      <c r="G1672" s="101"/>
      <c r="H1672" s="101"/>
      <c r="I1672" s="101"/>
      <c r="K1672" s="225"/>
      <c r="L1672" s="225"/>
      <c r="M1672" s="114"/>
      <c r="N1672" s="114"/>
    </row>
    <row r="1673" spans="7:14" hidden="1" x14ac:dyDescent="0.3">
      <c r="G1673" s="101"/>
      <c r="H1673" s="101"/>
      <c r="I1673" s="101"/>
      <c r="K1673" s="225"/>
      <c r="L1673" s="225"/>
      <c r="M1673" s="114"/>
      <c r="N1673" s="114"/>
    </row>
    <row r="1674" spans="7:14" hidden="1" x14ac:dyDescent="0.3">
      <c r="G1674" s="101"/>
      <c r="H1674" s="101"/>
      <c r="I1674" s="101"/>
      <c r="K1674" s="225"/>
      <c r="L1674" s="225"/>
      <c r="M1674" s="114"/>
      <c r="N1674" s="114"/>
    </row>
    <row r="1675" spans="7:14" hidden="1" x14ac:dyDescent="0.3">
      <c r="G1675" s="101"/>
      <c r="H1675" s="101"/>
      <c r="I1675" s="101"/>
      <c r="K1675" s="225"/>
      <c r="L1675" s="225"/>
      <c r="M1675" s="114"/>
      <c r="N1675" s="114"/>
    </row>
    <row r="1676" spans="7:14" hidden="1" x14ac:dyDescent="0.3">
      <c r="G1676" s="101"/>
      <c r="H1676" s="101"/>
      <c r="I1676" s="101"/>
      <c r="K1676" s="225"/>
      <c r="L1676" s="225"/>
      <c r="M1676" s="114"/>
      <c r="N1676" s="114"/>
    </row>
    <row r="1677" spans="7:14" hidden="1" x14ac:dyDescent="0.3">
      <c r="G1677" s="101"/>
      <c r="H1677" s="101"/>
      <c r="I1677" s="101"/>
      <c r="K1677" s="225"/>
      <c r="L1677" s="225"/>
      <c r="M1677" s="114"/>
      <c r="N1677" s="114"/>
    </row>
    <row r="1678" spans="7:14" hidden="1" x14ac:dyDescent="0.3">
      <c r="G1678" s="101"/>
      <c r="H1678" s="101"/>
      <c r="I1678" s="101"/>
      <c r="K1678" s="225"/>
      <c r="L1678" s="225"/>
      <c r="M1678" s="114"/>
      <c r="N1678" s="114"/>
    </row>
    <row r="1679" spans="7:14" hidden="1" x14ac:dyDescent="0.3">
      <c r="G1679" s="101"/>
      <c r="H1679" s="101"/>
      <c r="I1679" s="101"/>
      <c r="K1679" s="225"/>
      <c r="L1679" s="225"/>
      <c r="M1679" s="114"/>
      <c r="N1679" s="114"/>
    </row>
    <row r="1680" spans="7:14" hidden="1" x14ac:dyDescent="0.3">
      <c r="G1680" s="101"/>
      <c r="H1680" s="101"/>
      <c r="I1680" s="101"/>
      <c r="K1680" s="225"/>
      <c r="L1680" s="225"/>
      <c r="M1680" s="114"/>
      <c r="N1680" s="114"/>
    </row>
    <row r="1681" spans="7:14" hidden="1" x14ac:dyDescent="0.3">
      <c r="G1681" s="101"/>
      <c r="H1681" s="101"/>
      <c r="I1681" s="101"/>
      <c r="K1681" s="225"/>
      <c r="L1681" s="225"/>
      <c r="M1681" s="114"/>
      <c r="N1681" s="114"/>
    </row>
    <row r="1682" spans="7:14" hidden="1" x14ac:dyDescent="0.3">
      <c r="G1682" s="101"/>
      <c r="H1682" s="101"/>
      <c r="I1682" s="101"/>
      <c r="K1682" s="225"/>
      <c r="L1682" s="225"/>
      <c r="M1682" s="114"/>
      <c r="N1682" s="114"/>
    </row>
    <row r="1683" spans="7:14" hidden="1" x14ac:dyDescent="0.3">
      <c r="G1683" s="101"/>
      <c r="H1683" s="101"/>
      <c r="I1683" s="101"/>
      <c r="K1683" s="225"/>
      <c r="L1683" s="225"/>
      <c r="M1683" s="114"/>
      <c r="N1683" s="114"/>
    </row>
    <row r="1684" spans="7:14" hidden="1" x14ac:dyDescent="0.3">
      <c r="G1684" s="101"/>
      <c r="H1684" s="101"/>
      <c r="I1684" s="101"/>
      <c r="K1684" s="225"/>
      <c r="L1684" s="225"/>
      <c r="M1684" s="114"/>
      <c r="N1684" s="114"/>
    </row>
    <row r="1685" spans="7:14" hidden="1" x14ac:dyDescent="0.3">
      <c r="G1685" s="101"/>
      <c r="H1685" s="101"/>
      <c r="I1685" s="101"/>
      <c r="K1685" s="225"/>
      <c r="L1685" s="225"/>
      <c r="M1685" s="114"/>
      <c r="N1685" s="114"/>
    </row>
    <row r="1686" spans="7:14" hidden="1" x14ac:dyDescent="0.3">
      <c r="G1686" s="101"/>
      <c r="H1686" s="101"/>
      <c r="I1686" s="101"/>
      <c r="K1686" s="225"/>
      <c r="L1686" s="225"/>
      <c r="M1686" s="114"/>
      <c r="N1686" s="114"/>
    </row>
    <row r="1687" spans="7:14" hidden="1" x14ac:dyDescent="0.3">
      <c r="G1687" s="101"/>
      <c r="H1687" s="101"/>
      <c r="I1687" s="101"/>
      <c r="K1687" s="225"/>
      <c r="L1687" s="225"/>
      <c r="M1687" s="114"/>
      <c r="N1687" s="114"/>
    </row>
    <row r="1688" spans="7:14" hidden="1" x14ac:dyDescent="0.3">
      <c r="G1688" s="101"/>
      <c r="H1688" s="101"/>
      <c r="I1688" s="101"/>
      <c r="K1688" s="225"/>
      <c r="L1688" s="225"/>
      <c r="M1688" s="114"/>
      <c r="N1688" s="114"/>
    </row>
    <row r="1689" spans="7:14" hidden="1" x14ac:dyDescent="0.3">
      <c r="G1689" s="101"/>
      <c r="H1689" s="101"/>
      <c r="I1689" s="101"/>
      <c r="K1689" s="225"/>
      <c r="L1689" s="225"/>
      <c r="M1689" s="114"/>
      <c r="N1689" s="114"/>
    </row>
    <row r="1690" spans="7:14" hidden="1" x14ac:dyDescent="0.3">
      <c r="G1690" s="101"/>
      <c r="H1690" s="101"/>
      <c r="I1690" s="101"/>
      <c r="K1690" s="225"/>
      <c r="L1690" s="225"/>
      <c r="M1690" s="114"/>
      <c r="N1690" s="114"/>
    </row>
    <row r="1691" spans="7:14" hidden="1" x14ac:dyDescent="0.3">
      <c r="G1691" s="101"/>
      <c r="H1691" s="101"/>
      <c r="I1691" s="101"/>
      <c r="K1691" s="225"/>
      <c r="L1691" s="225"/>
      <c r="M1691" s="114"/>
      <c r="N1691" s="114"/>
    </row>
    <row r="1692" spans="7:14" hidden="1" x14ac:dyDescent="0.3">
      <c r="G1692" s="101"/>
      <c r="H1692" s="101"/>
      <c r="I1692" s="101"/>
      <c r="K1692" s="225"/>
      <c r="L1692" s="225"/>
      <c r="M1692" s="114"/>
      <c r="N1692" s="114"/>
    </row>
    <row r="1693" spans="7:14" hidden="1" x14ac:dyDescent="0.3">
      <c r="G1693" s="101"/>
      <c r="H1693" s="101"/>
      <c r="I1693" s="101"/>
      <c r="K1693" s="225"/>
      <c r="L1693" s="225"/>
      <c r="M1693" s="114"/>
      <c r="N1693" s="114"/>
    </row>
    <row r="1694" spans="7:14" hidden="1" x14ac:dyDescent="0.3">
      <c r="G1694" s="101"/>
      <c r="H1694" s="101"/>
      <c r="I1694" s="101"/>
      <c r="K1694" s="225"/>
      <c r="L1694" s="225"/>
      <c r="M1694" s="114"/>
      <c r="N1694" s="114"/>
    </row>
    <row r="1695" spans="7:14" hidden="1" x14ac:dyDescent="0.3">
      <c r="G1695" s="101"/>
      <c r="H1695" s="101"/>
      <c r="I1695" s="101"/>
      <c r="K1695" s="225"/>
      <c r="L1695" s="225"/>
      <c r="M1695" s="114"/>
      <c r="N1695" s="114"/>
    </row>
    <row r="1696" spans="7:14" hidden="1" x14ac:dyDescent="0.3">
      <c r="G1696" s="101"/>
      <c r="H1696" s="101"/>
      <c r="I1696" s="101"/>
      <c r="K1696" s="225"/>
      <c r="L1696" s="225"/>
      <c r="M1696" s="114"/>
      <c r="N1696" s="114"/>
    </row>
    <row r="1697" spans="7:14" hidden="1" x14ac:dyDescent="0.3">
      <c r="G1697" s="101"/>
      <c r="H1697" s="101"/>
      <c r="I1697" s="101"/>
      <c r="K1697" s="225"/>
      <c r="L1697" s="225"/>
      <c r="M1697" s="114"/>
      <c r="N1697" s="114"/>
    </row>
    <row r="1698" spans="7:14" hidden="1" x14ac:dyDescent="0.3">
      <c r="G1698" s="101"/>
      <c r="H1698" s="101"/>
      <c r="I1698" s="101"/>
      <c r="K1698" s="225"/>
      <c r="L1698" s="225"/>
      <c r="M1698" s="114"/>
      <c r="N1698" s="114"/>
    </row>
    <row r="1699" spans="7:14" hidden="1" x14ac:dyDescent="0.3">
      <c r="G1699" s="101"/>
      <c r="H1699" s="101"/>
      <c r="I1699" s="101"/>
      <c r="K1699" s="225"/>
      <c r="L1699" s="225"/>
      <c r="M1699" s="114"/>
      <c r="N1699" s="114"/>
    </row>
    <row r="1700" spans="7:14" hidden="1" x14ac:dyDescent="0.3">
      <c r="G1700" s="101"/>
      <c r="H1700" s="101"/>
      <c r="I1700" s="101"/>
      <c r="K1700" s="225"/>
      <c r="L1700" s="225"/>
      <c r="M1700" s="114"/>
      <c r="N1700" s="114"/>
    </row>
    <row r="1701" spans="7:14" hidden="1" x14ac:dyDescent="0.3">
      <c r="G1701" s="101"/>
      <c r="H1701" s="101"/>
      <c r="I1701" s="101"/>
      <c r="K1701" s="225"/>
      <c r="L1701" s="225"/>
      <c r="M1701" s="114"/>
      <c r="N1701" s="114"/>
    </row>
    <row r="1702" spans="7:14" hidden="1" x14ac:dyDescent="0.3">
      <c r="G1702" s="101"/>
      <c r="H1702" s="101"/>
      <c r="I1702" s="101"/>
      <c r="K1702" s="225"/>
      <c r="L1702" s="225"/>
      <c r="M1702" s="114"/>
      <c r="N1702" s="114"/>
    </row>
    <row r="1703" spans="7:14" hidden="1" x14ac:dyDescent="0.3">
      <c r="G1703" s="101"/>
      <c r="H1703" s="101"/>
      <c r="I1703" s="101"/>
      <c r="K1703" s="225"/>
      <c r="L1703" s="225"/>
      <c r="M1703" s="114"/>
      <c r="N1703" s="114"/>
    </row>
    <row r="1704" spans="7:14" hidden="1" x14ac:dyDescent="0.3">
      <c r="G1704" s="101"/>
      <c r="H1704" s="101"/>
      <c r="I1704" s="101"/>
      <c r="K1704" s="225"/>
      <c r="L1704" s="225"/>
      <c r="M1704" s="114"/>
      <c r="N1704" s="114"/>
    </row>
    <row r="1705" spans="7:14" hidden="1" x14ac:dyDescent="0.3">
      <c r="G1705" s="101"/>
      <c r="H1705" s="101"/>
      <c r="I1705" s="101"/>
      <c r="K1705" s="225"/>
      <c r="L1705" s="225"/>
      <c r="M1705" s="114"/>
      <c r="N1705" s="114"/>
    </row>
    <row r="1706" spans="7:14" hidden="1" x14ac:dyDescent="0.3">
      <c r="G1706" s="101"/>
      <c r="H1706" s="101"/>
      <c r="I1706" s="101"/>
      <c r="K1706" s="225"/>
      <c r="L1706" s="225"/>
      <c r="M1706" s="114"/>
      <c r="N1706" s="114"/>
    </row>
    <row r="1707" spans="7:14" hidden="1" x14ac:dyDescent="0.3">
      <c r="G1707" s="101"/>
      <c r="H1707" s="101"/>
      <c r="I1707" s="101"/>
      <c r="K1707" s="225"/>
      <c r="L1707" s="225"/>
      <c r="M1707" s="114"/>
      <c r="N1707" s="114"/>
    </row>
    <row r="1708" spans="7:14" hidden="1" x14ac:dyDescent="0.3">
      <c r="G1708" s="101"/>
      <c r="H1708" s="101"/>
      <c r="I1708" s="101"/>
      <c r="K1708" s="225"/>
      <c r="L1708" s="225"/>
      <c r="M1708" s="114"/>
      <c r="N1708" s="114"/>
    </row>
    <row r="1709" spans="7:14" hidden="1" x14ac:dyDescent="0.3">
      <c r="G1709" s="101"/>
      <c r="H1709" s="101"/>
      <c r="I1709" s="101"/>
      <c r="K1709" s="225"/>
      <c r="L1709" s="225"/>
      <c r="M1709" s="114"/>
      <c r="N1709" s="114"/>
    </row>
    <row r="1710" spans="7:14" hidden="1" x14ac:dyDescent="0.3">
      <c r="G1710" s="101"/>
      <c r="H1710" s="101"/>
      <c r="I1710" s="101"/>
      <c r="K1710" s="225"/>
      <c r="L1710" s="225"/>
      <c r="M1710" s="114"/>
      <c r="N1710" s="114"/>
    </row>
    <row r="1711" spans="7:14" hidden="1" x14ac:dyDescent="0.3">
      <c r="G1711" s="101"/>
      <c r="H1711" s="101"/>
      <c r="I1711" s="101"/>
      <c r="K1711" s="225"/>
      <c r="L1711" s="225"/>
      <c r="M1711" s="114"/>
      <c r="N1711" s="114"/>
    </row>
    <row r="1712" spans="7:14" hidden="1" x14ac:dyDescent="0.3">
      <c r="G1712" s="101"/>
      <c r="H1712" s="101"/>
      <c r="I1712" s="101"/>
      <c r="K1712" s="225"/>
      <c r="L1712" s="225"/>
      <c r="M1712" s="114"/>
      <c r="N1712" s="114"/>
    </row>
    <row r="1713" spans="7:14" hidden="1" x14ac:dyDescent="0.3">
      <c r="G1713" s="101"/>
      <c r="H1713" s="101"/>
      <c r="I1713" s="101"/>
      <c r="K1713" s="225"/>
      <c r="L1713" s="225"/>
      <c r="M1713" s="114"/>
      <c r="N1713" s="114"/>
    </row>
    <row r="1714" spans="7:14" hidden="1" x14ac:dyDescent="0.3">
      <c r="G1714" s="101"/>
      <c r="H1714" s="101"/>
      <c r="I1714" s="101"/>
      <c r="K1714" s="225"/>
      <c r="L1714" s="225"/>
      <c r="M1714" s="114"/>
      <c r="N1714" s="114"/>
    </row>
    <row r="1715" spans="7:14" hidden="1" x14ac:dyDescent="0.3">
      <c r="G1715" s="101"/>
      <c r="H1715" s="101"/>
      <c r="I1715" s="101"/>
      <c r="K1715" s="225"/>
      <c r="L1715" s="225"/>
      <c r="M1715" s="114"/>
      <c r="N1715" s="114"/>
    </row>
    <row r="1716" spans="7:14" hidden="1" x14ac:dyDescent="0.3">
      <c r="G1716" s="101"/>
      <c r="H1716" s="101"/>
      <c r="I1716" s="101"/>
      <c r="K1716" s="225"/>
      <c r="L1716" s="225"/>
      <c r="M1716" s="114"/>
      <c r="N1716" s="114"/>
    </row>
    <row r="1717" spans="7:14" hidden="1" x14ac:dyDescent="0.3">
      <c r="G1717" s="101"/>
      <c r="H1717" s="101"/>
      <c r="I1717" s="101"/>
      <c r="K1717" s="225"/>
      <c r="L1717" s="225"/>
      <c r="M1717" s="114"/>
      <c r="N1717" s="114"/>
    </row>
    <row r="1718" spans="7:14" hidden="1" x14ac:dyDescent="0.3">
      <c r="G1718" s="101"/>
      <c r="H1718" s="101"/>
      <c r="I1718" s="101"/>
      <c r="K1718" s="225"/>
      <c r="L1718" s="225"/>
      <c r="M1718" s="114"/>
      <c r="N1718" s="114"/>
    </row>
    <row r="1719" spans="7:14" hidden="1" x14ac:dyDescent="0.3">
      <c r="G1719" s="101"/>
      <c r="H1719" s="101"/>
      <c r="I1719" s="101"/>
      <c r="K1719" s="225"/>
      <c r="L1719" s="225"/>
      <c r="M1719" s="114"/>
      <c r="N1719" s="114"/>
    </row>
    <row r="1720" spans="7:14" hidden="1" x14ac:dyDescent="0.3">
      <c r="G1720" s="101"/>
      <c r="H1720" s="101"/>
      <c r="I1720" s="101"/>
      <c r="K1720" s="225"/>
      <c r="L1720" s="225"/>
      <c r="M1720" s="114"/>
      <c r="N1720" s="114"/>
    </row>
    <row r="1721" spans="7:14" hidden="1" x14ac:dyDescent="0.3">
      <c r="G1721" s="101"/>
      <c r="H1721" s="101"/>
      <c r="I1721" s="101"/>
      <c r="K1721" s="225"/>
      <c r="L1721" s="225"/>
      <c r="M1721" s="114"/>
      <c r="N1721" s="114"/>
    </row>
    <row r="1722" spans="7:14" hidden="1" x14ac:dyDescent="0.3">
      <c r="G1722" s="101"/>
      <c r="H1722" s="101"/>
      <c r="I1722" s="101"/>
      <c r="K1722" s="225"/>
      <c r="L1722" s="225"/>
      <c r="M1722" s="114"/>
      <c r="N1722" s="114"/>
    </row>
    <row r="1723" spans="7:14" hidden="1" x14ac:dyDescent="0.3">
      <c r="G1723" s="101"/>
      <c r="H1723" s="101"/>
      <c r="I1723" s="101"/>
      <c r="K1723" s="225"/>
      <c r="L1723" s="225"/>
      <c r="M1723" s="114"/>
      <c r="N1723" s="114"/>
    </row>
    <row r="1724" spans="7:14" hidden="1" x14ac:dyDescent="0.3">
      <c r="G1724" s="101"/>
      <c r="H1724" s="101"/>
      <c r="I1724" s="101"/>
      <c r="K1724" s="225"/>
      <c r="L1724" s="225"/>
      <c r="M1724" s="114"/>
      <c r="N1724" s="114"/>
    </row>
    <row r="1725" spans="7:14" hidden="1" x14ac:dyDescent="0.3">
      <c r="G1725" s="101"/>
      <c r="H1725" s="101"/>
      <c r="I1725" s="101"/>
      <c r="K1725" s="225"/>
      <c r="L1725" s="225"/>
      <c r="M1725" s="114"/>
      <c r="N1725" s="114"/>
    </row>
    <row r="1726" spans="7:14" hidden="1" x14ac:dyDescent="0.3">
      <c r="G1726" s="101"/>
      <c r="H1726" s="101"/>
      <c r="I1726" s="101"/>
      <c r="K1726" s="225"/>
      <c r="L1726" s="225"/>
      <c r="M1726" s="114"/>
      <c r="N1726" s="114"/>
    </row>
    <row r="1727" spans="7:14" hidden="1" x14ac:dyDescent="0.3">
      <c r="G1727" s="101"/>
      <c r="H1727" s="101"/>
      <c r="I1727" s="101"/>
      <c r="K1727" s="225"/>
      <c r="L1727" s="225"/>
      <c r="M1727" s="114"/>
      <c r="N1727" s="114"/>
    </row>
    <row r="1728" spans="7:14" hidden="1" x14ac:dyDescent="0.3">
      <c r="G1728" s="101"/>
      <c r="H1728" s="101"/>
      <c r="I1728" s="101"/>
      <c r="K1728" s="225"/>
      <c r="L1728" s="225"/>
      <c r="M1728" s="114"/>
      <c r="N1728" s="114"/>
    </row>
    <row r="1729" spans="7:14" hidden="1" x14ac:dyDescent="0.3">
      <c r="G1729" s="101"/>
      <c r="H1729" s="101"/>
      <c r="I1729" s="101"/>
      <c r="K1729" s="225"/>
      <c r="L1729" s="225"/>
      <c r="M1729" s="114"/>
      <c r="N1729" s="114"/>
    </row>
    <row r="1730" spans="7:14" hidden="1" x14ac:dyDescent="0.3">
      <c r="G1730" s="101"/>
      <c r="H1730" s="101"/>
      <c r="I1730" s="101"/>
      <c r="K1730" s="225"/>
      <c r="L1730" s="225"/>
      <c r="M1730" s="114"/>
      <c r="N1730" s="114"/>
    </row>
    <row r="1731" spans="7:14" hidden="1" x14ac:dyDescent="0.3">
      <c r="G1731" s="101"/>
      <c r="H1731" s="101"/>
      <c r="I1731" s="101"/>
      <c r="K1731" s="225"/>
      <c r="L1731" s="225"/>
      <c r="M1731" s="114"/>
      <c r="N1731" s="114"/>
    </row>
    <row r="1732" spans="7:14" hidden="1" x14ac:dyDescent="0.3">
      <c r="G1732" s="101"/>
      <c r="H1732" s="101"/>
      <c r="I1732" s="101"/>
      <c r="K1732" s="225"/>
      <c r="L1732" s="225"/>
      <c r="M1732" s="114"/>
      <c r="N1732" s="114"/>
    </row>
    <row r="1733" spans="7:14" hidden="1" x14ac:dyDescent="0.3">
      <c r="G1733" s="101"/>
      <c r="H1733" s="101"/>
      <c r="I1733" s="101"/>
      <c r="K1733" s="225"/>
      <c r="L1733" s="225"/>
      <c r="M1733" s="114"/>
      <c r="N1733" s="114"/>
    </row>
    <row r="1734" spans="7:14" hidden="1" x14ac:dyDescent="0.3">
      <c r="G1734" s="101"/>
      <c r="H1734" s="101"/>
      <c r="I1734" s="101"/>
      <c r="K1734" s="225"/>
      <c r="L1734" s="225"/>
      <c r="M1734" s="114"/>
      <c r="N1734" s="114"/>
    </row>
    <row r="1735" spans="7:14" hidden="1" x14ac:dyDescent="0.3">
      <c r="G1735" s="101"/>
      <c r="H1735" s="101"/>
      <c r="I1735" s="101"/>
      <c r="K1735" s="225"/>
      <c r="L1735" s="225"/>
      <c r="M1735" s="114"/>
      <c r="N1735" s="114"/>
    </row>
    <row r="1736" spans="7:14" hidden="1" x14ac:dyDescent="0.3">
      <c r="G1736" s="101"/>
      <c r="H1736" s="101"/>
      <c r="I1736" s="101"/>
      <c r="K1736" s="225"/>
      <c r="L1736" s="225"/>
      <c r="M1736" s="114"/>
      <c r="N1736" s="114"/>
    </row>
    <row r="1737" spans="7:14" hidden="1" x14ac:dyDescent="0.3">
      <c r="G1737" s="101"/>
      <c r="H1737" s="101"/>
      <c r="I1737" s="101"/>
      <c r="K1737" s="225"/>
      <c r="L1737" s="225"/>
      <c r="M1737" s="114"/>
      <c r="N1737" s="114"/>
    </row>
    <row r="1738" spans="7:14" hidden="1" x14ac:dyDescent="0.3">
      <c r="G1738" s="101"/>
      <c r="H1738" s="101"/>
      <c r="I1738" s="101"/>
      <c r="K1738" s="225"/>
      <c r="L1738" s="225"/>
      <c r="M1738" s="114"/>
      <c r="N1738" s="114"/>
    </row>
    <row r="1739" spans="7:14" hidden="1" x14ac:dyDescent="0.3">
      <c r="G1739" s="101"/>
      <c r="H1739" s="101"/>
      <c r="I1739" s="101"/>
      <c r="K1739" s="225"/>
      <c r="L1739" s="225"/>
      <c r="M1739" s="114"/>
      <c r="N1739" s="114"/>
    </row>
    <row r="1740" spans="7:14" hidden="1" x14ac:dyDescent="0.3">
      <c r="G1740" s="101"/>
      <c r="H1740" s="101"/>
      <c r="I1740" s="101"/>
      <c r="K1740" s="225"/>
      <c r="L1740" s="225"/>
      <c r="M1740" s="114"/>
      <c r="N1740" s="114"/>
    </row>
    <row r="1741" spans="7:14" hidden="1" x14ac:dyDescent="0.3">
      <c r="G1741" s="101"/>
      <c r="H1741" s="101"/>
      <c r="I1741" s="101"/>
      <c r="K1741" s="225"/>
      <c r="L1741" s="225"/>
      <c r="M1741" s="114"/>
      <c r="N1741" s="114"/>
    </row>
    <row r="1742" spans="7:14" hidden="1" x14ac:dyDescent="0.3">
      <c r="G1742" s="101"/>
      <c r="H1742" s="101"/>
      <c r="I1742" s="101"/>
      <c r="K1742" s="225"/>
      <c r="L1742" s="225"/>
      <c r="M1742" s="114"/>
      <c r="N1742" s="114"/>
    </row>
    <row r="1743" spans="7:14" hidden="1" x14ac:dyDescent="0.3">
      <c r="G1743" s="101"/>
      <c r="H1743" s="101"/>
      <c r="I1743" s="101"/>
      <c r="K1743" s="225"/>
      <c r="L1743" s="225"/>
      <c r="M1743" s="114"/>
      <c r="N1743" s="114"/>
    </row>
    <row r="1744" spans="7:14" hidden="1" x14ac:dyDescent="0.3">
      <c r="G1744" s="101"/>
      <c r="H1744" s="101"/>
      <c r="I1744" s="101"/>
      <c r="K1744" s="225"/>
      <c r="L1744" s="225"/>
      <c r="M1744" s="114"/>
      <c r="N1744" s="114"/>
    </row>
    <row r="1745" spans="7:14" hidden="1" x14ac:dyDescent="0.3">
      <c r="G1745" s="101"/>
      <c r="H1745" s="101"/>
      <c r="I1745" s="101"/>
      <c r="K1745" s="225"/>
      <c r="L1745" s="225"/>
      <c r="M1745" s="114"/>
      <c r="N1745" s="114"/>
    </row>
    <row r="1746" spans="7:14" hidden="1" x14ac:dyDescent="0.3">
      <c r="G1746" s="101"/>
      <c r="H1746" s="101"/>
      <c r="I1746" s="101"/>
      <c r="K1746" s="225"/>
      <c r="L1746" s="225"/>
      <c r="M1746" s="114"/>
      <c r="N1746" s="114"/>
    </row>
    <row r="1747" spans="7:14" hidden="1" x14ac:dyDescent="0.3">
      <c r="G1747" s="101"/>
      <c r="H1747" s="101"/>
      <c r="I1747" s="101"/>
      <c r="K1747" s="225"/>
      <c r="L1747" s="225"/>
      <c r="M1747" s="114"/>
      <c r="N1747" s="114"/>
    </row>
    <row r="1748" spans="7:14" hidden="1" x14ac:dyDescent="0.3">
      <c r="G1748" s="101"/>
      <c r="H1748" s="101"/>
      <c r="I1748" s="101"/>
      <c r="K1748" s="225"/>
      <c r="L1748" s="225"/>
      <c r="M1748" s="114"/>
      <c r="N1748" s="114"/>
    </row>
    <row r="1749" spans="7:14" hidden="1" x14ac:dyDescent="0.3">
      <c r="G1749" s="101"/>
      <c r="H1749" s="101"/>
      <c r="I1749" s="101"/>
      <c r="K1749" s="225"/>
      <c r="L1749" s="225"/>
      <c r="M1749" s="114"/>
      <c r="N1749" s="114"/>
    </row>
    <row r="1750" spans="7:14" hidden="1" x14ac:dyDescent="0.3">
      <c r="G1750" s="101"/>
      <c r="H1750" s="101"/>
      <c r="I1750" s="101"/>
      <c r="K1750" s="225"/>
      <c r="L1750" s="225"/>
      <c r="M1750" s="114"/>
      <c r="N1750" s="114"/>
    </row>
    <row r="1751" spans="7:14" hidden="1" x14ac:dyDescent="0.3">
      <c r="G1751" s="101"/>
      <c r="H1751" s="101"/>
      <c r="I1751" s="101"/>
      <c r="K1751" s="225"/>
      <c r="L1751" s="225"/>
      <c r="M1751" s="114"/>
      <c r="N1751" s="114"/>
    </row>
    <row r="1752" spans="7:14" hidden="1" x14ac:dyDescent="0.3">
      <c r="G1752" s="101"/>
      <c r="H1752" s="101"/>
      <c r="I1752" s="101"/>
      <c r="K1752" s="225"/>
      <c r="L1752" s="225"/>
      <c r="M1752" s="114"/>
      <c r="N1752" s="114"/>
    </row>
    <row r="1753" spans="7:14" hidden="1" x14ac:dyDescent="0.3">
      <c r="G1753" s="101"/>
      <c r="H1753" s="101"/>
      <c r="I1753" s="101"/>
      <c r="K1753" s="225"/>
      <c r="L1753" s="225"/>
      <c r="M1753" s="114"/>
      <c r="N1753" s="114"/>
    </row>
    <row r="1754" spans="7:14" hidden="1" x14ac:dyDescent="0.3">
      <c r="G1754" s="101"/>
      <c r="H1754" s="101"/>
      <c r="I1754" s="101"/>
      <c r="K1754" s="225"/>
      <c r="L1754" s="225"/>
      <c r="M1754" s="114"/>
      <c r="N1754" s="114"/>
    </row>
    <row r="1755" spans="7:14" hidden="1" x14ac:dyDescent="0.3">
      <c r="G1755" s="101"/>
      <c r="H1755" s="101"/>
      <c r="I1755" s="101"/>
      <c r="K1755" s="225"/>
      <c r="L1755" s="225"/>
      <c r="M1755" s="114"/>
      <c r="N1755" s="114"/>
    </row>
    <row r="1756" spans="7:14" hidden="1" x14ac:dyDescent="0.3">
      <c r="G1756" s="101"/>
      <c r="H1756" s="101"/>
      <c r="I1756" s="101"/>
      <c r="K1756" s="225"/>
      <c r="L1756" s="225"/>
      <c r="M1756" s="114"/>
      <c r="N1756" s="114"/>
    </row>
    <row r="1757" spans="7:14" hidden="1" x14ac:dyDescent="0.3">
      <c r="G1757" s="101"/>
      <c r="H1757" s="101"/>
      <c r="I1757" s="101"/>
      <c r="K1757" s="225"/>
      <c r="L1757" s="225"/>
      <c r="M1757" s="114"/>
      <c r="N1757" s="114"/>
    </row>
    <row r="1758" spans="7:14" hidden="1" x14ac:dyDescent="0.3">
      <c r="G1758" s="101"/>
      <c r="H1758" s="101"/>
      <c r="I1758" s="101"/>
      <c r="K1758" s="225"/>
      <c r="L1758" s="225"/>
      <c r="M1758" s="114"/>
      <c r="N1758" s="114"/>
    </row>
    <row r="1759" spans="7:14" hidden="1" x14ac:dyDescent="0.3">
      <c r="G1759" s="101"/>
      <c r="H1759" s="101"/>
      <c r="I1759" s="101"/>
      <c r="K1759" s="225"/>
      <c r="L1759" s="225"/>
      <c r="M1759" s="114"/>
      <c r="N1759" s="114"/>
    </row>
    <row r="1760" spans="7:14" hidden="1" x14ac:dyDescent="0.3">
      <c r="G1760" s="101"/>
      <c r="H1760" s="101"/>
      <c r="I1760" s="101"/>
      <c r="K1760" s="225"/>
      <c r="L1760" s="225"/>
      <c r="M1760" s="114"/>
      <c r="N1760" s="114"/>
    </row>
    <row r="1761" spans="7:14" hidden="1" x14ac:dyDescent="0.3">
      <c r="G1761" s="101"/>
      <c r="H1761" s="101"/>
      <c r="I1761" s="101"/>
      <c r="K1761" s="225"/>
      <c r="L1761" s="225"/>
      <c r="M1761" s="114"/>
      <c r="N1761" s="114"/>
    </row>
    <row r="1762" spans="7:14" hidden="1" x14ac:dyDescent="0.3">
      <c r="G1762" s="101"/>
      <c r="H1762" s="101"/>
      <c r="I1762" s="101"/>
      <c r="K1762" s="225"/>
      <c r="L1762" s="225"/>
      <c r="M1762" s="114"/>
      <c r="N1762" s="114"/>
    </row>
    <row r="1763" spans="7:14" hidden="1" x14ac:dyDescent="0.3">
      <c r="G1763" s="101"/>
      <c r="H1763" s="101"/>
      <c r="I1763" s="101"/>
      <c r="K1763" s="225"/>
      <c r="L1763" s="225"/>
      <c r="M1763" s="114"/>
      <c r="N1763" s="114"/>
    </row>
    <row r="1764" spans="7:14" hidden="1" x14ac:dyDescent="0.3">
      <c r="G1764" s="101"/>
      <c r="H1764" s="101"/>
      <c r="I1764" s="101"/>
      <c r="K1764" s="225"/>
      <c r="L1764" s="225"/>
      <c r="M1764" s="114"/>
      <c r="N1764" s="114"/>
    </row>
    <row r="1765" spans="7:14" hidden="1" x14ac:dyDescent="0.3">
      <c r="G1765" s="101"/>
      <c r="H1765" s="101"/>
      <c r="I1765" s="101"/>
      <c r="K1765" s="225"/>
      <c r="L1765" s="225"/>
      <c r="M1765" s="114"/>
      <c r="N1765" s="114"/>
    </row>
    <row r="1766" spans="7:14" hidden="1" x14ac:dyDescent="0.3">
      <c r="G1766" s="101"/>
      <c r="H1766" s="101"/>
      <c r="I1766" s="101"/>
      <c r="K1766" s="225"/>
      <c r="L1766" s="225"/>
      <c r="M1766" s="114"/>
      <c r="N1766" s="114"/>
    </row>
    <row r="1767" spans="7:14" hidden="1" x14ac:dyDescent="0.3">
      <c r="G1767" s="101"/>
      <c r="H1767" s="101"/>
      <c r="I1767" s="101"/>
      <c r="K1767" s="225"/>
      <c r="L1767" s="225"/>
      <c r="M1767" s="114"/>
      <c r="N1767" s="114"/>
    </row>
    <row r="1768" spans="7:14" hidden="1" x14ac:dyDescent="0.3">
      <c r="G1768" s="101"/>
      <c r="H1768" s="101"/>
      <c r="I1768" s="101"/>
      <c r="K1768" s="225"/>
      <c r="L1768" s="225"/>
      <c r="M1768" s="114"/>
      <c r="N1768" s="114"/>
    </row>
    <row r="1769" spans="7:14" hidden="1" x14ac:dyDescent="0.3">
      <c r="G1769" s="101"/>
      <c r="H1769" s="101"/>
      <c r="I1769" s="101"/>
      <c r="K1769" s="225"/>
      <c r="L1769" s="225"/>
      <c r="M1769" s="114"/>
      <c r="N1769" s="114"/>
    </row>
    <row r="1770" spans="7:14" hidden="1" x14ac:dyDescent="0.3">
      <c r="G1770" s="101"/>
      <c r="H1770" s="101"/>
      <c r="I1770" s="101"/>
      <c r="K1770" s="225"/>
      <c r="L1770" s="225"/>
      <c r="M1770" s="114"/>
      <c r="N1770" s="114"/>
    </row>
    <row r="1771" spans="7:14" hidden="1" x14ac:dyDescent="0.3">
      <c r="G1771" s="101"/>
      <c r="H1771" s="101"/>
      <c r="I1771" s="101"/>
      <c r="K1771" s="225"/>
      <c r="L1771" s="225"/>
      <c r="M1771" s="114"/>
      <c r="N1771" s="114"/>
    </row>
    <row r="1772" spans="7:14" hidden="1" x14ac:dyDescent="0.3">
      <c r="G1772" s="101"/>
      <c r="H1772" s="101"/>
      <c r="I1772" s="101"/>
      <c r="K1772" s="225"/>
      <c r="L1772" s="225"/>
      <c r="M1772" s="114"/>
      <c r="N1772" s="114"/>
    </row>
    <row r="1773" spans="7:14" hidden="1" x14ac:dyDescent="0.3">
      <c r="G1773" s="101"/>
      <c r="H1773" s="101"/>
      <c r="I1773" s="101"/>
      <c r="K1773" s="225"/>
      <c r="L1773" s="225"/>
      <c r="M1773" s="114"/>
      <c r="N1773" s="114"/>
    </row>
    <row r="1774" spans="7:14" hidden="1" x14ac:dyDescent="0.3">
      <c r="G1774" s="101"/>
      <c r="H1774" s="101"/>
      <c r="I1774" s="101"/>
      <c r="K1774" s="225"/>
      <c r="L1774" s="225"/>
      <c r="M1774" s="114"/>
      <c r="N1774" s="114"/>
    </row>
    <row r="1775" spans="7:14" hidden="1" x14ac:dyDescent="0.3">
      <c r="G1775" s="101"/>
      <c r="H1775" s="101"/>
      <c r="I1775" s="101"/>
      <c r="K1775" s="225"/>
      <c r="L1775" s="225"/>
      <c r="M1775" s="114"/>
      <c r="N1775" s="114"/>
    </row>
    <row r="1776" spans="7:14" hidden="1" x14ac:dyDescent="0.3">
      <c r="G1776" s="101"/>
      <c r="H1776" s="101"/>
      <c r="I1776" s="101"/>
      <c r="K1776" s="225"/>
      <c r="L1776" s="225"/>
      <c r="M1776" s="114"/>
      <c r="N1776" s="114"/>
    </row>
    <row r="1777" spans="7:14" hidden="1" x14ac:dyDescent="0.3">
      <c r="G1777" s="101"/>
      <c r="H1777" s="101"/>
      <c r="I1777" s="101"/>
      <c r="K1777" s="225"/>
      <c r="L1777" s="225"/>
      <c r="M1777" s="114"/>
      <c r="N1777" s="114"/>
    </row>
    <row r="1778" spans="7:14" hidden="1" x14ac:dyDescent="0.3">
      <c r="G1778" s="101"/>
      <c r="H1778" s="101"/>
      <c r="I1778" s="101"/>
      <c r="K1778" s="225"/>
      <c r="L1778" s="225"/>
      <c r="M1778" s="114"/>
      <c r="N1778" s="114"/>
    </row>
    <row r="1779" spans="7:14" hidden="1" x14ac:dyDescent="0.3">
      <c r="G1779" s="101"/>
      <c r="H1779" s="101"/>
      <c r="I1779" s="101"/>
      <c r="K1779" s="225"/>
      <c r="L1779" s="225"/>
      <c r="M1779" s="114"/>
      <c r="N1779" s="114"/>
    </row>
    <row r="1780" spans="7:14" hidden="1" x14ac:dyDescent="0.3">
      <c r="G1780" s="101"/>
      <c r="H1780" s="101"/>
      <c r="I1780" s="101"/>
      <c r="K1780" s="225"/>
      <c r="L1780" s="225"/>
      <c r="M1780" s="114"/>
      <c r="N1780" s="114"/>
    </row>
    <row r="1781" spans="7:14" hidden="1" x14ac:dyDescent="0.3">
      <c r="G1781" s="101"/>
      <c r="H1781" s="101"/>
      <c r="I1781" s="101"/>
      <c r="K1781" s="225"/>
      <c r="L1781" s="225"/>
      <c r="M1781" s="114"/>
      <c r="N1781" s="114"/>
    </row>
    <row r="1782" spans="7:14" hidden="1" x14ac:dyDescent="0.3">
      <c r="G1782" s="101"/>
      <c r="H1782" s="101"/>
      <c r="I1782" s="101"/>
      <c r="K1782" s="225"/>
      <c r="L1782" s="225"/>
      <c r="M1782" s="114"/>
      <c r="N1782" s="114"/>
    </row>
    <row r="1783" spans="7:14" hidden="1" x14ac:dyDescent="0.3">
      <c r="G1783" s="101"/>
      <c r="H1783" s="101"/>
      <c r="I1783" s="101"/>
      <c r="K1783" s="225"/>
      <c r="L1783" s="225"/>
      <c r="M1783" s="114"/>
      <c r="N1783" s="114"/>
    </row>
    <row r="1784" spans="7:14" hidden="1" x14ac:dyDescent="0.3">
      <c r="G1784" s="101"/>
      <c r="H1784" s="101"/>
      <c r="I1784" s="101"/>
      <c r="K1784" s="225"/>
      <c r="L1784" s="225"/>
      <c r="M1784" s="114"/>
      <c r="N1784" s="114"/>
    </row>
    <row r="1785" spans="7:14" hidden="1" x14ac:dyDescent="0.3">
      <c r="G1785" s="101"/>
      <c r="H1785" s="101"/>
      <c r="I1785" s="101"/>
      <c r="K1785" s="225"/>
      <c r="L1785" s="225"/>
      <c r="M1785" s="114"/>
      <c r="N1785" s="114"/>
    </row>
    <row r="1786" spans="7:14" hidden="1" x14ac:dyDescent="0.3">
      <c r="G1786" s="101"/>
      <c r="H1786" s="101"/>
      <c r="I1786" s="101"/>
      <c r="K1786" s="225"/>
      <c r="L1786" s="225"/>
      <c r="M1786" s="114"/>
      <c r="N1786" s="114"/>
    </row>
    <row r="1787" spans="7:14" hidden="1" x14ac:dyDescent="0.3">
      <c r="G1787" s="101"/>
      <c r="H1787" s="101"/>
      <c r="I1787" s="101"/>
      <c r="K1787" s="225"/>
      <c r="L1787" s="225"/>
      <c r="M1787" s="114"/>
      <c r="N1787" s="114"/>
    </row>
    <row r="1788" spans="7:14" hidden="1" x14ac:dyDescent="0.3">
      <c r="G1788" s="101"/>
      <c r="H1788" s="101"/>
      <c r="I1788" s="101"/>
      <c r="K1788" s="225"/>
      <c r="L1788" s="225"/>
      <c r="M1788" s="114"/>
      <c r="N1788" s="114"/>
    </row>
    <row r="1789" spans="7:14" hidden="1" x14ac:dyDescent="0.3">
      <c r="G1789" s="101"/>
      <c r="H1789" s="101"/>
      <c r="I1789" s="101"/>
      <c r="K1789" s="225"/>
      <c r="L1789" s="225"/>
      <c r="M1789" s="114"/>
      <c r="N1789" s="114"/>
    </row>
    <row r="1790" spans="7:14" hidden="1" x14ac:dyDescent="0.3">
      <c r="G1790" s="101"/>
      <c r="H1790" s="101"/>
      <c r="I1790" s="101"/>
      <c r="K1790" s="225"/>
      <c r="L1790" s="225"/>
      <c r="M1790" s="114"/>
      <c r="N1790" s="114"/>
    </row>
    <row r="1791" spans="7:14" hidden="1" x14ac:dyDescent="0.3">
      <c r="G1791" s="101"/>
      <c r="H1791" s="101"/>
      <c r="I1791" s="101"/>
      <c r="K1791" s="225"/>
      <c r="L1791" s="225"/>
      <c r="M1791" s="114"/>
      <c r="N1791" s="114"/>
    </row>
    <row r="1792" spans="7:14" hidden="1" x14ac:dyDescent="0.3">
      <c r="G1792" s="101"/>
      <c r="H1792" s="101"/>
      <c r="I1792" s="101"/>
      <c r="K1792" s="225"/>
      <c r="L1792" s="225"/>
      <c r="M1792" s="114"/>
      <c r="N1792" s="114"/>
    </row>
    <row r="1793" spans="7:14" hidden="1" x14ac:dyDescent="0.3">
      <c r="G1793" s="101"/>
      <c r="H1793" s="101"/>
      <c r="I1793" s="101"/>
      <c r="K1793" s="225"/>
      <c r="L1793" s="225"/>
      <c r="M1793" s="114"/>
      <c r="N1793" s="114"/>
    </row>
    <row r="1794" spans="7:14" hidden="1" x14ac:dyDescent="0.3">
      <c r="G1794" s="101"/>
      <c r="H1794" s="101"/>
      <c r="I1794" s="101"/>
      <c r="K1794" s="225"/>
      <c r="L1794" s="225"/>
      <c r="M1794" s="114"/>
      <c r="N1794" s="114"/>
    </row>
    <row r="1795" spans="7:14" hidden="1" x14ac:dyDescent="0.3">
      <c r="G1795" s="101"/>
      <c r="H1795" s="101"/>
      <c r="I1795" s="101"/>
      <c r="K1795" s="225"/>
      <c r="L1795" s="225"/>
      <c r="M1795" s="114"/>
      <c r="N1795" s="114"/>
    </row>
    <row r="1796" spans="7:14" hidden="1" x14ac:dyDescent="0.3">
      <c r="G1796" s="101"/>
      <c r="H1796" s="101"/>
      <c r="I1796" s="101"/>
      <c r="K1796" s="225"/>
      <c r="L1796" s="225"/>
      <c r="M1796" s="114"/>
      <c r="N1796" s="114"/>
    </row>
    <row r="1797" spans="7:14" hidden="1" x14ac:dyDescent="0.3">
      <c r="G1797" s="101"/>
      <c r="H1797" s="101"/>
      <c r="I1797" s="101"/>
      <c r="K1797" s="225"/>
      <c r="L1797" s="225"/>
      <c r="M1797" s="114"/>
      <c r="N1797" s="114"/>
    </row>
    <row r="1798" spans="7:14" hidden="1" x14ac:dyDescent="0.3">
      <c r="G1798" s="101"/>
      <c r="H1798" s="101"/>
      <c r="I1798" s="101"/>
      <c r="K1798" s="225"/>
      <c r="L1798" s="225"/>
      <c r="M1798" s="114"/>
      <c r="N1798" s="114"/>
    </row>
    <row r="1799" spans="7:14" hidden="1" x14ac:dyDescent="0.3">
      <c r="G1799" s="101"/>
      <c r="H1799" s="101"/>
      <c r="I1799" s="101"/>
      <c r="K1799" s="225"/>
      <c r="L1799" s="225"/>
      <c r="M1799" s="114"/>
      <c r="N1799" s="114"/>
    </row>
    <row r="1800" spans="7:14" hidden="1" x14ac:dyDescent="0.3">
      <c r="G1800" s="101"/>
      <c r="H1800" s="101"/>
      <c r="I1800" s="101"/>
      <c r="K1800" s="225"/>
      <c r="L1800" s="225"/>
      <c r="M1800" s="114"/>
      <c r="N1800" s="114"/>
    </row>
    <row r="1801" spans="7:14" hidden="1" x14ac:dyDescent="0.3">
      <c r="G1801" s="101"/>
      <c r="H1801" s="101"/>
      <c r="I1801" s="101"/>
      <c r="K1801" s="225"/>
      <c r="L1801" s="225"/>
      <c r="M1801" s="114"/>
      <c r="N1801" s="114"/>
    </row>
    <row r="1802" spans="7:14" hidden="1" x14ac:dyDescent="0.3">
      <c r="G1802" s="101"/>
      <c r="H1802" s="101"/>
      <c r="I1802" s="101"/>
      <c r="K1802" s="225"/>
      <c r="L1802" s="225"/>
      <c r="M1802" s="114"/>
      <c r="N1802" s="114"/>
    </row>
    <row r="1803" spans="7:14" hidden="1" x14ac:dyDescent="0.3">
      <c r="G1803" s="101"/>
      <c r="H1803" s="101"/>
      <c r="I1803" s="101"/>
      <c r="K1803" s="225"/>
      <c r="L1803" s="225"/>
      <c r="M1803" s="114"/>
      <c r="N1803" s="114"/>
    </row>
    <row r="1804" spans="7:14" hidden="1" x14ac:dyDescent="0.3">
      <c r="G1804" s="101"/>
      <c r="H1804" s="101"/>
      <c r="I1804" s="101"/>
      <c r="K1804" s="225"/>
      <c r="L1804" s="225"/>
      <c r="M1804" s="114"/>
      <c r="N1804" s="114"/>
    </row>
    <row r="1805" spans="7:14" hidden="1" x14ac:dyDescent="0.3">
      <c r="G1805" s="101"/>
      <c r="H1805" s="101"/>
      <c r="I1805" s="101"/>
      <c r="K1805" s="225"/>
      <c r="L1805" s="225"/>
      <c r="M1805" s="114"/>
      <c r="N1805" s="114"/>
    </row>
    <row r="1806" spans="7:14" hidden="1" x14ac:dyDescent="0.3">
      <c r="G1806" s="101"/>
      <c r="H1806" s="101"/>
      <c r="I1806" s="101"/>
      <c r="K1806" s="225"/>
      <c r="L1806" s="225"/>
      <c r="M1806" s="114"/>
      <c r="N1806" s="114"/>
    </row>
    <row r="1807" spans="7:14" hidden="1" x14ac:dyDescent="0.3">
      <c r="G1807" s="101"/>
      <c r="H1807" s="101"/>
      <c r="I1807" s="101"/>
      <c r="K1807" s="225"/>
      <c r="L1807" s="225"/>
      <c r="M1807" s="114"/>
      <c r="N1807" s="114"/>
    </row>
    <row r="1808" spans="7:14" hidden="1" x14ac:dyDescent="0.3">
      <c r="G1808" s="101"/>
      <c r="H1808" s="101"/>
      <c r="I1808" s="101"/>
      <c r="K1808" s="225"/>
      <c r="L1808" s="225"/>
      <c r="M1808" s="114"/>
      <c r="N1808" s="114"/>
    </row>
    <row r="1809" spans="7:14" hidden="1" x14ac:dyDescent="0.3">
      <c r="G1809" s="101"/>
      <c r="H1809" s="101"/>
      <c r="I1809" s="101"/>
      <c r="K1809" s="225"/>
      <c r="L1809" s="225"/>
      <c r="M1809" s="114"/>
      <c r="N1809" s="114"/>
    </row>
    <row r="1810" spans="7:14" hidden="1" x14ac:dyDescent="0.3">
      <c r="G1810" s="101"/>
      <c r="H1810" s="101"/>
      <c r="I1810" s="101"/>
      <c r="K1810" s="225"/>
      <c r="L1810" s="225"/>
      <c r="M1810" s="114"/>
      <c r="N1810" s="114"/>
    </row>
    <row r="1811" spans="7:14" hidden="1" x14ac:dyDescent="0.3">
      <c r="G1811" s="101"/>
      <c r="H1811" s="101"/>
      <c r="I1811" s="101"/>
      <c r="K1811" s="225"/>
      <c r="L1811" s="225"/>
      <c r="M1811" s="114"/>
      <c r="N1811" s="114"/>
    </row>
    <row r="1812" spans="7:14" hidden="1" x14ac:dyDescent="0.3">
      <c r="G1812" s="101"/>
      <c r="H1812" s="101"/>
      <c r="I1812" s="101"/>
      <c r="K1812" s="225"/>
      <c r="L1812" s="225"/>
      <c r="M1812" s="114"/>
      <c r="N1812" s="114"/>
    </row>
    <row r="1813" spans="7:14" hidden="1" x14ac:dyDescent="0.3">
      <c r="G1813" s="101"/>
      <c r="H1813" s="101"/>
      <c r="I1813" s="101"/>
      <c r="K1813" s="225"/>
      <c r="L1813" s="225"/>
      <c r="M1813" s="114"/>
      <c r="N1813" s="114"/>
    </row>
    <row r="1814" spans="7:14" hidden="1" x14ac:dyDescent="0.3">
      <c r="G1814" s="101"/>
      <c r="H1814" s="101"/>
      <c r="I1814" s="101"/>
      <c r="K1814" s="225"/>
      <c r="L1814" s="225"/>
      <c r="M1814" s="114"/>
      <c r="N1814" s="114"/>
    </row>
    <row r="1815" spans="7:14" hidden="1" x14ac:dyDescent="0.3">
      <c r="G1815" s="101"/>
      <c r="H1815" s="101"/>
      <c r="I1815" s="101"/>
      <c r="K1815" s="225"/>
      <c r="L1815" s="225"/>
      <c r="M1815" s="114"/>
      <c r="N1815" s="114"/>
    </row>
    <row r="1816" spans="7:14" hidden="1" x14ac:dyDescent="0.3">
      <c r="G1816" s="101"/>
      <c r="H1816" s="101"/>
      <c r="I1816" s="101"/>
      <c r="K1816" s="225"/>
      <c r="L1816" s="225"/>
      <c r="M1816" s="114"/>
      <c r="N1816" s="114"/>
    </row>
    <row r="1817" spans="7:14" hidden="1" x14ac:dyDescent="0.3">
      <c r="G1817" s="101"/>
      <c r="H1817" s="101"/>
      <c r="I1817" s="101"/>
      <c r="K1817" s="225"/>
      <c r="L1817" s="225"/>
      <c r="M1817" s="114"/>
      <c r="N1817" s="114"/>
    </row>
    <row r="1818" spans="7:14" hidden="1" x14ac:dyDescent="0.3">
      <c r="G1818" s="101"/>
      <c r="H1818" s="101"/>
      <c r="I1818" s="101"/>
      <c r="K1818" s="225"/>
      <c r="L1818" s="225"/>
      <c r="M1818" s="114"/>
      <c r="N1818" s="114"/>
    </row>
    <row r="1819" spans="7:14" hidden="1" x14ac:dyDescent="0.3">
      <c r="G1819" s="101"/>
      <c r="H1819" s="101"/>
      <c r="I1819" s="101"/>
      <c r="K1819" s="225"/>
      <c r="L1819" s="225"/>
      <c r="M1819" s="114"/>
      <c r="N1819" s="114"/>
    </row>
    <row r="1820" spans="7:14" hidden="1" x14ac:dyDescent="0.3">
      <c r="G1820" s="101"/>
      <c r="H1820" s="101"/>
      <c r="I1820" s="101"/>
      <c r="K1820" s="225"/>
      <c r="L1820" s="225"/>
      <c r="M1820" s="114"/>
      <c r="N1820" s="114"/>
    </row>
    <row r="1821" spans="7:14" hidden="1" x14ac:dyDescent="0.3">
      <c r="G1821" s="101"/>
      <c r="H1821" s="101"/>
      <c r="I1821" s="101"/>
      <c r="K1821" s="225"/>
      <c r="L1821" s="225"/>
      <c r="M1821" s="114"/>
      <c r="N1821" s="114"/>
    </row>
    <row r="1822" spans="7:14" hidden="1" x14ac:dyDescent="0.3">
      <c r="G1822" s="101"/>
      <c r="H1822" s="101"/>
      <c r="I1822" s="101"/>
      <c r="K1822" s="225"/>
      <c r="L1822" s="225"/>
      <c r="M1822" s="114"/>
      <c r="N1822" s="114"/>
    </row>
    <row r="1823" spans="7:14" hidden="1" x14ac:dyDescent="0.3">
      <c r="G1823" s="101"/>
      <c r="H1823" s="101"/>
      <c r="I1823" s="101"/>
      <c r="K1823" s="225"/>
      <c r="L1823" s="225"/>
      <c r="M1823" s="114"/>
      <c r="N1823" s="114"/>
    </row>
    <row r="1824" spans="7:14" hidden="1" x14ac:dyDescent="0.3">
      <c r="G1824" s="101"/>
      <c r="H1824" s="101"/>
      <c r="I1824" s="101"/>
      <c r="K1824" s="225"/>
      <c r="L1824" s="225"/>
      <c r="M1824" s="114"/>
      <c r="N1824" s="114"/>
    </row>
    <row r="1825" spans="7:14" hidden="1" x14ac:dyDescent="0.3">
      <c r="G1825" s="101"/>
      <c r="H1825" s="101"/>
      <c r="I1825" s="101"/>
      <c r="K1825" s="225"/>
      <c r="L1825" s="225"/>
      <c r="M1825" s="114"/>
      <c r="N1825" s="114"/>
    </row>
    <row r="1826" spans="7:14" hidden="1" x14ac:dyDescent="0.3">
      <c r="G1826" s="101"/>
      <c r="H1826" s="101"/>
      <c r="I1826" s="101"/>
      <c r="K1826" s="225"/>
      <c r="L1826" s="225"/>
      <c r="M1826" s="114"/>
      <c r="N1826" s="114"/>
    </row>
    <row r="1827" spans="7:14" hidden="1" x14ac:dyDescent="0.3">
      <c r="G1827" s="101"/>
      <c r="H1827" s="101"/>
      <c r="I1827" s="101"/>
      <c r="K1827" s="225"/>
      <c r="L1827" s="225"/>
      <c r="M1827" s="114"/>
      <c r="N1827" s="114"/>
    </row>
    <row r="1828" spans="7:14" hidden="1" x14ac:dyDescent="0.3">
      <c r="G1828" s="101"/>
      <c r="H1828" s="101"/>
      <c r="I1828" s="101"/>
      <c r="K1828" s="225"/>
      <c r="L1828" s="225"/>
      <c r="M1828" s="114"/>
      <c r="N1828" s="114"/>
    </row>
    <row r="1829" spans="7:14" hidden="1" x14ac:dyDescent="0.3">
      <c r="G1829" s="101"/>
      <c r="H1829" s="101"/>
      <c r="I1829" s="101"/>
      <c r="K1829" s="225"/>
      <c r="L1829" s="225"/>
      <c r="M1829" s="114"/>
      <c r="N1829" s="114"/>
    </row>
    <row r="1830" spans="7:14" hidden="1" x14ac:dyDescent="0.3">
      <c r="G1830" s="101"/>
      <c r="H1830" s="101"/>
      <c r="I1830" s="101"/>
      <c r="K1830" s="225"/>
      <c r="L1830" s="225"/>
      <c r="M1830" s="114"/>
      <c r="N1830" s="114"/>
    </row>
    <row r="1831" spans="7:14" hidden="1" x14ac:dyDescent="0.3">
      <c r="G1831" s="101"/>
      <c r="H1831" s="101"/>
      <c r="I1831" s="101"/>
      <c r="K1831" s="225"/>
      <c r="L1831" s="225"/>
      <c r="M1831" s="114"/>
      <c r="N1831" s="114"/>
    </row>
    <row r="1832" spans="7:14" hidden="1" x14ac:dyDescent="0.3">
      <c r="G1832" s="101"/>
      <c r="H1832" s="101"/>
      <c r="I1832" s="101"/>
      <c r="K1832" s="225"/>
      <c r="L1832" s="225"/>
      <c r="M1832" s="114"/>
      <c r="N1832" s="114"/>
    </row>
    <row r="1833" spans="7:14" hidden="1" x14ac:dyDescent="0.3">
      <c r="G1833" s="101"/>
      <c r="H1833" s="101"/>
      <c r="I1833" s="101"/>
      <c r="K1833" s="225"/>
      <c r="L1833" s="225"/>
      <c r="M1833" s="114"/>
      <c r="N1833" s="114"/>
    </row>
    <row r="1834" spans="7:14" hidden="1" x14ac:dyDescent="0.3">
      <c r="G1834" s="101"/>
      <c r="H1834" s="101"/>
      <c r="I1834" s="101"/>
      <c r="K1834" s="225"/>
      <c r="L1834" s="225"/>
      <c r="M1834" s="114"/>
      <c r="N1834" s="114"/>
    </row>
    <row r="1835" spans="7:14" hidden="1" x14ac:dyDescent="0.3">
      <c r="G1835" s="101"/>
      <c r="H1835" s="101"/>
      <c r="I1835" s="101"/>
      <c r="K1835" s="225"/>
      <c r="L1835" s="225"/>
      <c r="M1835" s="114"/>
      <c r="N1835" s="114"/>
    </row>
    <row r="1836" spans="7:14" hidden="1" x14ac:dyDescent="0.3">
      <c r="G1836" s="101"/>
      <c r="H1836" s="101"/>
      <c r="I1836" s="101"/>
      <c r="K1836" s="225"/>
      <c r="L1836" s="225"/>
      <c r="M1836" s="114"/>
      <c r="N1836" s="114"/>
    </row>
    <row r="1837" spans="7:14" hidden="1" x14ac:dyDescent="0.3">
      <c r="G1837" s="101"/>
      <c r="H1837" s="101"/>
      <c r="I1837" s="101"/>
      <c r="K1837" s="225"/>
      <c r="L1837" s="225"/>
      <c r="M1837" s="114"/>
      <c r="N1837" s="114"/>
    </row>
    <row r="1838" spans="7:14" hidden="1" x14ac:dyDescent="0.3">
      <c r="G1838" s="101"/>
      <c r="H1838" s="101"/>
      <c r="I1838" s="101"/>
      <c r="K1838" s="225"/>
      <c r="L1838" s="225"/>
      <c r="M1838" s="114"/>
      <c r="N1838" s="114"/>
    </row>
    <row r="1839" spans="7:14" hidden="1" x14ac:dyDescent="0.3">
      <c r="G1839" s="101"/>
      <c r="H1839" s="101"/>
      <c r="I1839" s="101"/>
      <c r="K1839" s="225"/>
      <c r="L1839" s="225"/>
      <c r="M1839" s="114"/>
      <c r="N1839" s="114"/>
    </row>
    <row r="1840" spans="7:14" hidden="1" x14ac:dyDescent="0.3">
      <c r="G1840" s="101"/>
      <c r="H1840" s="101"/>
      <c r="I1840" s="101"/>
      <c r="K1840" s="225"/>
      <c r="L1840" s="225"/>
      <c r="M1840" s="114"/>
      <c r="N1840" s="114"/>
    </row>
    <row r="1841" spans="7:14" hidden="1" x14ac:dyDescent="0.3">
      <c r="G1841" s="101"/>
      <c r="H1841" s="101"/>
      <c r="I1841" s="101"/>
      <c r="K1841" s="225"/>
      <c r="L1841" s="225"/>
      <c r="M1841" s="114"/>
      <c r="N1841" s="114"/>
    </row>
    <row r="1842" spans="7:14" hidden="1" x14ac:dyDescent="0.3">
      <c r="G1842" s="101"/>
      <c r="H1842" s="101"/>
      <c r="I1842" s="101"/>
      <c r="K1842" s="225"/>
      <c r="L1842" s="225"/>
      <c r="M1842" s="114"/>
      <c r="N1842" s="114"/>
    </row>
    <row r="1843" spans="7:14" hidden="1" x14ac:dyDescent="0.3">
      <c r="G1843" s="101"/>
      <c r="H1843" s="101"/>
      <c r="I1843" s="101"/>
      <c r="K1843" s="225"/>
      <c r="L1843" s="225"/>
      <c r="M1843" s="114"/>
      <c r="N1843" s="114"/>
    </row>
    <row r="1844" spans="7:14" hidden="1" x14ac:dyDescent="0.3">
      <c r="G1844" s="101"/>
      <c r="H1844" s="101"/>
      <c r="I1844" s="101"/>
      <c r="K1844" s="225"/>
      <c r="L1844" s="225"/>
      <c r="M1844" s="114"/>
      <c r="N1844" s="114"/>
    </row>
    <row r="1845" spans="7:14" hidden="1" x14ac:dyDescent="0.3">
      <c r="G1845" s="101"/>
      <c r="H1845" s="101"/>
      <c r="I1845" s="101"/>
      <c r="K1845" s="225"/>
      <c r="L1845" s="225"/>
      <c r="M1845" s="114"/>
      <c r="N1845" s="114"/>
    </row>
    <row r="1846" spans="7:14" hidden="1" x14ac:dyDescent="0.3">
      <c r="G1846" s="101"/>
      <c r="H1846" s="101"/>
      <c r="I1846" s="101"/>
      <c r="K1846" s="225"/>
      <c r="L1846" s="225"/>
      <c r="M1846" s="114"/>
      <c r="N1846" s="114"/>
    </row>
    <row r="1847" spans="7:14" hidden="1" x14ac:dyDescent="0.3">
      <c r="G1847" s="101"/>
      <c r="H1847" s="101"/>
      <c r="I1847" s="101"/>
      <c r="K1847" s="225"/>
      <c r="L1847" s="225"/>
      <c r="M1847" s="114"/>
      <c r="N1847" s="114"/>
    </row>
    <row r="1848" spans="7:14" hidden="1" x14ac:dyDescent="0.3">
      <c r="G1848" s="101"/>
      <c r="H1848" s="101"/>
      <c r="I1848" s="101"/>
      <c r="K1848" s="225"/>
      <c r="L1848" s="225"/>
      <c r="M1848" s="114"/>
      <c r="N1848" s="114"/>
    </row>
    <row r="1849" spans="7:14" hidden="1" x14ac:dyDescent="0.3">
      <c r="G1849" s="101"/>
      <c r="H1849" s="101"/>
      <c r="I1849" s="101"/>
      <c r="K1849" s="225"/>
      <c r="L1849" s="225"/>
      <c r="M1849" s="114"/>
      <c r="N1849" s="114"/>
    </row>
    <row r="1850" spans="7:14" hidden="1" x14ac:dyDescent="0.3">
      <c r="G1850" s="101"/>
      <c r="H1850" s="101"/>
      <c r="I1850" s="101"/>
      <c r="K1850" s="225"/>
      <c r="L1850" s="225"/>
      <c r="M1850" s="114"/>
      <c r="N1850" s="114"/>
    </row>
    <row r="1851" spans="7:14" hidden="1" x14ac:dyDescent="0.3">
      <c r="G1851" s="101"/>
      <c r="H1851" s="101"/>
      <c r="I1851" s="101"/>
      <c r="K1851" s="225"/>
      <c r="L1851" s="225"/>
      <c r="M1851" s="114"/>
      <c r="N1851" s="114"/>
    </row>
    <row r="1852" spans="7:14" hidden="1" x14ac:dyDescent="0.3">
      <c r="G1852" s="101"/>
      <c r="H1852" s="101"/>
      <c r="I1852" s="101"/>
      <c r="K1852" s="225"/>
      <c r="L1852" s="225"/>
      <c r="M1852" s="114"/>
      <c r="N1852" s="114"/>
    </row>
    <row r="1853" spans="7:14" hidden="1" x14ac:dyDescent="0.3">
      <c r="G1853" s="101"/>
      <c r="H1853" s="101"/>
      <c r="I1853" s="101"/>
      <c r="K1853" s="225"/>
      <c r="L1853" s="225"/>
      <c r="M1853" s="114"/>
      <c r="N1853" s="114"/>
    </row>
    <row r="1854" spans="7:14" hidden="1" x14ac:dyDescent="0.3">
      <c r="G1854" s="101"/>
      <c r="H1854" s="101"/>
      <c r="I1854" s="101"/>
      <c r="K1854" s="225"/>
      <c r="L1854" s="225"/>
      <c r="M1854" s="114"/>
      <c r="N1854" s="114"/>
    </row>
    <row r="1855" spans="7:14" hidden="1" x14ac:dyDescent="0.3">
      <c r="G1855" s="101"/>
      <c r="H1855" s="101"/>
      <c r="I1855" s="101"/>
      <c r="K1855" s="225"/>
      <c r="L1855" s="225"/>
      <c r="M1855" s="114"/>
      <c r="N1855" s="114"/>
    </row>
    <row r="1856" spans="7:14" hidden="1" x14ac:dyDescent="0.3">
      <c r="G1856" s="101"/>
      <c r="H1856" s="101"/>
      <c r="I1856" s="101"/>
      <c r="K1856" s="225"/>
      <c r="L1856" s="225"/>
      <c r="M1856" s="114"/>
      <c r="N1856" s="114"/>
    </row>
    <row r="1857" spans="7:14" hidden="1" x14ac:dyDescent="0.3">
      <c r="G1857" s="101"/>
      <c r="H1857" s="101"/>
      <c r="I1857" s="101"/>
      <c r="K1857" s="225"/>
      <c r="L1857" s="225"/>
      <c r="M1857" s="114"/>
      <c r="N1857" s="114"/>
    </row>
    <row r="1858" spans="7:14" hidden="1" x14ac:dyDescent="0.3">
      <c r="G1858" s="101"/>
      <c r="H1858" s="101"/>
      <c r="I1858" s="101"/>
      <c r="K1858" s="225"/>
      <c r="L1858" s="225"/>
      <c r="M1858" s="114"/>
      <c r="N1858" s="114"/>
    </row>
    <row r="1859" spans="7:14" hidden="1" x14ac:dyDescent="0.3">
      <c r="G1859" s="101"/>
      <c r="H1859" s="101"/>
      <c r="I1859" s="101"/>
      <c r="K1859" s="225"/>
      <c r="L1859" s="225"/>
      <c r="M1859" s="114"/>
      <c r="N1859" s="114"/>
    </row>
    <row r="1860" spans="7:14" hidden="1" x14ac:dyDescent="0.3">
      <c r="G1860" s="101"/>
      <c r="H1860" s="101"/>
      <c r="I1860" s="101"/>
      <c r="K1860" s="225"/>
      <c r="L1860" s="225"/>
      <c r="M1860" s="114"/>
      <c r="N1860" s="114"/>
    </row>
    <row r="1861" spans="7:14" hidden="1" x14ac:dyDescent="0.3">
      <c r="G1861" s="101"/>
      <c r="H1861" s="101"/>
      <c r="I1861" s="101"/>
      <c r="K1861" s="225"/>
      <c r="L1861" s="225"/>
      <c r="M1861" s="114"/>
      <c r="N1861" s="114"/>
    </row>
    <row r="1862" spans="7:14" hidden="1" x14ac:dyDescent="0.3">
      <c r="G1862" s="101"/>
      <c r="H1862" s="101"/>
      <c r="I1862" s="101"/>
      <c r="K1862" s="225"/>
      <c r="L1862" s="225"/>
      <c r="M1862" s="114"/>
      <c r="N1862" s="114"/>
    </row>
    <row r="1863" spans="7:14" hidden="1" x14ac:dyDescent="0.3">
      <c r="G1863" s="101"/>
      <c r="H1863" s="101"/>
      <c r="I1863" s="101"/>
      <c r="K1863" s="225"/>
      <c r="L1863" s="225"/>
      <c r="M1863" s="114"/>
      <c r="N1863" s="114"/>
    </row>
    <row r="1864" spans="7:14" hidden="1" x14ac:dyDescent="0.3">
      <c r="G1864" s="101"/>
      <c r="H1864" s="101"/>
      <c r="I1864" s="101"/>
      <c r="K1864" s="225"/>
      <c r="L1864" s="225"/>
      <c r="M1864" s="114"/>
      <c r="N1864" s="114"/>
    </row>
    <row r="1865" spans="7:14" hidden="1" x14ac:dyDescent="0.3">
      <c r="G1865" s="101"/>
      <c r="H1865" s="101"/>
      <c r="I1865" s="101"/>
      <c r="K1865" s="225"/>
      <c r="L1865" s="225"/>
      <c r="M1865" s="114"/>
      <c r="N1865" s="114"/>
    </row>
    <row r="1866" spans="7:14" hidden="1" x14ac:dyDescent="0.3">
      <c r="G1866" s="101"/>
      <c r="H1866" s="101"/>
      <c r="I1866" s="101"/>
      <c r="K1866" s="225"/>
      <c r="L1866" s="225"/>
      <c r="M1866" s="114"/>
      <c r="N1866" s="114"/>
    </row>
    <row r="1867" spans="7:14" hidden="1" x14ac:dyDescent="0.3">
      <c r="G1867" s="101"/>
      <c r="H1867" s="101"/>
      <c r="I1867" s="101"/>
      <c r="K1867" s="225"/>
      <c r="L1867" s="225"/>
      <c r="M1867" s="114"/>
      <c r="N1867" s="114"/>
    </row>
    <row r="1868" spans="7:14" hidden="1" x14ac:dyDescent="0.3">
      <c r="G1868" s="101"/>
      <c r="H1868" s="101"/>
      <c r="I1868" s="101"/>
      <c r="K1868" s="225"/>
      <c r="L1868" s="225"/>
      <c r="M1868" s="114"/>
      <c r="N1868" s="114"/>
    </row>
    <row r="1869" spans="7:14" hidden="1" x14ac:dyDescent="0.3">
      <c r="G1869" s="101"/>
      <c r="H1869" s="101"/>
      <c r="I1869" s="101"/>
      <c r="K1869" s="225"/>
      <c r="L1869" s="225"/>
      <c r="M1869" s="114"/>
      <c r="N1869" s="114"/>
    </row>
    <row r="1870" spans="7:14" hidden="1" x14ac:dyDescent="0.3">
      <c r="G1870" s="101"/>
      <c r="H1870" s="101"/>
      <c r="I1870" s="101"/>
      <c r="K1870" s="225"/>
      <c r="L1870" s="225"/>
      <c r="M1870" s="114"/>
      <c r="N1870" s="114"/>
    </row>
    <row r="1871" spans="7:14" hidden="1" x14ac:dyDescent="0.3">
      <c r="G1871" s="101"/>
      <c r="H1871" s="101"/>
      <c r="I1871" s="101"/>
      <c r="K1871" s="225"/>
      <c r="L1871" s="225"/>
      <c r="M1871" s="114"/>
      <c r="N1871" s="114"/>
    </row>
    <row r="1872" spans="7:14" hidden="1" x14ac:dyDescent="0.3">
      <c r="G1872" s="101"/>
      <c r="H1872" s="101"/>
      <c r="I1872" s="101"/>
      <c r="K1872" s="225"/>
      <c r="L1872" s="225"/>
      <c r="M1872" s="114"/>
      <c r="N1872" s="114"/>
    </row>
    <row r="1873" spans="7:14" hidden="1" x14ac:dyDescent="0.3">
      <c r="G1873" s="101"/>
      <c r="H1873" s="101"/>
      <c r="I1873" s="101"/>
      <c r="K1873" s="225"/>
      <c r="L1873" s="225"/>
      <c r="M1873" s="114"/>
      <c r="N1873" s="114"/>
    </row>
    <row r="1874" spans="7:14" hidden="1" x14ac:dyDescent="0.3">
      <c r="G1874" s="101"/>
      <c r="H1874" s="101"/>
      <c r="I1874" s="101"/>
      <c r="K1874" s="225"/>
      <c r="L1874" s="225"/>
      <c r="M1874" s="114"/>
      <c r="N1874" s="114"/>
    </row>
    <row r="1875" spans="7:14" hidden="1" x14ac:dyDescent="0.3">
      <c r="G1875" s="101"/>
      <c r="H1875" s="101"/>
      <c r="I1875" s="101"/>
      <c r="K1875" s="225"/>
      <c r="L1875" s="225"/>
      <c r="M1875" s="114"/>
      <c r="N1875" s="114"/>
    </row>
    <row r="1876" spans="7:14" hidden="1" x14ac:dyDescent="0.3">
      <c r="G1876" s="101"/>
      <c r="H1876" s="101"/>
      <c r="I1876" s="101"/>
      <c r="K1876" s="225"/>
      <c r="L1876" s="225"/>
      <c r="M1876" s="114"/>
      <c r="N1876" s="114"/>
    </row>
    <row r="1877" spans="7:14" hidden="1" x14ac:dyDescent="0.3">
      <c r="G1877" s="101"/>
      <c r="H1877" s="101"/>
      <c r="I1877" s="101"/>
      <c r="K1877" s="225"/>
      <c r="L1877" s="225"/>
      <c r="M1877" s="114"/>
      <c r="N1877" s="114"/>
    </row>
    <row r="1878" spans="7:14" hidden="1" x14ac:dyDescent="0.3">
      <c r="G1878" s="101"/>
      <c r="H1878" s="101"/>
      <c r="I1878" s="101"/>
      <c r="K1878" s="225"/>
      <c r="L1878" s="225"/>
      <c r="M1878" s="114"/>
      <c r="N1878" s="114"/>
    </row>
    <row r="1879" spans="7:14" hidden="1" x14ac:dyDescent="0.3">
      <c r="G1879" s="101"/>
      <c r="H1879" s="101"/>
      <c r="I1879" s="101"/>
      <c r="K1879" s="225"/>
      <c r="L1879" s="225"/>
      <c r="M1879" s="114"/>
      <c r="N1879" s="114"/>
    </row>
    <row r="1880" spans="7:14" hidden="1" x14ac:dyDescent="0.3">
      <c r="G1880" s="101"/>
      <c r="H1880" s="101"/>
      <c r="I1880" s="101"/>
      <c r="K1880" s="225"/>
      <c r="L1880" s="225"/>
      <c r="M1880" s="114"/>
      <c r="N1880" s="114"/>
    </row>
    <row r="1881" spans="7:14" hidden="1" x14ac:dyDescent="0.3">
      <c r="G1881" s="101"/>
      <c r="H1881" s="101"/>
      <c r="I1881" s="101"/>
      <c r="K1881" s="225"/>
      <c r="L1881" s="225"/>
      <c r="M1881" s="114"/>
      <c r="N1881" s="114"/>
    </row>
    <row r="1882" spans="7:14" hidden="1" x14ac:dyDescent="0.3">
      <c r="G1882" s="101"/>
      <c r="H1882" s="101"/>
      <c r="I1882" s="101"/>
      <c r="K1882" s="225"/>
      <c r="L1882" s="225"/>
      <c r="M1882" s="114"/>
      <c r="N1882" s="114"/>
    </row>
    <row r="1883" spans="7:14" hidden="1" x14ac:dyDescent="0.3">
      <c r="G1883" s="101"/>
      <c r="H1883" s="101"/>
      <c r="I1883" s="101"/>
      <c r="K1883" s="225"/>
      <c r="L1883" s="225"/>
      <c r="M1883" s="114"/>
      <c r="N1883" s="114"/>
    </row>
    <row r="1884" spans="7:14" hidden="1" x14ac:dyDescent="0.3">
      <c r="G1884" s="101"/>
      <c r="H1884" s="101"/>
      <c r="I1884" s="101"/>
      <c r="K1884" s="225"/>
      <c r="L1884" s="225"/>
      <c r="M1884" s="114"/>
      <c r="N1884" s="114"/>
    </row>
    <row r="1885" spans="7:14" hidden="1" x14ac:dyDescent="0.3">
      <c r="G1885" s="101"/>
      <c r="H1885" s="101"/>
      <c r="I1885" s="101"/>
      <c r="K1885" s="225"/>
      <c r="L1885" s="225"/>
      <c r="M1885" s="114"/>
      <c r="N1885" s="114"/>
    </row>
    <row r="1886" spans="7:14" hidden="1" x14ac:dyDescent="0.3">
      <c r="G1886" s="101"/>
      <c r="H1886" s="101"/>
      <c r="I1886" s="101"/>
      <c r="K1886" s="225"/>
      <c r="L1886" s="225"/>
      <c r="M1886" s="114"/>
      <c r="N1886" s="114"/>
    </row>
    <row r="1887" spans="7:14" hidden="1" x14ac:dyDescent="0.3">
      <c r="G1887" s="101"/>
      <c r="H1887" s="101"/>
      <c r="I1887" s="101"/>
      <c r="K1887" s="225"/>
      <c r="L1887" s="225"/>
      <c r="M1887" s="114"/>
      <c r="N1887" s="114"/>
    </row>
    <row r="1888" spans="7:14" hidden="1" x14ac:dyDescent="0.3">
      <c r="G1888" s="101"/>
      <c r="H1888" s="101"/>
      <c r="I1888" s="101"/>
      <c r="K1888" s="225"/>
      <c r="L1888" s="225"/>
      <c r="M1888" s="114"/>
      <c r="N1888" s="114"/>
    </row>
    <row r="1889" spans="7:14" hidden="1" x14ac:dyDescent="0.3">
      <c r="G1889" s="101"/>
      <c r="H1889" s="101"/>
      <c r="I1889" s="101"/>
      <c r="K1889" s="225"/>
      <c r="L1889" s="225"/>
      <c r="M1889" s="114"/>
      <c r="N1889" s="114"/>
    </row>
    <row r="1890" spans="7:14" hidden="1" x14ac:dyDescent="0.3">
      <c r="G1890" s="101"/>
      <c r="H1890" s="101"/>
      <c r="I1890" s="101"/>
      <c r="K1890" s="225"/>
      <c r="L1890" s="225"/>
      <c r="M1890" s="114"/>
      <c r="N1890" s="114"/>
    </row>
    <row r="1891" spans="7:14" hidden="1" x14ac:dyDescent="0.3">
      <c r="G1891" s="101"/>
      <c r="H1891" s="101"/>
      <c r="I1891" s="101"/>
      <c r="K1891" s="225"/>
      <c r="L1891" s="225"/>
      <c r="M1891" s="114"/>
      <c r="N1891" s="114"/>
    </row>
    <row r="1892" spans="7:14" hidden="1" x14ac:dyDescent="0.3">
      <c r="G1892" s="101"/>
      <c r="H1892" s="101"/>
      <c r="I1892" s="101"/>
      <c r="K1892" s="225"/>
      <c r="L1892" s="225"/>
      <c r="M1892" s="114"/>
      <c r="N1892" s="114"/>
    </row>
    <row r="1893" spans="7:14" hidden="1" x14ac:dyDescent="0.3">
      <c r="G1893" s="101"/>
      <c r="H1893" s="101"/>
      <c r="I1893" s="101"/>
      <c r="K1893" s="225"/>
      <c r="L1893" s="225"/>
      <c r="M1893" s="114"/>
      <c r="N1893" s="114"/>
    </row>
    <row r="1894" spans="7:14" hidden="1" x14ac:dyDescent="0.3">
      <c r="G1894" s="101"/>
      <c r="H1894" s="101"/>
      <c r="I1894" s="101"/>
      <c r="K1894" s="225"/>
      <c r="L1894" s="225"/>
      <c r="M1894" s="114"/>
      <c r="N1894" s="114"/>
    </row>
    <row r="1895" spans="7:14" hidden="1" x14ac:dyDescent="0.3">
      <c r="G1895" s="101"/>
      <c r="H1895" s="101"/>
      <c r="I1895" s="101"/>
      <c r="K1895" s="225"/>
      <c r="L1895" s="225"/>
      <c r="M1895" s="114"/>
      <c r="N1895" s="114"/>
    </row>
    <row r="1896" spans="7:14" hidden="1" x14ac:dyDescent="0.3">
      <c r="G1896" s="101"/>
      <c r="H1896" s="101"/>
      <c r="I1896" s="101"/>
      <c r="K1896" s="225"/>
      <c r="L1896" s="225"/>
      <c r="M1896" s="114"/>
      <c r="N1896" s="114"/>
    </row>
    <row r="1897" spans="7:14" hidden="1" x14ac:dyDescent="0.3">
      <c r="G1897" s="101"/>
      <c r="H1897" s="101"/>
      <c r="I1897" s="101"/>
      <c r="K1897" s="225"/>
      <c r="L1897" s="225"/>
      <c r="M1897" s="114"/>
      <c r="N1897" s="114"/>
    </row>
    <row r="1898" spans="7:14" hidden="1" x14ac:dyDescent="0.3">
      <c r="G1898" s="101"/>
      <c r="H1898" s="101"/>
      <c r="I1898" s="101"/>
      <c r="K1898" s="225"/>
      <c r="L1898" s="225"/>
      <c r="M1898" s="114"/>
      <c r="N1898" s="114"/>
    </row>
    <row r="1899" spans="7:14" hidden="1" x14ac:dyDescent="0.3">
      <c r="G1899" s="101"/>
      <c r="H1899" s="101"/>
      <c r="I1899" s="101"/>
      <c r="K1899" s="225"/>
      <c r="L1899" s="225"/>
      <c r="M1899" s="114"/>
      <c r="N1899" s="114"/>
    </row>
    <row r="1900" spans="7:14" hidden="1" x14ac:dyDescent="0.3">
      <c r="G1900" s="101"/>
      <c r="H1900" s="101"/>
      <c r="I1900" s="101"/>
      <c r="K1900" s="225"/>
      <c r="L1900" s="225"/>
      <c r="M1900" s="114"/>
      <c r="N1900" s="114"/>
    </row>
    <row r="1901" spans="7:14" hidden="1" x14ac:dyDescent="0.3">
      <c r="G1901" s="101"/>
      <c r="H1901" s="101"/>
      <c r="I1901" s="101"/>
      <c r="K1901" s="225"/>
      <c r="L1901" s="225"/>
      <c r="M1901" s="114"/>
      <c r="N1901" s="114"/>
    </row>
    <row r="1902" spans="7:14" hidden="1" x14ac:dyDescent="0.3">
      <c r="G1902" s="101"/>
      <c r="H1902" s="101"/>
      <c r="I1902" s="101"/>
      <c r="K1902" s="225"/>
      <c r="L1902" s="225"/>
      <c r="M1902" s="114"/>
      <c r="N1902" s="114"/>
    </row>
    <row r="1903" spans="7:14" hidden="1" x14ac:dyDescent="0.3">
      <c r="G1903" s="101"/>
      <c r="H1903" s="101"/>
      <c r="I1903" s="101"/>
      <c r="K1903" s="225"/>
      <c r="L1903" s="225"/>
      <c r="M1903" s="114"/>
      <c r="N1903" s="114"/>
    </row>
    <row r="1904" spans="7:14" hidden="1" x14ac:dyDescent="0.3">
      <c r="G1904" s="101"/>
      <c r="H1904" s="101"/>
      <c r="I1904" s="101"/>
      <c r="K1904" s="225"/>
      <c r="L1904" s="225"/>
      <c r="M1904" s="114"/>
      <c r="N1904" s="114"/>
    </row>
    <row r="1905" spans="7:14" hidden="1" x14ac:dyDescent="0.3">
      <c r="G1905" s="101"/>
      <c r="H1905" s="101"/>
      <c r="I1905" s="101"/>
      <c r="K1905" s="225"/>
      <c r="L1905" s="225"/>
      <c r="M1905" s="114"/>
      <c r="N1905" s="114"/>
    </row>
    <row r="1906" spans="7:14" hidden="1" x14ac:dyDescent="0.3">
      <c r="G1906" s="101"/>
      <c r="H1906" s="101"/>
      <c r="I1906" s="101"/>
      <c r="K1906" s="225"/>
      <c r="L1906" s="225"/>
      <c r="M1906" s="114"/>
      <c r="N1906" s="114"/>
    </row>
    <row r="1907" spans="7:14" hidden="1" x14ac:dyDescent="0.3">
      <c r="G1907" s="101"/>
      <c r="H1907" s="101"/>
      <c r="I1907" s="101"/>
      <c r="K1907" s="225"/>
      <c r="L1907" s="225"/>
      <c r="M1907" s="114"/>
      <c r="N1907" s="114"/>
    </row>
    <row r="1908" spans="7:14" hidden="1" x14ac:dyDescent="0.3">
      <c r="G1908" s="101"/>
      <c r="H1908" s="101"/>
      <c r="I1908" s="101"/>
      <c r="K1908" s="225"/>
      <c r="L1908" s="225"/>
      <c r="M1908" s="114"/>
      <c r="N1908" s="114"/>
    </row>
    <row r="1909" spans="7:14" hidden="1" x14ac:dyDescent="0.3">
      <c r="G1909" s="101"/>
      <c r="H1909" s="101"/>
      <c r="I1909" s="101"/>
      <c r="K1909" s="225"/>
      <c r="L1909" s="225"/>
      <c r="M1909" s="114"/>
      <c r="N1909" s="114"/>
    </row>
    <row r="1910" spans="7:14" hidden="1" x14ac:dyDescent="0.3">
      <c r="G1910" s="101"/>
      <c r="H1910" s="101"/>
      <c r="I1910" s="101"/>
      <c r="K1910" s="225"/>
      <c r="L1910" s="225"/>
      <c r="M1910" s="114"/>
      <c r="N1910" s="114"/>
    </row>
    <row r="1911" spans="7:14" hidden="1" x14ac:dyDescent="0.3">
      <c r="G1911" s="101"/>
      <c r="H1911" s="101"/>
      <c r="I1911" s="101"/>
      <c r="K1911" s="225"/>
      <c r="L1911" s="225"/>
      <c r="M1911" s="114"/>
      <c r="N1911" s="114"/>
    </row>
    <row r="1912" spans="7:14" hidden="1" x14ac:dyDescent="0.3">
      <c r="G1912" s="101"/>
      <c r="H1912" s="101"/>
      <c r="I1912" s="101"/>
      <c r="K1912" s="225"/>
      <c r="L1912" s="225"/>
      <c r="M1912" s="114"/>
      <c r="N1912" s="114"/>
    </row>
    <row r="1913" spans="7:14" hidden="1" x14ac:dyDescent="0.3">
      <c r="G1913" s="101"/>
      <c r="H1913" s="101"/>
      <c r="I1913" s="101"/>
      <c r="K1913" s="225"/>
      <c r="L1913" s="225"/>
      <c r="M1913" s="114"/>
      <c r="N1913" s="114"/>
    </row>
    <row r="1914" spans="7:14" hidden="1" x14ac:dyDescent="0.3">
      <c r="G1914" s="101"/>
      <c r="H1914" s="101"/>
      <c r="I1914" s="101"/>
      <c r="K1914" s="225"/>
      <c r="L1914" s="225"/>
      <c r="M1914" s="114"/>
      <c r="N1914" s="114"/>
    </row>
    <row r="1915" spans="7:14" hidden="1" x14ac:dyDescent="0.3">
      <c r="G1915" s="101"/>
      <c r="H1915" s="101"/>
      <c r="I1915" s="101"/>
      <c r="K1915" s="225"/>
      <c r="L1915" s="225"/>
      <c r="M1915" s="114"/>
      <c r="N1915" s="114"/>
    </row>
    <row r="1916" spans="7:14" hidden="1" x14ac:dyDescent="0.3">
      <c r="G1916" s="101"/>
      <c r="H1916" s="101"/>
      <c r="I1916" s="101"/>
      <c r="K1916" s="225"/>
      <c r="L1916" s="225"/>
      <c r="M1916" s="114"/>
      <c r="N1916" s="114"/>
    </row>
    <row r="1917" spans="7:14" hidden="1" x14ac:dyDescent="0.3">
      <c r="G1917" s="101"/>
      <c r="H1917" s="101"/>
      <c r="I1917" s="101"/>
      <c r="K1917" s="225"/>
      <c r="L1917" s="225"/>
      <c r="M1917" s="114"/>
      <c r="N1917" s="114"/>
    </row>
    <row r="1918" spans="7:14" hidden="1" x14ac:dyDescent="0.3">
      <c r="G1918" s="101"/>
      <c r="H1918" s="101"/>
      <c r="I1918" s="101"/>
      <c r="K1918" s="225"/>
      <c r="L1918" s="225"/>
      <c r="M1918" s="114"/>
      <c r="N1918" s="114"/>
    </row>
    <row r="1919" spans="7:14" hidden="1" x14ac:dyDescent="0.3">
      <c r="G1919" s="101"/>
      <c r="H1919" s="101"/>
      <c r="I1919" s="101"/>
      <c r="K1919" s="225"/>
      <c r="L1919" s="225"/>
      <c r="M1919" s="114"/>
      <c r="N1919" s="114"/>
    </row>
    <row r="1920" spans="7:14" hidden="1" x14ac:dyDescent="0.3">
      <c r="G1920" s="101"/>
      <c r="H1920" s="101"/>
      <c r="I1920" s="101"/>
      <c r="K1920" s="225"/>
      <c r="L1920" s="225"/>
      <c r="M1920" s="114"/>
      <c r="N1920" s="114"/>
    </row>
    <row r="1921" spans="7:14" hidden="1" x14ac:dyDescent="0.3">
      <c r="G1921" s="101"/>
      <c r="H1921" s="101"/>
      <c r="I1921" s="101"/>
      <c r="K1921" s="225"/>
      <c r="L1921" s="225"/>
      <c r="M1921" s="114"/>
      <c r="N1921" s="114"/>
    </row>
    <row r="1922" spans="7:14" hidden="1" x14ac:dyDescent="0.3">
      <c r="G1922" s="101"/>
      <c r="H1922" s="101"/>
      <c r="I1922" s="101"/>
      <c r="K1922" s="225"/>
      <c r="L1922" s="225"/>
      <c r="M1922" s="114"/>
      <c r="N1922" s="114"/>
    </row>
    <row r="1923" spans="7:14" hidden="1" x14ac:dyDescent="0.3">
      <c r="G1923" s="101"/>
      <c r="H1923" s="101"/>
      <c r="I1923" s="101"/>
      <c r="K1923" s="225"/>
      <c r="L1923" s="225"/>
      <c r="M1923" s="114"/>
      <c r="N1923" s="114"/>
    </row>
    <row r="1924" spans="7:14" hidden="1" x14ac:dyDescent="0.3">
      <c r="G1924" s="101"/>
      <c r="H1924" s="101"/>
      <c r="I1924" s="101"/>
      <c r="K1924" s="225"/>
      <c r="L1924" s="225"/>
      <c r="M1924" s="114"/>
      <c r="N1924" s="114"/>
    </row>
    <row r="1925" spans="7:14" hidden="1" x14ac:dyDescent="0.3">
      <c r="G1925" s="101"/>
      <c r="H1925" s="101"/>
      <c r="I1925" s="101"/>
      <c r="K1925" s="225"/>
      <c r="L1925" s="225"/>
      <c r="M1925" s="114"/>
      <c r="N1925" s="114"/>
    </row>
    <row r="1926" spans="7:14" hidden="1" x14ac:dyDescent="0.3">
      <c r="G1926" s="101"/>
      <c r="H1926" s="101"/>
      <c r="I1926" s="101"/>
      <c r="K1926" s="225"/>
      <c r="L1926" s="225"/>
      <c r="M1926" s="114"/>
      <c r="N1926" s="114"/>
    </row>
    <row r="1927" spans="7:14" hidden="1" x14ac:dyDescent="0.3">
      <c r="G1927" s="101"/>
      <c r="H1927" s="101"/>
      <c r="I1927" s="101"/>
      <c r="K1927" s="225"/>
      <c r="L1927" s="225"/>
      <c r="M1927" s="114"/>
      <c r="N1927" s="114"/>
    </row>
    <row r="1928" spans="7:14" hidden="1" x14ac:dyDescent="0.3">
      <c r="G1928" s="101"/>
      <c r="H1928" s="101"/>
      <c r="I1928" s="101"/>
      <c r="K1928" s="225"/>
      <c r="L1928" s="225"/>
      <c r="M1928" s="114"/>
      <c r="N1928" s="114"/>
    </row>
    <row r="1929" spans="7:14" hidden="1" x14ac:dyDescent="0.3">
      <c r="G1929" s="101"/>
      <c r="H1929" s="101"/>
      <c r="I1929" s="101"/>
      <c r="K1929" s="225"/>
      <c r="L1929" s="225"/>
      <c r="M1929" s="114"/>
      <c r="N1929" s="114"/>
    </row>
    <row r="1930" spans="7:14" hidden="1" x14ac:dyDescent="0.3">
      <c r="G1930" s="101"/>
      <c r="H1930" s="101"/>
      <c r="I1930" s="101"/>
      <c r="K1930" s="225"/>
      <c r="L1930" s="225"/>
      <c r="M1930" s="114"/>
      <c r="N1930" s="114"/>
    </row>
    <row r="1931" spans="7:14" hidden="1" x14ac:dyDescent="0.3">
      <c r="G1931" s="101"/>
      <c r="H1931" s="101"/>
      <c r="I1931" s="101"/>
      <c r="K1931" s="225"/>
      <c r="L1931" s="225"/>
      <c r="M1931" s="114"/>
      <c r="N1931" s="114"/>
    </row>
    <row r="1932" spans="7:14" hidden="1" x14ac:dyDescent="0.3">
      <c r="G1932" s="101"/>
      <c r="H1932" s="101"/>
      <c r="I1932" s="101"/>
      <c r="K1932" s="225"/>
      <c r="L1932" s="225"/>
      <c r="M1932" s="114"/>
      <c r="N1932" s="114"/>
    </row>
    <row r="1933" spans="7:14" hidden="1" x14ac:dyDescent="0.3">
      <c r="G1933" s="101"/>
      <c r="H1933" s="101"/>
      <c r="I1933" s="101"/>
      <c r="K1933" s="225"/>
      <c r="L1933" s="225"/>
      <c r="M1933" s="114"/>
      <c r="N1933" s="114"/>
    </row>
    <row r="1934" spans="7:14" hidden="1" x14ac:dyDescent="0.3">
      <c r="G1934" s="101"/>
      <c r="H1934" s="101"/>
      <c r="I1934" s="101"/>
      <c r="K1934" s="225"/>
      <c r="L1934" s="225"/>
      <c r="M1934" s="114"/>
      <c r="N1934" s="114"/>
    </row>
    <row r="1935" spans="7:14" hidden="1" x14ac:dyDescent="0.3">
      <c r="G1935" s="101"/>
      <c r="H1935" s="101"/>
      <c r="I1935" s="101"/>
      <c r="K1935" s="225"/>
      <c r="L1935" s="225"/>
      <c r="M1935" s="114"/>
      <c r="N1935" s="114"/>
    </row>
    <row r="1936" spans="7:14" hidden="1" x14ac:dyDescent="0.3">
      <c r="G1936" s="101"/>
      <c r="H1936" s="101"/>
      <c r="I1936" s="101"/>
      <c r="K1936" s="225"/>
      <c r="L1936" s="225"/>
      <c r="M1936" s="114"/>
      <c r="N1936" s="114"/>
    </row>
    <row r="1937" spans="7:14" hidden="1" x14ac:dyDescent="0.3">
      <c r="G1937" s="101"/>
      <c r="H1937" s="101"/>
      <c r="I1937" s="101"/>
      <c r="K1937" s="225"/>
      <c r="L1937" s="225"/>
      <c r="M1937" s="114"/>
      <c r="N1937" s="114"/>
    </row>
    <row r="1938" spans="7:14" hidden="1" x14ac:dyDescent="0.3">
      <c r="G1938" s="101"/>
      <c r="H1938" s="101"/>
      <c r="I1938" s="101"/>
      <c r="K1938" s="225"/>
      <c r="L1938" s="225"/>
      <c r="M1938" s="114"/>
      <c r="N1938" s="114"/>
    </row>
    <row r="1939" spans="7:14" hidden="1" x14ac:dyDescent="0.3">
      <c r="G1939" s="101"/>
      <c r="H1939" s="101"/>
      <c r="I1939" s="101"/>
      <c r="K1939" s="225"/>
      <c r="L1939" s="225"/>
      <c r="M1939" s="114"/>
      <c r="N1939" s="114"/>
    </row>
    <row r="1940" spans="7:14" hidden="1" x14ac:dyDescent="0.3">
      <c r="G1940" s="101"/>
      <c r="H1940" s="101"/>
      <c r="I1940" s="101"/>
      <c r="K1940" s="225"/>
      <c r="L1940" s="225"/>
      <c r="M1940" s="114"/>
      <c r="N1940" s="114"/>
    </row>
    <row r="1941" spans="7:14" hidden="1" x14ac:dyDescent="0.3">
      <c r="G1941" s="101"/>
      <c r="H1941" s="101"/>
      <c r="I1941" s="101"/>
      <c r="K1941" s="225"/>
      <c r="L1941" s="225"/>
      <c r="M1941" s="114"/>
      <c r="N1941" s="114"/>
    </row>
    <row r="1942" spans="7:14" hidden="1" x14ac:dyDescent="0.3">
      <c r="G1942" s="101"/>
      <c r="H1942" s="101"/>
      <c r="I1942" s="101"/>
      <c r="K1942" s="225"/>
      <c r="L1942" s="225"/>
      <c r="M1942" s="114"/>
      <c r="N1942" s="114"/>
    </row>
    <row r="1943" spans="7:14" hidden="1" x14ac:dyDescent="0.3">
      <c r="G1943" s="101"/>
      <c r="H1943" s="101"/>
      <c r="I1943" s="101"/>
      <c r="K1943" s="225"/>
      <c r="L1943" s="225"/>
      <c r="M1943" s="114"/>
      <c r="N1943" s="114"/>
    </row>
    <row r="1944" spans="7:14" hidden="1" x14ac:dyDescent="0.3">
      <c r="G1944" s="101"/>
      <c r="H1944" s="101"/>
      <c r="I1944" s="101"/>
      <c r="K1944" s="225"/>
      <c r="L1944" s="225"/>
      <c r="M1944" s="114"/>
      <c r="N1944" s="114"/>
    </row>
    <row r="1945" spans="7:14" hidden="1" x14ac:dyDescent="0.3">
      <c r="G1945" s="101"/>
      <c r="H1945" s="101"/>
      <c r="I1945" s="101"/>
      <c r="K1945" s="225"/>
      <c r="L1945" s="225"/>
      <c r="M1945" s="114"/>
      <c r="N1945" s="114"/>
    </row>
    <row r="1946" spans="7:14" hidden="1" x14ac:dyDescent="0.3">
      <c r="G1946" s="101"/>
      <c r="H1946" s="101"/>
      <c r="I1946" s="101"/>
      <c r="K1946" s="225"/>
      <c r="L1946" s="225"/>
      <c r="M1946" s="114"/>
      <c r="N1946" s="114"/>
    </row>
    <row r="1947" spans="7:14" hidden="1" x14ac:dyDescent="0.3">
      <c r="G1947" s="101"/>
      <c r="H1947" s="101"/>
      <c r="I1947" s="101"/>
      <c r="K1947" s="225"/>
      <c r="L1947" s="225"/>
      <c r="M1947" s="114"/>
      <c r="N1947" s="114"/>
    </row>
    <row r="1948" spans="7:14" hidden="1" x14ac:dyDescent="0.3">
      <c r="G1948" s="101"/>
      <c r="H1948" s="101"/>
      <c r="I1948" s="101"/>
      <c r="K1948" s="225"/>
      <c r="L1948" s="225"/>
      <c r="M1948" s="114"/>
      <c r="N1948" s="114"/>
    </row>
    <row r="1949" spans="7:14" hidden="1" x14ac:dyDescent="0.3">
      <c r="G1949" s="101"/>
      <c r="H1949" s="101"/>
      <c r="I1949" s="101"/>
      <c r="K1949" s="225"/>
      <c r="L1949" s="225"/>
      <c r="M1949" s="114"/>
      <c r="N1949" s="114"/>
    </row>
    <row r="1950" spans="7:14" hidden="1" x14ac:dyDescent="0.3">
      <c r="G1950" s="101"/>
      <c r="H1950" s="101"/>
      <c r="I1950" s="101"/>
      <c r="K1950" s="225"/>
      <c r="L1950" s="225"/>
      <c r="M1950" s="114"/>
      <c r="N1950" s="114"/>
    </row>
    <row r="1951" spans="7:14" hidden="1" x14ac:dyDescent="0.3">
      <c r="G1951" s="101"/>
      <c r="H1951" s="101"/>
      <c r="I1951" s="101"/>
      <c r="K1951" s="225"/>
      <c r="L1951" s="225"/>
      <c r="M1951" s="114"/>
      <c r="N1951" s="114"/>
    </row>
    <row r="1952" spans="7:14" hidden="1" x14ac:dyDescent="0.3">
      <c r="G1952" s="101"/>
      <c r="H1952" s="101"/>
      <c r="I1952" s="101"/>
      <c r="K1952" s="225"/>
      <c r="L1952" s="225"/>
      <c r="M1952" s="114"/>
      <c r="N1952" s="114"/>
    </row>
    <row r="1953" spans="7:14" hidden="1" x14ac:dyDescent="0.3">
      <c r="G1953" s="101"/>
      <c r="H1953" s="101"/>
      <c r="I1953" s="101"/>
      <c r="K1953" s="225"/>
      <c r="L1953" s="225"/>
      <c r="M1953" s="114"/>
      <c r="N1953" s="114"/>
    </row>
    <row r="1954" spans="7:14" hidden="1" x14ac:dyDescent="0.3">
      <c r="G1954" s="101"/>
      <c r="H1954" s="101"/>
      <c r="I1954" s="101"/>
      <c r="K1954" s="225"/>
      <c r="L1954" s="225"/>
      <c r="M1954" s="114"/>
      <c r="N1954" s="114"/>
    </row>
    <row r="1955" spans="7:14" hidden="1" x14ac:dyDescent="0.3">
      <c r="G1955" s="101"/>
      <c r="H1955" s="101"/>
      <c r="I1955" s="101"/>
      <c r="K1955" s="225"/>
      <c r="L1955" s="225"/>
      <c r="M1955" s="114"/>
      <c r="N1955" s="114"/>
    </row>
    <row r="1956" spans="7:14" hidden="1" x14ac:dyDescent="0.3">
      <c r="G1956" s="101"/>
      <c r="H1956" s="101"/>
      <c r="I1956" s="101"/>
      <c r="K1956" s="225"/>
      <c r="L1956" s="225"/>
      <c r="M1956" s="114"/>
      <c r="N1956" s="114"/>
    </row>
    <row r="1957" spans="7:14" hidden="1" x14ac:dyDescent="0.3">
      <c r="G1957" s="101"/>
      <c r="H1957" s="101"/>
      <c r="I1957" s="101"/>
      <c r="K1957" s="225"/>
      <c r="L1957" s="225"/>
      <c r="M1957" s="114"/>
      <c r="N1957" s="114"/>
    </row>
    <row r="1958" spans="7:14" hidden="1" x14ac:dyDescent="0.3">
      <c r="G1958" s="101"/>
      <c r="H1958" s="101"/>
      <c r="I1958" s="101"/>
      <c r="K1958" s="225"/>
      <c r="L1958" s="225"/>
      <c r="M1958" s="114"/>
      <c r="N1958" s="114"/>
    </row>
    <row r="1959" spans="7:14" hidden="1" x14ac:dyDescent="0.3">
      <c r="G1959" s="101"/>
      <c r="H1959" s="101"/>
      <c r="I1959" s="101"/>
      <c r="K1959" s="225"/>
      <c r="L1959" s="225"/>
      <c r="M1959" s="114"/>
      <c r="N1959" s="114"/>
    </row>
    <row r="1960" spans="7:14" hidden="1" x14ac:dyDescent="0.3">
      <c r="G1960" s="101"/>
      <c r="H1960" s="101"/>
      <c r="I1960" s="101"/>
      <c r="K1960" s="225"/>
      <c r="L1960" s="225"/>
      <c r="M1960" s="114"/>
      <c r="N1960" s="114"/>
    </row>
    <row r="1961" spans="7:14" hidden="1" x14ac:dyDescent="0.3">
      <c r="G1961" s="101"/>
      <c r="H1961" s="101"/>
      <c r="I1961" s="101"/>
      <c r="K1961" s="225"/>
      <c r="L1961" s="225"/>
      <c r="M1961" s="114"/>
      <c r="N1961" s="114"/>
    </row>
    <row r="1962" spans="7:14" hidden="1" x14ac:dyDescent="0.3">
      <c r="G1962" s="101"/>
      <c r="H1962" s="101"/>
      <c r="I1962" s="101"/>
      <c r="K1962" s="225"/>
      <c r="L1962" s="225"/>
      <c r="M1962" s="114"/>
      <c r="N1962" s="114"/>
    </row>
    <row r="1963" spans="7:14" hidden="1" x14ac:dyDescent="0.3">
      <c r="G1963" s="101"/>
      <c r="H1963" s="101"/>
      <c r="I1963" s="101"/>
      <c r="K1963" s="225"/>
      <c r="L1963" s="225"/>
      <c r="M1963" s="114"/>
      <c r="N1963" s="114"/>
    </row>
    <row r="1964" spans="7:14" hidden="1" x14ac:dyDescent="0.3">
      <c r="G1964" s="101"/>
      <c r="H1964" s="101"/>
      <c r="I1964" s="101"/>
      <c r="K1964" s="225"/>
      <c r="L1964" s="225"/>
      <c r="M1964" s="114"/>
      <c r="N1964" s="114"/>
    </row>
    <row r="1965" spans="7:14" hidden="1" x14ac:dyDescent="0.3">
      <c r="G1965" s="101"/>
      <c r="H1965" s="101"/>
      <c r="I1965" s="101"/>
      <c r="K1965" s="225"/>
      <c r="L1965" s="225"/>
      <c r="M1965" s="114"/>
      <c r="N1965" s="114"/>
    </row>
    <row r="1966" spans="7:14" hidden="1" x14ac:dyDescent="0.3">
      <c r="G1966" s="101"/>
      <c r="H1966" s="101"/>
      <c r="I1966" s="101"/>
      <c r="K1966" s="225"/>
      <c r="L1966" s="225"/>
      <c r="M1966" s="114"/>
      <c r="N1966" s="114"/>
    </row>
    <row r="1967" spans="7:14" hidden="1" x14ac:dyDescent="0.3">
      <c r="G1967" s="101"/>
      <c r="H1967" s="101"/>
      <c r="I1967" s="101"/>
      <c r="K1967" s="225"/>
      <c r="L1967" s="225"/>
      <c r="M1967" s="114"/>
      <c r="N1967" s="114"/>
    </row>
    <row r="1968" spans="7:14" hidden="1" x14ac:dyDescent="0.3">
      <c r="G1968" s="101"/>
      <c r="H1968" s="101"/>
      <c r="I1968" s="101"/>
      <c r="K1968" s="225"/>
      <c r="L1968" s="225"/>
      <c r="M1968" s="114"/>
      <c r="N1968" s="114"/>
    </row>
    <row r="1969" spans="7:14" hidden="1" x14ac:dyDescent="0.3">
      <c r="G1969" s="101"/>
      <c r="H1969" s="101"/>
      <c r="I1969" s="101"/>
      <c r="K1969" s="225"/>
      <c r="L1969" s="225"/>
      <c r="M1969" s="114"/>
      <c r="N1969" s="114"/>
    </row>
    <row r="1970" spans="7:14" hidden="1" x14ac:dyDescent="0.3">
      <c r="G1970" s="101"/>
      <c r="H1970" s="101"/>
      <c r="I1970" s="101"/>
      <c r="K1970" s="225"/>
      <c r="L1970" s="225"/>
      <c r="M1970" s="114"/>
      <c r="N1970" s="114"/>
    </row>
    <row r="1971" spans="7:14" hidden="1" x14ac:dyDescent="0.3">
      <c r="G1971" s="101"/>
      <c r="H1971" s="101"/>
      <c r="I1971" s="101"/>
      <c r="K1971" s="225"/>
      <c r="L1971" s="225"/>
      <c r="M1971" s="114"/>
      <c r="N1971" s="114"/>
    </row>
    <row r="1972" spans="7:14" hidden="1" x14ac:dyDescent="0.3">
      <c r="G1972" s="101"/>
      <c r="H1972" s="101"/>
      <c r="I1972" s="101"/>
      <c r="K1972" s="225"/>
      <c r="L1972" s="225"/>
      <c r="M1972" s="114"/>
      <c r="N1972" s="114"/>
    </row>
    <row r="1973" spans="7:14" hidden="1" x14ac:dyDescent="0.3">
      <c r="G1973" s="101"/>
      <c r="H1973" s="101"/>
      <c r="I1973" s="101"/>
      <c r="K1973" s="225"/>
      <c r="L1973" s="225"/>
      <c r="M1973" s="114"/>
      <c r="N1973" s="114"/>
    </row>
    <row r="1974" spans="7:14" hidden="1" x14ac:dyDescent="0.3">
      <c r="G1974" s="101"/>
      <c r="H1974" s="101"/>
      <c r="I1974" s="101"/>
      <c r="K1974" s="225"/>
      <c r="L1974" s="225"/>
      <c r="M1974" s="114"/>
      <c r="N1974" s="114"/>
    </row>
    <row r="1975" spans="7:14" hidden="1" x14ac:dyDescent="0.3">
      <c r="G1975" s="101"/>
      <c r="H1975" s="101"/>
      <c r="I1975" s="101"/>
      <c r="K1975" s="225"/>
      <c r="L1975" s="225"/>
      <c r="M1975" s="114"/>
      <c r="N1975" s="114"/>
    </row>
    <row r="1976" spans="7:14" hidden="1" x14ac:dyDescent="0.3">
      <c r="G1976" s="101"/>
      <c r="H1976" s="101"/>
      <c r="I1976" s="101"/>
      <c r="K1976" s="225"/>
      <c r="L1976" s="225"/>
      <c r="M1976" s="114"/>
      <c r="N1976" s="114"/>
    </row>
    <row r="1977" spans="7:14" hidden="1" x14ac:dyDescent="0.3">
      <c r="G1977" s="101"/>
      <c r="H1977" s="101"/>
      <c r="I1977" s="101"/>
      <c r="K1977" s="225"/>
      <c r="L1977" s="225"/>
      <c r="M1977" s="114"/>
      <c r="N1977" s="114"/>
    </row>
    <row r="1978" spans="7:14" hidden="1" x14ac:dyDescent="0.3">
      <c r="G1978" s="101"/>
      <c r="H1978" s="101"/>
      <c r="I1978" s="101"/>
      <c r="K1978" s="225"/>
      <c r="L1978" s="225"/>
      <c r="M1978" s="114"/>
      <c r="N1978" s="114"/>
    </row>
    <row r="1979" spans="7:14" hidden="1" x14ac:dyDescent="0.3">
      <c r="G1979" s="101"/>
      <c r="H1979" s="101"/>
      <c r="I1979" s="101"/>
      <c r="K1979" s="225"/>
      <c r="L1979" s="225"/>
      <c r="M1979" s="114"/>
      <c r="N1979" s="114"/>
    </row>
    <row r="1980" spans="7:14" hidden="1" x14ac:dyDescent="0.3">
      <c r="G1980" s="101"/>
      <c r="H1980" s="101"/>
      <c r="I1980" s="101"/>
      <c r="K1980" s="225"/>
      <c r="L1980" s="225"/>
      <c r="M1980" s="114"/>
      <c r="N1980" s="114"/>
    </row>
    <row r="1981" spans="7:14" hidden="1" x14ac:dyDescent="0.3">
      <c r="G1981" s="101"/>
      <c r="H1981" s="101"/>
      <c r="I1981" s="101"/>
      <c r="K1981" s="225"/>
      <c r="L1981" s="225"/>
      <c r="M1981" s="114"/>
      <c r="N1981" s="114"/>
    </row>
    <row r="1982" spans="7:14" hidden="1" x14ac:dyDescent="0.3">
      <c r="G1982" s="101"/>
      <c r="H1982" s="101"/>
      <c r="I1982" s="101"/>
      <c r="K1982" s="225"/>
      <c r="L1982" s="225"/>
      <c r="M1982" s="114"/>
      <c r="N1982" s="114"/>
    </row>
    <row r="1983" spans="7:14" hidden="1" x14ac:dyDescent="0.3">
      <c r="G1983" s="101"/>
      <c r="H1983" s="101"/>
      <c r="I1983" s="101"/>
      <c r="K1983" s="225"/>
      <c r="L1983" s="225"/>
      <c r="M1983" s="114"/>
      <c r="N1983" s="114"/>
    </row>
    <row r="1984" spans="7:14" hidden="1" x14ac:dyDescent="0.3">
      <c r="G1984" s="101"/>
      <c r="H1984" s="101"/>
      <c r="I1984" s="101"/>
      <c r="K1984" s="225"/>
      <c r="L1984" s="225"/>
      <c r="M1984" s="114"/>
      <c r="N1984" s="114"/>
    </row>
    <row r="1985" spans="7:14" hidden="1" x14ac:dyDescent="0.3">
      <c r="G1985" s="101"/>
      <c r="H1985" s="101"/>
      <c r="I1985" s="101"/>
      <c r="K1985" s="225"/>
      <c r="L1985" s="225"/>
      <c r="M1985" s="114"/>
      <c r="N1985" s="114"/>
    </row>
    <row r="1986" spans="7:14" hidden="1" x14ac:dyDescent="0.3">
      <c r="G1986" s="101"/>
      <c r="H1986" s="101"/>
      <c r="I1986" s="101"/>
      <c r="K1986" s="225"/>
      <c r="L1986" s="225"/>
      <c r="M1986" s="114"/>
      <c r="N1986" s="114"/>
    </row>
    <row r="1987" spans="7:14" hidden="1" x14ac:dyDescent="0.3">
      <c r="G1987" s="101"/>
      <c r="H1987" s="101"/>
      <c r="I1987" s="101"/>
      <c r="K1987" s="225"/>
      <c r="L1987" s="225"/>
      <c r="M1987" s="114"/>
      <c r="N1987" s="114"/>
    </row>
    <row r="1988" spans="7:14" hidden="1" x14ac:dyDescent="0.3">
      <c r="G1988" s="101"/>
      <c r="H1988" s="101"/>
      <c r="I1988" s="101"/>
      <c r="K1988" s="225"/>
      <c r="L1988" s="225"/>
      <c r="M1988" s="114"/>
      <c r="N1988" s="114"/>
    </row>
    <row r="1989" spans="7:14" hidden="1" x14ac:dyDescent="0.3">
      <c r="G1989" s="101"/>
      <c r="H1989" s="101"/>
      <c r="I1989" s="101"/>
      <c r="K1989" s="225"/>
      <c r="L1989" s="225"/>
      <c r="M1989" s="114"/>
      <c r="N1989" s="114"/>
    </row>
    <row r="1990" spans="7:14" hidden="1" x14ac:dyDescent="0.3">
      <c r="G1990" s="101"/>
      <c r="H1990" s="101"/>
      <c r="I1990" s="101"/>
      <c r="K1990" s="225"/>
      <c r="L1990" s="225"/>
      <c r="M1990" s="114"/>
      <c r="N1990" s="114"/>
    </row>
    <row r="1991" spans="7:14" hidden="1" x14ac:dyDescent="0.3">
      <c r="G1991" s="101"/>
      <c r="H1991" s="101"/>
      <c r="I1991" s="101"/>
      <c r="K1991" s="225"/>
      <c r="L1991" s="225"/>
      <c r="M1991" s="114"/>
      <c r="N1991" s="114"/>
    </row>
    <row r="1992" spans="7:14" hidden="1" x14ac:dyDescent="0.3">
      <c r="G1992" s="101"/>
      <c r="H1992" s="101"/>
      <c r="I1992" s="101"/>
      <c r="K1992" s="225"/>
      <c r="L1992" s="225"/>
      <c r="M1992" s="114"/>
      <c r="N1992" s="114"/>
    </row>
    <row r="1993" spans="7:14" hidden="1" x14ac:dyDescent="0.3">
      <c r="G1993" s="101"/>
      <c r="H1993" s="101"/>
      <c r="I1993" s="101"/>
      <c r="K1993" s="225"/>
      <c r="L1993" s="225"/>
      <c r="M1993" s="114"/>
      <c r="N1993" s="114"/>
    </row>
    <row r="1994" spans="7:14" hidden="1" x14ac:dyDescent="0.3">
      <c r="G1994" s="101"/>
      <c r="H1994" s="101"/>
      <c r="I1994" s="101"/>
      <c r="K1994" s="225"/>
      <c r="L1994" s="225"/>
      <c r="M1994" s="114"/>
      <c r="N1994" s="114"/>
    </row>
    <row r="1995" spans="7:14" hidden="1" x14ac:dyDescent="0.3">
      <c r="G1995" s="101"/>
      <c r="H1995" s="101"/>
      <c r="I1995" s="101"/>
      <c r="K1995" s="225"/>
      <c r="L1995" s="225"/>
      <c r="M1995" s="114"/>
      <c r="N1995" s="114"/>
    </row>
    <row r="1996" spans="7:14" hidden="1" x14ac:dyDescent="0.3">
      <c r="G1996" s="101"/>
      <c r="H1996" s="101"/>
      <c r="I1996" s="101"/>
      <c r="K1996" s="225"/>
      <c r="L1996" s="225"/>
      <c r="M1996" s="114"/>
      <c r="N1996" s="114"/>
    </row>
    <row r="1997" spans="7:14" hidden="1" x14ac:dyDescent="0.3">
      <c r="G1997" s="101"/>
      <c r="H1997" s="101"/>
      <c r="I1997" s="101"/>
      <c r="K1997" s="225"/>
      <c r="L1997" s="225"/>
      <c r="M1997" s="114"/>
      <c r="N1997" s="114"/>
    </row>
    <row r="1998" spans="7:14" hidden="1" x14ac:dyDescent="0.3">
      <c r="G1998" s="101"/>
      <c r="H1998" s="101"/>
      <c r="I1998" s="101"/>
      <c r="K1998" s="225"/>
      <c r="L1998" s="225"/>
      <c r="M1998" s="114"/>
      <c r="N1998" s="114"/>
    </row>
    <row r="1999" spans="7:14" hidden="1" x14ac:dyDescent="0.3">
      <c r="G1999" s="101"/>
      <c r="H1999" s="101"/>
      <c r="I1999" s="101"/>
      <c r="K1999" s="225"/>
      <c r="L1999" s="225"/>
      <c r="M1999" s="114"/>
      <c r="N1999" s="114"/>
    </row>
    <row r="2000" spans="7:14" hidden="1" x14ac:dyDescent="0.3">
      <c r="G2000" s="101"/>
      <c r="H2000" s="101"/>
      <c r="I2000" s="101"/>
      <c r="K2000" s="225"/>
      <c r="L2000" s="225"/>
      <c r="M2000" s="114"/>
      <c r="N2000" s="114"/>
    </row>
    <row r="2001" spans="7:14" hidden="1" x14ac:dyDescent="0.3">
      <c r="G2001" s="101"/>
      <c r="H2001" s="101"/>
      <c r="I2001" s="101"/>
      <c r="K2001" s="225"/>
      <c r="L2001" s="225"/>
      <c r="M2001" s="114"/>
      <c r="N2001" s="114"/>
    </row>
    <row r="2002" spans="7:14" hidden="1" x14ac:dyDescent="0.3">
      <c r="G2002" s="101"/>
      <c r="H2002" s="101"/>
      <c r="I2002" s="101"/>
      <c r="K2002" s="225"/>
      <c r="L2002" s="225"/>
      <c r="M2002" s="114"/>
      <c r="N2002" s="114"/>
    </row>
    <row r="2003" spans="7:14" hidden="1" x14ac:dyDescent="0.3">
      <c r="G2003" s="101"/>
      <c r="H2003" s="101"/>
      <c r="I2003" s="101"/>
      <c r="K2003" s="225"/>
      <c r="L2003" s="225"/>
      <c r="M2003" s="114"/>
      <c r="N2003" s="114"/>
    </row>
    <row r="2004" spans="7:14" hidden="1" x14ac:dyDescent="0.3">
      <c r="G2004" s="101"/>
      <c r="H2004" s="101"/>
      <c r="I2004" s="101"/>
      <c r="K2004" s="225"/>
      <c r="L2004" s="225"/>
      <c r="M2004" s="114"/>
      <c r="N2004" s="114"/>
    </row>
    <row r="2005" spans="7:14" hidden="1" x14ac:dyDescent="0.3">
      <c r="G2005" s="101"/>
      <c r="H2005" s="101"/>
      <c r="I2005" s="101"/>
      <c r="K2005" s="225"/>
      <c r="L2005" s="225"/>
      <c r="M2005" s="114"/>
      <c r="N2005" s="114"/>
    </row>
    <row r="2006" spans="7:14" hidden="1" x14ac:dyDescent="0.3">
      <c r="G2006" s="101"/>
      <c r="H2006" s="101"/>
      <c r="I2006" s="101"/>
      <c r="K2006" s="225"/>
      <c r="L2006" s="225"/>
      <c r="M2006" s="114"/>
      <c r="N2006" s="114"/>
    </row>
    <row r="2007" spans="7:14" hidden="1" x14ac:dyDescent="0.3">
      <c r="G2007" s="101"/>
      <c r="H2007" s="101"/>
      <c r="I2007" s="101"/>
      <c r="K2007" s="225"/>
      <c r="L2007" s="225"/>
      <c r="M2007" s="114"/>
      <c r="N2007" s="114"/>
    </row>
    <row r="2008" spans="7:14" hidden="1" x14ac:dyDescent="0.3">
      <c r="G2008" s="101"/>
      <c r="H2008" s="101"/>
      <c r="I2008" s="101"/>
      <c r="K2008" s="225"/>
      <c r="L2008" s="225"/>
      <c r="M2008" s="114"/>
      <c r="N2008" s="114"/>
    </row>
    <row r="2009" spans="7:14" hidden="1" x14ac:dyDescent="0.3">
      <c r="G2009" s="101"/>
      <c r="H2009" s="101"/>
      <c r="I2009" s="101"/>
      <c r="K2009" s="225"/>
      <c r="L2009" s="225"/>
      <c r="M2009" s="114"/>
      <c r="N2009" s="114"/>
    </row>
    <row r="2010" spans="7:14" hidden="1" x14ac:dyDescent="0.3">
      <c r="G2010" s="101"/>
      <c r="H2010" s="101"/>
      <c r="I2010" s="101"/>
      <c r="K2010" s="225"/>
      <c r="L2010" s="225"/>
      <c r="M2010" s="114"/>
      <c r="N2010" s="114"/>
    </row>
    <row r="2011" spans="7:14" hidden="1" x14ac:dyDescent="0.3">
      <c r="G2011" s="101"/>
      <c r="H2011" s="101"/>
      <c r="I2011" s="101"/>
      <c r="K2011" s="226"/>
      <c r="L2011" s="226"/>
      <c r="M2011" s="101"/>
      <c r="N2011" s="101"/>
    </row>
    <row r="2012" spans="7:14" hidden="1" x14ac:dyDescent="0.3">
      <c r="G2012" s="101"/>
      <c r="H2012" s="101"/>
      <c r="I2012" s="101"/>
      <c r="K2012" s="226"/>
      <c r="L2012" s="226"/>
      <c r="M2012" s="101"/>
      <c r="N2012" s="101"/>
    </row>
    <row r="2013" spans="7:14" hidden="1" x14ac:dyDescent="0.3">
      <c r="G2013" s="101"/>
      <c r="H2013" s="101"/>
      <c r="I2013" s="101"/>
      <c r="K2013" s="226"/>
      <c r="L2013" s="226"/>
      <c r="M2013" s="101"/>
      <c r="N2013" s="101"/>
    </row>
    <row r="2014" spans="7:14" hidden="1" x14ac:dyDescent="0.3">
      <c r="G2014" s="101"/>
      <c r="H2014" s="101"/>
      <c r="I2014" s="101"/>
      <c r="K2014" s="226"/>
      <c r="L2014" s="226"/>
      <c r="M2014" s="101"/>
      <c r="N2014" s="101"/>
    </row>
    <row r="2015" spans="7:14" hidden="1" x14ac:dyDescent="0.3">
      <c r="G2015" s="101"/>
      <c r="H2015" s="101"/>
      <c r="I2015" s="101"/>
      <c r="K2015" s="226"/>
      <c r="L2015" s="226"/>
      <c r="M2015" s="101"/>
      <c r="N2015" s="101"/>
    </row>
    <row r="2016" spans="7:14" hidden="1" x14ac:dyDescent="0.3">
      <c r="G2016" s="101"/>
      <c r="H2016" s="101"/>
      <c r="I2016" s="101"/>
      <c r="K2016" s="226"/>
      <c r="L2016" s="226"/>
      <c r="M2016" s="101"/>
      <c r="N2016" s="101"/>
    </row>
    <row r="2017" spans="7:14" hidden="1" x14ac:dyDescent="0.3">
      <c r="G2017" s="101"/>
      <c r="H2017" s="101"/>
      <c r="I2017" s="101"/>
      <c r="K2017" s="226"/>
      <c r="L2017" s="226"/>
      <c r="M2017" s="101"/>
      <c r="N2017" s="101"/>
    </row>
    <row r="2018" spans="7:14" hidden="1" x14ac:dyDescent="0.3">
      <c r="G2018" s="101"/>
      <c r="H2018" s="101"/>
      <c r="I2018" s="101"/>
      <c r="K2018" s="226"/>
      <c r="L2018" s="226"/>
      <c r="M2018" s="101"/>
      <c r="N2018" s="101"/>
    </row>
    <row r="2019" spans="7:14" hidden="1" x14ac:dyDescent="0.3">
      <c r="G2019" s="101"/>
      <c r="H2019" s="101"/>
      <c r="I2019" s="101"/>
      <c r="K2019" s="226"/>
      <c r="L2019" s="226"/>
      <c r="M2019" s="101"/>
      <c r="N2019" s="101"/>
    </row>
    <row r="2020" spans="7:14" hidden="1" x14ac:dyDescent="0.3">
      <c r="G2020" s="101"/>
      <c r="H2020" s="101"/>
      <c r="I2020" s="101"/>
      <c r="K2020" s="226"/>
      <c r="L2020" s="226"/>
      <c r="M2020" s="101"/>
      <c r="N2020" s="101"/>
    </row>
    <row r="2021" spans="7:14" hidden="1" x14ac:dyDescent="0.3">
      <c r="G2021" s="101"/>
      <c r="H2021" s="101"/>
      <c r="I2021" s="101"/>
      <c r="K2021" s="226"/>
      <c r="L2021" s="226"/>
      <c r="M2021" s="101"/>
      <c r="N2021" s="101"/>
    </row>
    <row r="2022" spans="7:14" hidden="1" x14ac:dyDescent="0.3">
      <c r="G2022" s="101"/>
      <c r="H2022" s="101"/>
      <c r="I2022" s="101"/>
      <c r="K2022" s="226"/>
      <c r="L2022" s="226"/>
      <c r="M2022" s="101"/>
      <c r="N2022" s="101"/>
    </row>
    <row r="2023" spans="7:14" hidden="1" x14ac:dyDescent="0.3">
      <c r="G2023" s="101"/>
      <c r="H2023" s="101"/>
      <c r="I2023" s="101"/>
      <c r="K2023" s="226"/>
      <c r="L2023" s="226"/>
      <c r="M2023" s="101"/>
      <c r="N2023" s="101"/>
    </row>
    <row r="2024" spans="7:14" hidden="1" x14ac:dyDescent="0.3">
      <c r="G2024" s="101"/>
      <c r="H2024" s="101"/>
      <c r="I2024" s="101"/>
      <c r="K2024" s="226"/>
      <c r="L2024" s="226"/>
      <c r="M2024" s="101"/>
      <c r="N2024" s="101"/>
    </row>
    <row r="2025" spans="7:14" hidden="1" x14ac:dyDescent="0.3">
      <c r="G2025" s="101"/>
      <c r="H2025" s="101"/>
      <c r="I2025" s="101"/>
      <c r="K2025" s="226"/>
      <c r="L2025" s="226"/>
      <c r="M2025" s="101"/>
      <c r="N2025" s="101"/>
    </row>
    <row r="2026" spans="7:14" hidden="1" x14ac:dyDescent="0.3">
      <c r="G2026" s="101"/>
      <c r="H2026" s="101"/>
      <c r="I2026" s="101"/>
      <c r="K2026" s="226"/>
      <c r="L2026" s="226"/>
      <c r="M2026" s="101"/>
      <c r="N2026" s="101"/>
    </row>
    <row r="2027" spans="7:14" hidden="1" x14ac:dyDescent="0.3">
      <c r="G2027" s="101"/>
      <c r="H2027" s="101"/>
      <c r="I2027" s="101"/>
      <c r="K2027" s="226"/>
      <c r="L2027" s="226"/>
      <c r="M2027" s="101"/>
      <c r="N2027" s="101"/>
    </row>
    <row r="2028" spans="7:14" hidden="1" x14ac:dyDescent="0.3">
      <c r="G2028" s="101"/>
      <c r="H2028" s="101"/>
      <c r="I2028" s="101"/>
      <c r="K2028" s="226"/>
      <c r="L2028" s="226"/>
      <c r="M2028" s="101"/>
      <c r="N2028" s="101"/>
    </row>
    <row r="2029" spans="7:14" hidden="1" x14ac:dyDescent="0.3">
      <c r="G2029" s="101"/>
      <c r="H2029" s="101"/>
      <c r="I2029" s="101"/>
      <c r="K2029" s="226"/>
      <c r="L2029" s="226"/>
      <c r="M2029" s="101"/>
      <c r="N2029" s="101"/>
    </row>
    <row r="2030" spans="7:14" hidden="1" x14ac:dyDescent="0.3">
      <c r="G2030" s="101"/>
      <c r="H2030" s="101"/>
      <c r="I2030" s="101"/>
      <c r="K2030" s="226"/>
      <c r="L2030" s="226"/>
      <c r="M2030" s="101"/>
      <c r="N2030" s="101"/>
    </row>
    <row r="2031" spans="7:14" hidden="1" x14ac:dyDescent="0.3">
      <c r="G2031" s="101"/>
      <c r="H2031" s="101"/>
      <c r="I2031" s="101"/>
      <c r="K2031" s="226"/>
      <c r="L2031" s="226"/>
      <c r="M2031" s="101"/>
      <c r="N2031" s="101"/>
    </row>
    <row r="2032" spans="7:14" hidden="1" x14ac:dyDescent="0.3">
      <c r="G2032" s="101"/>
      <c r="H2032" s="101"/>
      <c r="I2032" s="101"/>
      <c r="K2032" s="226"/>
      <c r="L2032" s="226"/>
      <c r="M2032" s="101"/>
      <c r="N2032" s="101"/>
    </row>
    <row r="2033" spans="7:14" hidden="1" x14ac:dyDescent="0.3">
      <c r="G2033" s="101"/>
      <c r="H2033" s="101"/>
      <c r="I2033" s="101"/>
      <c r="K2033" s="226"/>
      <c r="L2033" s="226"/>
      <c r="M2033" s="101"/>
      <c r="N2033" s="101"/>
    </row>
    <row r="2034" spans="7:14" hidden="1" x14ac:dyDescent="0.3">
      <c r="G2034" s="101"/>
      <c r="H2034" s="101"/>
      <c r="I2034" s="101"/>
      <c r="K2034" s="226"/>
      <c r="L2034" s="226"/>
      <c r="M2034" s="101"/>
      <c r="N2034" s="101"/>
    </row>
    <row r="2035" spans="7:14" hidden="1" x14ac:dyDescent="0.3">
      <c r="G2035" s="101"/>
      <c r="H2035" s="101"/>
      <c r="I2035" s="101"/>
      <c r="K2035" s="226"/>
      <c r="L2035" s="226"/>
      <c r="M2035" s="101"/>
      <c r="N2035" s="101"/>
    </row>
    <row r="2036" spans="7:14" hidden="1" x14ac:dyDescent="0.3">
      <c r="G2036" s="101"/>
      <c r="H2036" s="101"/>
      <c r="I2036" s="101"/>
      <c r="K2036" s="226"/>
      <c r="L2036" s="226"/>
      <c r="M2036" s="101"/>
      <c r="N2036" s="101"/>
    </row>
    <row r="2037" spans="7:14" hidden="1" x14ac:dyDescent="0.3">
      <c r="G2037" s="101"/>
      <c r="H2037" s="101"/>
      <c r="I2037" s="101"/>
      <c r="K2037" s="226"/>
      <c r="L2037" s="226"/>
      <c r="M2037" s="101"/>
      <c r="N2037" s="101"/>
    </row>
    <row r="2038" spans="7:14" hidden="1" x14ac:dyDescent="0.3">
      <c r="G2038" s="101"/>
      <c r="H2038" s="101"/>
      <c r="I2038" s="101"/>
      <c r="K2038" s="226"/>
      <c r="L2038" s="226"/>
      <c r="M2038" s="101"/>
      <c r="N2038" s="101"/>
    </row>
    <row r="2039" spans="7:14" hidden="1" x14ac:dyDescent="0.3">
      <c r="G2039" s="101"/>
      <c r="H2039" s="101"/>
      <c r="I2039" s="101"/>
      <c r="K2039" s="226"/>
      <c r="L2039" s="226"/>
      <c r="M2039" s="101"/>
      <c r="N2039" s="101"/>
    </row>
    <row r="2040" spans="7:14" hidden="1" x14ac:dyDescent="0.3">
      <c r="G2040" s="101"/>
      <c r="H2040" s="101"/>
      <c r="I2040" s="101"/>
      <c r="K2040" s="226"/>
      <c r="L2040" s="226"/>
      <c r="M2040" s="101"/>
      <c r="N2040" s="101"/>
    </row>
    <row r="2041" spans="7:14" hidden="1" x14ac:dyDescent="0.3">
      <c r="G2041" s="101"/>
      <c r="H2041" s="101"/>
      <c r="I2041" s="101"/>
      <c r="K2041" s="226"/>
      <c r="L2041" s="226"/>
      <c r="M2041" s="101"/>
      <c r="N2041" s="101"/>
    </row>
    <row r="2042" spans="7:14" hidden="1" x14ac:dyDescent="0.3">
      <c r="G2042" s="101"/>
      <c r="H2042" s="101"/>
      <c r="I2042" s="101"/>
      <c r="K2042" s="226"/>
      <c r="L2042" s="226"/>
      <c r="M2042" s="101"/>
      <c r="N2042" s="101"/>
    </row>
    <row r="2043" spans="7:14" hidden="1" x14ac:dyDescent="0.3">
      <c r="G2043" s="101"/>
      <c r="H2043" s="101"/>
      <c r="I2043" s="101"/>
      <c r="K2043" s="226"/>
      <c r="L2043" s="226"/>
      <c r="M2043" s="101"/>
      <c r="N2043" s="101"/>
    </row>
    <row r="2044" spans="7:14" hidden="1" x14ac:dyDescent="0.3">
      <c r="G2044" s="101"/>
      <c r="H2044" s="101"/>
      <c r="I2044" s="101"/>
      <c r="K2044" s="226"/>
      <c r="L2044" s="226"/>
      <c r="M2044" s="101"/>
      <c r="N2044" s="101"/>
    </row>
    <row r="2045" spans="7:14" hidden="1" x14ac:dyDescent="0.3">
      <c r="G2045" s="101"/>
      <c r="H2045" s="101"/>
      <c r="I2045" s="101"/>
      <c r="K2045" s="226"/>
      <c r="L2045" s="226"/>
      <c r="M2045" s="101"/>
      <c r="N2045" s="101"/>
    </row>
    <row r="2046" spans="7:14" hidden="1" x14ac:dyDescent="0.3">
      <c r="G2046" s="101"/>
      <c r="H2046" s="101"/>
      <c r="I2046" s="101"/>
      <c r="K2046" s="226"/>
      <c r="L2046" s="226"/>
      <c r="M2046" s="101"/>
      <c r="N2046" s="101"/>
    </row>
    <row r="2047" spans="7:14" hidden="1" x14ac:dyDescent="0.3">
      <c r="G2047" s="101"/>
      <c r="H2047" s="101"/>
      <c r="I2047" s="101"/>
      <c r="K2047" s="226"/>
      <c r="L2047" s="226"/>
      <c r="M2047" s="101"/>
      <c r="N2047" s="101"/>
    </row>
    <row r="2048" spans="7:14" hidden="1" x14ac:dyDescent="0.3">
      <c r="G2048" s="101"/>
      <c r="H2048" s="101"/>
      <c r="I2048" s="101"/>
      <c r="K2048" s="226"/>
      <c r="L2048" s="226"/>
      <c r="M2048" s="101"/>
      <c r="N2048" s="101"/>
    </row>
    <row r="2049" spans="7:14" hidden="1" x14ac:dyDescent="0.3">
      <c r="G2049" s="101"/>
      <c r="H2049" s="101"/>
      <c r="I2049" s="101"/>
      <c r="K2049" s="226"/>
      <c r="L2049" s="226"/>
      <c r="M2049" s="101"/>
      <c r="N2049" s="101"/>
    </row>
    <row r="2050" spans="7:14" hidden="1" x14ac:dyDescent="0.3">
      <c r="G2050" s="101"/>
      <c r="H2050" s="101"/>
      <c r="I2050" s="101"/>
      <c r="K2050" s="226"/>
      <c r="L2050" s="226"/>
      <c r="M2050" s="101"/>
      <c r="N2050" s="101"/>
    </row>
    <row r="2051" spans="7:14" hidden="1" x14ac:dyDescent="0.3">
      <c r="G2051" s="101"/>
      <c r="H2051" s="101"/>
      <c r="I2051" s="101"/>
      <c r="K2051" s="226"/>
      <c r="L2051" s="226"/>
      <c r="M2051" s="101"/>
      <c r="N2051" s="101"/>
    </row>
    <row r="2052" spans="7:14" hidden="1" x14ac:dyDescent="0.3">
      <c r="G2052" s="101"/>
      <c r="H2052" s="101"/>
      <c r="I2052" s="101"/>
      <c r="K2052" s="226"/>
      <c r="L2052" s="226"/>
      <c r="M2052" s="101"/>
      <c r="N2052" s="101"/>
    </row>
    <row r="2053" spans="7:14" hidden="1" x14ac:dyDescent="0.3">
      <c r="G2053" s="101"/>
      <c r="H2053" s="101"/>
      <c r="I2053" s="101"/>
      <c r="K2053" s="226"/>
      <c r="L2053" s="226"/>
      <c r="M2053" s="101"/>
      <c r="N2053" s="101"/>
    </row>
    <row r="2054" spans="7:14" hidden="1" x14ac:dyDescent="0.3">
      <c r="G2054" s="101"/>
      <c r="H2054" s="101"/>
      <c r="I2054" s="101"/>
      <c r="K2054" s="226"/>
      <c r="L2054" s="226"/>
      <c r="M2054" s="101"/>
      <c r="N2054" s="101"/>
    </row>
    <row r="2055" spans="7:14" hidden="1" x14ac:dyDescent="0.3">
      <c r="G2055" s="101"/>
      <c r="H2055" s="101"/>
      <c r="I2055" s="101"/>
      <c r="K2055" s="226"/>
      <c r="L2055" s="226"/>
      <c r="M2055" s="101"/>
      <c r="N2055" s="101"/>
    </row>
    <row r="2056" spans="7:14" hidden="1" x14ac:dyDescent="0.3">
      <c r="G2056" s="101"/>
      <c r="H2056" s="101"/>
      <c r="I2056" s="101"/>
      <c r="K2056" s="226"/>
      <c r="L2056" s="226"/>
      <c r="M2056" s="101"/>
      <c r="N2056" s="101"/>
    </row>
    <row r="2057" spans="7:14" hidden="1" x14ac:dyDescent="0.3">
      <c r="G2057" s="101"/>
      <c r="H2057" s="101"/>
      <c r="I2057" s="101"/>
      <c r="K2057" s="226"/>
      <c r="L2057" s="226"/>
      <c r="M2057" s="101"/>
      <c r="N2057" s="101"/>
    </row>
    <row r="2058" spans="7:14" hidden="1" x14ac:dyDescent="0.3">
      <c r="G2058" s="101"/>
      <c r="H2058" s="101"/>
      <c r="I2058" s="101"/>
      <c r="K2058" s="226"/>
      <c r="L2058" s="226"/>
      <c r="M2058" s="101"/>
      <c r="N2058" s="101"/>
    </row>
    <row r="2059" spans="7:14" hidden="1" x14ac:dyDescent="0.3">
      <c r="G2059" s="101"/>
      <c r="H2059" s="101"/>
      <c r="I2059" s="101"/>
      <c r="K2059" s="226"/>
      <c r="L2059" s="226"/>
      <c r="M2059" s="101"/>
      <c r="N2059" s="101"/>
    </row>
    <row r="2060" spans="7:14" hidden="1" x14ac:dyDescent="0.3">
      <c r="G2060" s="101"/>
      <c r="H2060" s="101"/>
      <c r="I2060" s="101"/>
      <c r="K2060" s="226"/>
      <c r="L2060" s="226"/>
      <c r="M2060" s="101"/>
      <c r="N2060" s="101"/>
    </row>
    <row r="2061" spans="7:14" hidden="1" x14ac:dyDescent="0.3">
      <c r="G2061" s="101"/>
      <c r="H2061" s="101"/>
      <c r="I2061" s="101"/>
      <c r="K2061" s="226"/>
      <c r="L2061" s="226"/>
      <c r="M2061" s="101"/>
      <c r="N2061" s="101"/>
    </row>
    <row r="2062" spans="7:14" hidden="1" x14ac:dyDescent="0.3">
      <c r="G2062" s="101"/>
      <c r="H2062" s="101"/>
      <c r="I2062" s="101"/>
      <c r="K2062" s="226"/>
      <c r="L2062" s="226"/>
      <c r="M2062" s="101"/>
      <c r="N2062" s="101"/>
    </row>
    <row r="2063" spans="7:14" hidden="1" x14ac:dyDescent="0.3">
      <c r="G2063" s="101"/>
      <c r="H2063" s="101"/>
      <c r="I2063" s="101"/>
      <c r="K2063" s="226"/>
      <c r="L2063" s="226"/>
      <c r="M2063" s="101"/>
      <c r="N2063" s="101"/>
    </row>
    <row r="2064" spans="7:14" hidden="1" x14ac:dyDescent="0.3">
      <c r="G2064" s="101"/>
      <c r="H2064" s="101"/>
      <c r="I2064" s="101"/>
      <c r="K2064" s="226"/>
      <c r="L2064" s="226"/>
      <c r="M2064" s="101"/>
      <c r="N2064" s="101"/>
    </row>
    <row r="2065" spans="7:14" hidden="1" x14ac:dyDescent="0.3">
      <c r="G2065" s="101"/>
      <c r="H2065" s="101"/>
      <c r="I2065" s="101"/>
      <c r="K2065" s="226"/>
      <c r="L2065" s="226"/>
      <c r="M2065" s="101"/>
      <c r="N2065" s="101"/>
    </row>
    <row r="2066" spans="7:14" hidden="1" x14ac:dyDescent="0.3">
      <c r="G2066" s="101"/>
      <c r="H2066" s="101"/>
      <c r="I2066" s="101"/>
      <c r="K2066" s="226"/>
      <c r="L2066" s="226"/>
      <c r="M2066" s="101"/>
      <c r="N2066" s="101"/>
    </row>
    <row r="2067" spans="7:14" hidden="1" x14ac:dyDescent="0.3">
      <c r="G2067" s="101"/>
      <c r="H2067" s="101"/>
      <c r="I2067" s="101"/>
      <c r="K2067" s="226"/>
      <c r="L2067" s="226"/>
      <c r="M2067" s="101"/>
      <c r="N2067" s="101"/>
    </row>
    <row r="2068" spans="7:14" hidden="1" x14ac:dyDescent="0.3">
      <c r="G2068" s="101"/>
      <c r="H2068" s="101"/>
      <c r="I2068" s="101"/>
      <c r="K2068" s="226"/>
      <c r="L2068" s="226"/>
      <c r="M2068" s="101"/>
      <c r="N2068" s="101"/>
    </row>
    <row r="2069" spans="7:14" hidden="1" x14ac:dyDescent="0.3">
      <c r="G2069" s="101"/>
      <c r="H2069" s="101"/>
      <c r="I2069" s="101"/>
      <c r="K2069" s="226"/>
      <c r="L2069" s="226"/>
      <c r="M2069" s="101"/>
      <c r="N2069" s="101"/>
    </row>
    <row r="2070" spans="7:14" hidden="1" x14ac:dyDescent="0.3">
      <c r="G2070" s="101"/>
      <c r="H2070" s="101"/>
      <c r="I2070" s="101"/>
      <c r="K2070" s="226"/>
      <c r="L2070" s="226"/>
      <c r="M2070" s="101"/>
      <c r="N2070" s="101"/>
    </row>
    <row r="2071" spans="7:14" hidden="1" x14ac:dyDescent="0.3">
      <c r="G2071" s="101"/>
      <c r="H2071" s="101"/>
      <c r="I2071" s="101"/>
      <c r="K2071" s="226"/>
      <c r="L2071" s="226"/>
      <c r="M2071" s="101"/>
      <c r="N2071" s="101"/>
    </row>
    <row r="2072" spans="7:14" hidden="1" x14ac:dyDescent="0.3">
      <c r="G2072" s="101"/>
      <c r="H2072" s="101"/>
      <c r="I2072" s="101"/>
      <c r="K2072" s="226"/>
      <c r="L2072" s="226"/>
      <c r="M2072" s="101"/>
      <c r="N2072" s="101"/>
    </row>
    <row r="2073" spans="7:14" hidden="1" x14ac:dyDescent="0.3">
      <c r="G2073" s="101"/>
      <c r="H2073" s="101"/>
      <c r="I2073" s="101"/>
      <c r="K2073" s="226"/>
      <c r="L2073" s="226"/>
      <c r="M2073" s="101"/>
      <c r="N2073" s="101"/>
    </row>
    <row r="2074" spans="7:14" hidden="1" x14ac:dyDescent="0.3">
      <c r="G2074" s="101"/>
      <c r="H2074" s="101"/>
      <c r="I2074" s="101"/>
      <c r="K2074" s="226"/>
      <c r="L2074" s="226"/>
      <c r="M2074" s="101"/>
      <c r="N2074" s="101"/>
    </row>
    <row r="2075" spans="7:14" hidden="1" x14ac:dyDescent="0.3">
      <c r="G2075" s="101"/>
      <c r="H2075" s="101"/>
      <c r="I2075" s="101"/>
      <c r="K2075" s="226"/>
      <c r="L2075" s="226"/>
      <c r="M2075" s="101"/>
      <c r="N2075" s="101"/>
    </row>
    <row r="2076" spans="7:14" hidden="1" x14ac:dyDescent="0.3">
      <c r="G2076" s="101"/>
      <c r="H2076" s="101"/>
      <c r="I2076" s="101"/>
      <c r="K2076" s="226"/>
      <c r="L2076" s="226"/>
      <c r="M2076" s="101"/>
      <c r="N2076" s="101"/>
    </row>
    <row r="2077" spans="7:14" hidden="1" x14ac:dyDescent="0.3">
      <c r="G2077" s="101"/>
      <c r="H2077" s="101"/>
      <c r="I2077" s="101"/>
      <c r="K2077" s="226"/>
      <c r="L2077" s="226"/>
      <c r="M2077" s="101"/>
      <c r="N2077" s="101"/>
    </row>
    <row r="2078" spans="7:14" hidden="1" x14ac:dyDescent="0.3">
      <c r="G2078" s="101"/>
      <c r="H2078" s="101"/>
      <c r="I2078" s="101"/>
      <c r="K2078" s="226"/>
      <c r="L2078" s="226"/>
      <c r="M2078" s="101"/>
      <c r="N2078" s="101"/>
    </row>
    <row r="2079" spans="7:14" hidden="1" x14ac:dyDescent="0.3">
      <c r="G2079" s="101"/>
      <c r="H2079" s="101"/>
      <c r="I2079" s="101"/>
      <c r="K2079" s="226"/>
      <c r="L2079" s="226"/>
      <c r="M2079" s="101"/>
      <c r="N2079" s="101"/>
    </row>
    <row r="2080" spans="7:14" hidden="1" x14ac:dyDescent="0.3">
      <c r="G2080" s="101"/>
      <c r="H2080" s="101"/>
      <c r="I2080" s="101"/>
      <c r="K2080" s="226"/>
      <c r="L2080" s="226"/>
      <c r="M2080" s="101"/>
      <c r="N2080" s="101"/>
    </row>
    <row r="2081" spans="7:14" hidden="1" x14ac:dyDescent="0.3">
      <c r="G2081" s="101"/>
      <c r="H2081" s="101"/>
      <c r="I2081" s="101"/>
      <c r="K2081" s="226"/>
      <c r="L2081" s="226"/>
      <c r="M2081" s="101"/>
      <c r="N2081" s="101"/>
    </row>
    <row r="2082" spans="7:14" hidden="1" x14ac:dyDescent="0.3">
      <c r="G2082" s="101"/>
      <c r="H2082" s="101"/>
      <c r="I2082" s="101"/>
      <c r="K2082" s="226"/>
      <c r="L2082" s="226"/>
      <c r="M2082" s="101"/>
      <c r="N2082" s="101"/>
    </row>
    <row r="2083" spans="7:14" hidden="1" x14ac:dyDescent="0.3">
      <c r="G2083" s="101"/>
      <c r="H2083" s="101"/>
      <c r="I2083" s="101"/>
      <c r="K2083" s="226"/>
      <c r="L2083" s="226"/>
      <c r="M2083" s="101"/>
      <c r="N2083" s="101"/>
    </row>
    <row r="2084" spans="7:14" hidden="1" x14ac:dyDescent="0.3">
      <c r="G2084" s="101"/>
      <c r="H2084" s="101"/>
      <c r="I2084" s="101"/>
      <c r="K2084" s="226"/>
      <c r="L2084" s="226"/>
      <c r="M2084" s="101"/>
      <c r="N2084" s="101"/>
    </row>
    <row r="2085" spans="7:14" hidden="1" x14ac:dyDescent="0.3">
      <c r="G2085" s="101"/>
      <c r="H2085" s="101"/>
      <c r="I2085" s="101"/>
      <c r="K2085" s="226"/>
      <c r="L2085" s="226"/>
      <c r="M2085" s="101"/>
      <c r="N2085" s="101"/>
    </row>
    <row r="2086" spans="7:14" hidden="1" x14ac:dyDescent="0.3">
      <c r="G2086" s="101"/>
      <c r="H2086" s="101"/>
      <c r="I2086" s="101"/>
      <c r="K2086" s="226"/>
      <c r="L2086" s="226"/>
      <c r="M2086" s="101"/>
      <c r="N2086" s="101"/>
    </row>
    <row r="2087" spans="7:14" hidden="1" x14ac:dyDescent="0.3">
      <c r="G2087" s="101"/>
      <c r="H2087" s="101"/>
      <c r="I2087" s="101"/>
      <c r="K2087" s="226"/>
      <c r="L2087" s="226"/>
      <c r="M2087" s="101"/>
      <c r="N2087" s="101"/>
    </row>
    <row r="2088" spans="7:14" hidden="1" x14ac:dyDescent="0.3">
      <c r="G2088" s="101"/>
      <c r="H2088" s="101"/>
      <c r="I2088" s="101"/>
      <c r="K2088" s="226"/>
      <c r="L2088" s="226"/>
      <c r="M2088" s="101"/>
      <c r="N2088" s="101"/>
    </row>
    <row r="2089" spans="7:14" hidden="1" x14ac:dyDescent="0.3">
      <c r="G2089" s="101"/>
      <c r="H2089" s="101"/>
      <c r="I2089" s="101"/>
      <c r="K2089" s="226"/>
      <c r="L2089" s="226"/>
      <c r="M2089" s="101"/>
      <c r="N2089" s="101"/>
    </row>
    <row r="2090" spans="7:14" hidden="1" x14ac:dyDescent="0.3">
      <c r="G2090" s="101"/>
      <c r="H2090" s="101"/>
      <c r="I2090" s="101"/>
      <c r="K2090" s="226"/>
      <c r="L2090" s="226"/>
      <c r="M2090" s="101"/>
      <c r="N2090" s="101"/>
    </row>
    <row r="2091" spans="7:14" hidden="1" x14ac:dyDescent="0.3">
      <c r="G2091" s="101"/>
      <c r="H2091" s="101"/>
      <c r="I2091" s="101"/>
      <c r="K2091" s="226"/>
      <c r="L2091" s="226"/>
      <c r="M2091" s="101"/>
      <c r="N2091" s="101"/>
    </row>
    <row r="2092" spans="7:14" hidden="1" x14ac:dyDescent="0.3">
      <c r="G2092" s="101"/>
      <c r="H2092" s="101"/>
      <c r="I2092" s="101"/>
      <c r="K2092" s="226"/>
      <c r="L2092" s="226"/>
      <c r="M2092" s="101"/>
      <c r="N2092" s="101"/>
    </row>
    <row r="2093" spans="7:14" hidden="1" x14ac:dyDescent="0.3">
      <c r="G2093" s="101"/>
      <c r="H2093" s="101"/>
      <c r="I2093" s="101"/>
      <c r="K2093" s="226"/>
      <c r="L2093" s="226"/>
      <c r="M2093" s="101"/>
      <c r="N2093" s="101"/>
    </row>
    <row r="2094" spans="7:14" hidden="1" x14ac:dyDescent="0.3">
      <c r="G2094" s="101"/>
      <c r="H2094" s="101"/>
      <c r="I2094" s="101"/>
      <c r="K2094" s="226"/>
      <c r="L2094" s="226"/>
      <c r="M2094" s="101"/>
      <c r="N2094" s="101"/>
    </row>
    <row r="2095" spans="7:14" hidden="1" x14ac:dyDescent="0.3">
      <c r="G2095" s="101"/>
      <c r="H2095" s="101"/>
      <c r="I2095" s="101"/>
      <c r="K2095" s="226"/>
      <c r="L2095" s="226"/>
      <c r="M2095" s="101"/>
      <c r="N2095" s="101"/>
    </row>
    <row r="2096" spans="7:14" hidden="1" x14ac:dyDescent="0.3">
      <c r="G2096" s="101"/>
      <c r="H2096" s="101"/>
      <c r="I2096" s="101"/>
      <c r="K2096" s="226"/>
      <c r="L2096" s="226"/>
      <c r="M2096" s="101"/>
      <c r="N2096" s="101"/>
    </row>
    <row r="2097" spans="7:14" hidden="1" x14ac:dyDescent="0.3">
      <c r="G2097" s="101"/>
      <c r="H2097" s="101"/>
      <c r="I2097" s="101"/>
      <c r="K2097" s="226"/>
      <c r="L2097" s="226"/>
      <c r="M2097" s="101"/>
      <c r="N2097" s="101"/>
    </row>
    <row r="2098" spans="7:14" hidden="1" x14ac:dyDescent="0.3">
      <c r="G2098" s="101"/>
      <c r="H2098" s="101"/>
      <c r="I2098" s="101"/>
      <c r="K2098" s="226"/>
      <c r="L2098" s="226"/>
      <c r="M2098" s="101"/>
      <c r="N2098" s="101"/>
    </row>
    <row r="2099" spans="7:14" hidden="1" x14ac:dyDescent="0.3">
      <c r="G2099" s="101"/>
      <c r="H2099" s="101"/>
      <c r="I2099" s="101"/>
      <c r="K2099" s="226"/>
      <c r="L2099" s="226"/>
      <c r="M2099" s="101"/>
      <c r="N2099" s="101"/>
    </row>
    <row r="2100" spans="7:14" hidden="1" x14ac:dyDescent="0.3">
      <c r="G2100" s="101"/>
      <c r="H2100" s="101"/>
      <c r="I2100" s="101"/>
      <c r="K2100" s="226"/>
      <c r="L2100" s="226"/>
      <c r="M2100" s="101"/>
      <c r="N2100" s="101"/>
    </row>
    <row r="2101" spans="7:14" hidden="1" x14ac:dyDescent="0.3">
      <c r="G2101" s="101"/>
      <c r="H2101" s="101"/>
      <c r="I2101" s="101"/>
      <c r="K2101" s="226"/>
      <c r="L2101" s="226"/>
      <c r="M2101" s="101"/>
      <c r="N2101" s="101"/>
    </row>
    <row r="2102" spans="7:14" hidden="1" x14ac:dyDescent="0.3">
      <c r="G2102" s="101"/>
      <c r="H2102" s="101"/>
      <c r="I2102" s="101"/>
      <c r="K2102" s="226"/>
      <c r="L2102" s="226"/>
      <c r="M2102" s="101"/>
      <c r="N2102" s="101"/>
    </row>
    <row r="2103" spans="7:14" hidden="1" x14ac:dyDescent="0.3">
      <c r="G2103" s="101"/>
      <c r="H2103" s="101"/>
      <c r="I2103" s="101"/>
      <c r="K2103" s="226"/>
      <c r="L2103" s="226"/>
      <c r="M2103" s="101"/>
      <c r="N2103" s="101"/>
    </row>
    <row r="2104" spans="7:14" hidden="1" x14ac:dyDescent="0.3">
      <c r="G2104" s="101"/>
      <c r="H2104" s="101"/>
      <c r="I2104" s="101"/>
      <c r="K2104" s="226"/>
      <c r="L2104" s="226"/>
      <c r="M2104" s="101"/>
      <c r="N2104" s="101"/>
    </row>
    <row r="2105" spans="7:14" hidden="1" x14ac:dyDescent="0.3">
      <c r="G2105" s="101"/>
      <c r="H2105" s="101"/>
      <c r="I2105" s="101"/>
      <c r="K2105" s="226"/>
      <c r="L2105" s="226"/>
      <c r="M2105" s="101"/>
      <c r="N2105" s="101"/>
    </row>
    <row r="2106" spans="7:14" hidden="1" x14ac:dyDescent="0.3">
      <c r="G2106" s="101"/>
      <c r="H2106" s="101"/>
      <c r="I2106" s="101"/>
      <c r="K2106" s="226"/>
      <c r="L2106" s="226"/>
      <c r="M2106" s="101"/>
      <c r="N2106" s="101"/>
    </row>
    <row r="2107" spans="7:14" hidden="1" x14ac:dyDescent="0.3">
      <c r="G2107" s="101"/>
      <c r="H2107" s="101"/>
      <c r="I2107" s="101"/>
      <c r="K2107" s="226"/>
      <c r="L2107" s="226"/>
      <c r="M2107" s="101"/>
      <c r="N2107" s="101"/>
    </row>
    <row r="2108" spans="7:14" hidden="1" x14ac:dyDescent="0.3">
      <c r="G2108" s="101"/>
      <c r="H2108" s="101"/>
      <c r="I2108" s="101"/>
      <c r="K2108" s="226"/>
      <c r="L2108" s="226"/>
      <c r="M2108" s="101"/>
      <c r="N2108" s="101"/>
    </row>
    <row r="2109" spans="7:14" hidden="1" x14ac:dyDescent="0.3">
      <c r="G2109" s="101"/>
      <c r="H2109" s="101"/>
      <c r="I2109" s="101"/>
      <c r="K2109" s="226"/>
      <c r="L2109" s="226"/>
      <c r="M2109" s="101"/>
      <c r="N2109" s="101"/>
    </row>
    <row r="2110" spans="7:14" hidden="1" x14ac:dyDescent="0.3">
      <c r="G2110" s="101"/>
      <c r="H2110" s="101"/>
      <c r="I2110" s="101"/>
      <c r="K2110" s="226"/>
      <c r="L2110" s="226"/>
      <c r="M2110" s="101"/>
      <c r="N2110" s="101"/>
    </row>
    <row r="2111" spans="7:14" hidden="1" x14ac:dyDescent="0.3">
      <c r="G2111" s="101"/>
      <c r="H2111" s="101"/>
      <c r="I2111" s="101"/>
      <c r="K2111" s="226"/>
      <c r="L2111" s="226"/>
      <c r="M2111" s="101"/>
      <c r="N2111" s="101"/>
    </row>
    <row r="2112" spans="7:14" hidden="1" x14ac:dyDescent="0.3">
      <c r="G2112" s="101"/>
      <c r="H2112" s="101"/>
      <c r="I2112" s="101"/>
      <c r="K2112" s="226"/>
      <c r="L2112" s="226"/>
      <c r="M2112" s="101"/>
      <c r="N2112" s="101"/>
    </row>
    <row r="2113" spans="7:14" hidden="1" x14ac:dyDescent="0.3">
      <c r="G2113" s="101"/>
      <c r="H2113" s="101"/>
      <c r="I2113" s="101"/>
      <c r="K2113" s="226"/>
      <c r="L2113" s="226"/>
      <c r="M2113" s="101"/>
      <c r="N2113" s="101"/>
    </row>
    <row r="2114" spans="7:14" hidden="1" x14ac:dyDescent="0.3">
      <c r="G2114" s="101"/>
      <c r="H2114" s="101"/>
      <c r="I2114" s="101"/>
      <c r="K2114" s="226"/>
      <c r="L2114" s="226"/>
      <c r="M2114" s="101"/>
      <c r="N2114" s="101"/>
    </row>
    <row r="2115" spans="7:14" hidden="1" x14ac:dyDescent="0.3">
      <c r="G2115" s="101"/>
      <c r="H2115" s="101"/>
      <c r="I2115" s="101"/>
      <c r="K2115" s="226"/>
      <c r="L2115" s="226"/>
      <c r="M2115" s="101"/>
      <c r="N2115" s="101"/>
    </row>
    <row r="2116" spans="7:14" hidden="1" x14ac:dyDescent="0.3">
      <c r="G2116" s="101"/>
      <c r="H2116" s="101"/>
      <c r="I2116" s="101"/>
      <c r="K2116" s="226"/>
      <c r="L2116" s="226"/>
      <c r="M2116" s="101"/>
      <c r="N2116" s="101"/>
    </row>
    <row r="2117" spans="7:14" hidden="1" x14ac:dyDescent="0.3">
      <c r="G2117" s="101"/>
      <c r="H2117" s="101"/>
      <c r="I2117" s="101"/>
      <c r="K2117" s="226"/>
      <c r="L2117" s="226"/>
      <c r="M2117" s="101"/>
      <c r="N2117" s="101"/>
    </row>
    <row r="2118" spans="7:14" hidden="1" x14ac:dyDescent="0.3">
      <c r="G2118" s="101"/>
      <c r="H2118" s="101"/>
      <c r="I2118" s="101"/>
      <c r="K2118" s="226"/>
      <c r="L2118" s="226"/>
      <c r="M2118" s="101"/>
      <c r="N2118" s="101"/>
    </row>
    <row r="2119" spans="7:14" hidden="1" x14ac:dyDescent="0.3">
      <c r="G2119" s="101"/>
      <c r="H2119" s="101"/>
      <c r="I2119" s="101"/>
      <c r="K2119" s="226"/>
      <c r="L2119" s="226"/>
      <c r="M2119" s="101"/>
      <c r="N2119" s="101"/>
    </row>
    <row r="2120" spans="7:14" hidden="1" x14ac:dyDescent="0.3">
      <c r="G2120" s="101"/>
      <c r="H2120" s="101"/>
      <c r="I2120" s="101"/>
      <c r="K2120" s="226"/>
      <c r="L2120" s="226"/>
      <c r="M2120" s="101"/>
      <c r="N2120" s="101"/>
    </row>
    <row r="2121" spans="7:14" hidden="1" x14ac:dyDescent="0.3">
      <c r="G2121" s="101"/>
      <c r="H2121" s="101"/>
      <c r="I2121" s="101"/>
      <c r="K2121" s="226"/>
      <c r="L2121" s="226"/>
      <c r="M2121" s="101"/>
      <c r="N2121" s="101"/>
    </row>
    <row r="2122" spans="7:14" hidden="1" x14ac:dyDescent="0.3">
      <c r="G2122" s="101"/>
      <c r="H2122" s="101"/>
      <c r="I2122" s="101"/>
      <c r="K2122" s="226"/>
      <c r="L2122" s="226"/>
      <c r="M2122" s="101"/>
      <c r="N2122" s="101"/>
    </row>
    <row r="2123" spans="7:14" hidden="1" x14ac:dyDescent="0.3">
      <c r="G2123" s="101"/>
      <c r="H2123" s="101"/>
      <c r="I2123" s="101"/>
      <c r="K2123" s="226"/>
      <c r="L2123" s="226"/>
      <c r="M2123" s="101"/>
      <c r="N2123" s="101"/>
    </row>
    <row r="2124" spans="7:14" hidden="1" x14ac:dyDescent="0.3">
      <c r="G2124" s="101"/>
      <c r="H2124" s="101"/>
      <c r="I2124" s="101"/>
      <c r="K2124" s="226"/>
      <c r="L2124" s="226"/>
      <c r="M2124" s="101"/>
      <c r="N2124" s="101"/>
    </row>
    <row r="2125" spans="7:14" hidden="1" x14ac:dyDescent="0.3">
      <c r="G2125" s="101"/>
      <c r="H2125" s="101"/>
      <c r="I2125" s="101"/>
      <c r="K2125" s="226"/>
      <c r="L2125" s="226"/>
      <c r="M2125" s="101"/>
      <c r="N2125" s="101"/>
    </row>
    <row r="2126" spans="7:14" hidden="1" x14ac:dyDescent="0.3">
      <c r="G2126" s="101"/>
      <c r="H2126" s="101"/>
      <c r="I2126" s="101"/>
      <c r="K2126" s="226"/>
      <c r="L2126" s="226"/>
      <c r="M2126" s="101"/>
      <c r="N2126" s="101"/>
    </row>
    <row r="2127" spans="7:14" hidden="1" x14ac:dyDescent="0.3">
      <c r="G2127" s="101"/>
      <c r="H2127" s="101"/>
      <c r="I2127" s="101"/>
      <c r="K2127" s="226"/>
      <c r="L2127" s="226"/>
      <c r="M2127" s="101"/>
      <c r="N2127" s="101"/>
    </row>
    <row r="2128" spans="7:14" hidden="1" x14ac:dyDescent="0.3">
      <c r="G2128" s="101"/>
      <c r="H2128" s="101"/>
      <c r="I2128" s="101"/>
      <c r="K2128" s="226"/>
      <c r="L2128" s="226"/>
      <c r="M2128" s="101"/>
      <c r="N2128" s="101"/>
    </row>
    <row r="2129" spans="7:14" hidden="1" x14ac:dyDescent="0.3">
      <c r="G2129" s="101"/>
      <c r="H2129" s="101"/>
      <c r="I2129" s="101"/>
      <c r="K2129" s="226"/>
      <c r="L2129" s="226"/>
      <c r="M2129" s="101"/>
      <c r="N2129" s="101"/>
    </row>
    <row r="2130" spans="7:14" hidden="1" x14ac:dyDescent="0.3">
      <c r="G2130" s="101"/>
      <c r="H2130" s="101"/>
      <c r="I2130" s="101"/>
      <c r="K2130" s="226"/>
      <c r="L2130" s="226"/>
      <c r="M2130" s="101"/>
      <c r="N2130" s="101"/>
    </row>
    <row r="2131" spans="7:14" hidden="1" x14ac:dyDescent="0.3">
      <c r="G2131" s="101"/>
      <c r="H2131" s="101"/>
      <c r="I2131" s="101"/>
      <c r="K2131" s="226"/>
      <c r="L2131" s="226"/>
      <c r="M2131" s="101"/>
      <c r="N2131" s="101"/>
    </row>
    <row r="2132" spans="7:14" hidden="1" x14ac:dyDescent="0.3">
      <c r="G2132" s="101"/>
      <c r="H2132" s="101"/>
      <c r="I2132" s="101"/>
      <c r="K2132" s="226"/>
      <c r="L2132" s="226"/>
      <c r="M2132" s="101"/>
      <c r="N2132" s="101"/>
    </row>
    <row r="2133" spans="7:14" hidden="1" x14ac:dyDescent="0.3">
      <c r="G2133" s="101"/>
      <c r="H2133" s="101"/>
      <c r="I2133" s="101"/>
      <c r="K2133" s="226"/>
      <c r="L2133" s="226"/>
      <c r="M2133" s="101"/>
      <c r="N2133" s="101"/>
    </row>
    <row r="2134" spans="7:14" hidden="1" x14ac:dyDescent="0.3">
      <c r="G2134" s="101"/>
      <c r="H2134" s="101"/>
      <c r="I2134" s="101"/>
      <c r="K2134" s="226"/>
      <c r="L2134" s="226"/>
      <c r="M2134" s="101"/>
      <c r="N2134" s="101"/>
    </row>
    <row r="2135" spans="7:14" hidden="1" x14ac:dyDescent="0.3">
      <c r="G2135" s="101"/>
      <c r="H2135" s="101"/>
      <c r="I2135" s="101"/>
      <c r="K2135" s="226"/>
      <c r="L2135" s="226"/>
      <c r="M2135" s="101"/>
      <c r="N2135" s="101"/>
    </row>
    <row r="2136" spans="7:14" hidden="1" x14ac:dyDescent="0.3">
      <c r="G2136" s="101"/>
      <c r="H2136" s="101"/>
      <c r="I2136" s="101"/>
      <c r="K2136" s="226"/>
      <c r="L2136" s="226"/>
      <c r="M2136" s="101"/>
      <c r="N2136" s="101"/>
    </row>
    <row r="2137" spans="7:14" hidden="1" x14ac:dyDescent="0.3">
      <c r="G2137" s="101"/>
      <c r="H2137" s="101"/>
      <c r="I2137" s="101"/>
      <c r="K2137" s="226"/>
      <c r="L2137" s="226"/>
      <c r="M2137" s="101"/>
      <c r="N2137" s="101"/>
    </row>
    <row r="2138" spans="7:14" hidden="1" x14ac:dyDescent="0.3">
      <c r="G2138" s="101"/>
      <c r="H2138" s="101"/>
      <c r="I2138" s="101"/>
      <c r="K2138" s="226"/>
      <c r="L2138" s="226"/>
      <c r="M2138" s="101"/>
      <c r="N2138" s="101"/>
    </row>
    <row r="2139" spans="7:14" hidden="1" x14ac:dyDescent="0.3">
      <c r="G2139" s="101"/>
      <c r="H2139" s="101"/>
      <c r="I2139" s="101"/>
      <c r="K2139" s="226"/>
      <c r="L2139" s="226"/>
      <c r="M2139" s="101"/>
      <c r="N2139" s="101"/>
    </row>
    <row r="2140" spans="7:14" hidden="1" x14ac:dyDescent="0.3">
      <c r="G2140" s="101"/>
      <c r="H2140" s="101"/>
      <c r="I2140" s="101"/>
      <c r="K2140" s="226"/>
      <c r="L2140" s="226"/>
      <c r="M2140" s="101"/>
      <c r="N2140" s="101"/>
    </row>
    <row r="2141" spans="7:14" hidden="1" x14ac:dyDescent="0.3">
      <c r="G2141" s="101"/>
      <c r="H2141" s="101"/>
      <c r="I2141" s="101"/>
      <c r="K2141" s="226"/>
      <c r="L2141" s="226"/>
      <c r="M2141" s="101"/>
      <c r="N2141" s="101"/>
    </row>
    <row r="2142" spans="7:14" hidden="1" x14ac:dyDescent="0.3">
      <c r="G2142" s="101"/>
      <c r="H2142" s="101"/>
      <c r="I2142" s="101"/>
      <c r="K2142" s="226"/>
      <c r="L2142" s="226"/>
      <c r="M2142" s="101"/>
      <c r="N2142" s="101"/>
    </row>
    <row r="2143" spans="7:14" hidden="1" x14ac:dyDescent="0.3">
      <c r="G2143" s="101"/>
      <c r="H2143" s="101"/>
      <c r="I2143" s="101"/>
      <c r="K2143" s="226"/>
      <c r="L2143" s="226"/>
      <c r="M2143" s="101"/>
      <c r="N2143" s="101"/>
    </row>
    <row r="2144" spans="7:14" hidden="1" x14ac:dyDescent="0.3">
      <c r="G2144" s="101"/>
      <c r="H2144" s="101"/>
      <c r="I2144" s="101"/>
      <c r="K2144" s="226"/>
      <c r="L2144" s="226"/>
      <c r="M2144" s="101"/>
      <c r="N2144" s="101"/>
    </row>
    <row r="2145" spans="7:14" hidden="1" x14ac:dyDescent="0.3">
      <c r="G2145" s="101"/>
      <c r="H2145" s="101"/>
      <c r="I2145" s="101"/>
      <c r="K2145" s="226"/>
      <c r="L2145" s="226"/>
      <c r="M2145" s="101"/>
      <c r="N2145" s="101"/>
    </row>
    <row r="2146" spans="7:14" hidden="1" x14ac:dyDescent="0.3">
      <c r="G2146" s="101"/>
      <c r="H2146" s="101"/>
      <c r="I2146" s="101"/>
      <c r="K2146" s="226"/>
      <c r="L2146" s="226"/>
      <c r="M2146" s="101"/>
      <c r="N2146" s="101"/>
    </row>
    <row r="2147" spans="7:14" hidden="1" x14ac:dyDescent="0.3">
      <c r="G2147" s="101"/>
      <c r="H2147" s="101"/>
      <c r="I2147" s="101"/>
      <c r="K2147" s="226"/>
      <c r="L2147" s="226"/>
      <c r="M2147" s="101"/>
      <c r="N2147" s="101"/>
    </row>
    <row r="2148" spans="7:14" hidden="1" x14ac:dyDescent="0.3">
      <c r="G2148" s="101"/>
      <c r="H2148" s="101"/>
      <c r="I2148" s="101"/>
      <c r="K2148" s="226"/>
      <c r="L2148" s="226"/>
      <c r="M2148" s="101"/>
      <c r="N2148" s="101"/>
    </row>
    <row r="2149" spans="7:14" hidden="1" x14ac:dyDescent="0.3">
      <c r="G2149" s="101"/>
      <c r="H2149" s="101"/>
      <c r="I2149" s="101"/>
      <c r="K2149" s="226"/>
      <c r="L2149" s="226"/>
      <c r="M2149" s="101"/>
      <c r="N2149" s="101"/>
    </row>
    <row r="2150" spans="7:14" hidden="1" x14ac:dyDescent="0.3">
      <c r="G2150" s="101"/>
      <c r="H2150" s="101"/>
      <c r="I2150" s="101"/>
      <c r="K2150" s="226"/>
      <c r="L2150" s="226"/>
      <c r="M2150" s="101"/>
      <c r="N2150" s="101"/>
    </row>
    <row r="2151" spans="7:14" hidden="1" x14ac:dyDescent="0.3">
      <c r="G2151" s="101"/>
      <c r="H2151" s="101"/>
      <c r="I2151" s="101"/>
      <c r="K2151" s="226"/>
      <c r="L2151" s="226"/>
      <c r="M2151" s="101"/>
      <c r="N2151" s="101"/>
    </row>
    <row r="2152" spans="7:14" hidden="1" x14ac:dyDescent="0.3">
      <c r="G2152" s="101"/>
      <c r="H2152" s="101"/>
      <c r="I2152" s="101"/>
      <c r="K2152" s="226"/>
      <c r="L2152" s="226"/>
      <c r="M2152" s="101"/>
      <c r="N2152" s="101"/>
    </row>
    <row r="2153" spans="7:14" hidden="1" x14ac:dyDescent="0.3">
      <c r="G2153" s="101"/>
      <c r="H2153" s="101"/>
      <c r="I2153" s="101"/>
      <c r="K2153" s="226"/>
      <c r="L2153" s="226"/>
      <c r="M2153" s="101"/>
      <c r="N2153" s="101"/>
    </row>
    <row r="2154" spans="7:14" hidden="1" x14ac:dyDescent="0.3">
      <c r="G2154" s="101"/>
      <c r="H2154" s="101"/>
      <c r="I2154" s="101"/>
      <c r="K2154" s="226"/>
      <c r="L2154" s="226"/>
      <c r="M2154" s="101"/>
      <c r="N2154" s="101"/>
    </row>
    <row r="2155" spans="7:14" hidden="1" x14ac:dyDescent="0.3">
      <c r="G2155" s="101"/>
      <c r="H2155" s="101"/>
      <c r="I2155" s="101"/>
      <c r="K2155" s="226"/>
      <c r="L2155" s="226"/>
      <c r="M2155" s="101"/>
      <c r="N2155" s="101"/>
    </row>
    <row r="2156" spans="7:14" hidden="1" x14ac:dyDescent="0.3">
      <c r="G2156" s="101"/>
      <c r="H2156" s="101"/>
      <c r="I2156" s="101"/>
      <c r="K2156" s="226"/>
      <c r="L2156" s="226"/>
      <c r="M2156" s="101"/>
      <c r="N2156" s="101"/>
    </row>
    <row r="2157" spans="7:14" hidden="1" x14ac:dyDescent="0.3">
      <c r="G2157" s="101"/>
      <c r="H2157" s="101"/>
      <c r="I2157" s="101"/>
      <c r="K2157" s="226"/>
      <c r="L2157" s="226"/>
      <c r="M2157" s="101"/>
      <c r="N2157" s="101"/>
    </row>
    <row r="2158" spans="7:14" hidden="1" x14ac:dyDescent="0.3">
      <c r="G2158" s="101"/>
      <c r="H2158" s="101"/>
      <c r="I2158" s="101"/>
      <c r="K2158" s="226"/>
      <c r="L2158" s="226"/>
      <c r="M2158" s="101"/>
      <c r="N2158" s="101"/>
    </row>
    <row r="2159" spans="7:14" hidden="1" x14ac:dyDescent="0.3">
      <c r="G2159" s="101"/>
      <c r="H2159" s="101"/>
      <c r="I2159" s="101"/>
      <c r="K2159" s="226"/>
      <c r="L2159" s="226"/>
      <c r="M2159" s="101"/>
      <c r="N2159" s="101"/>
    </row>
    <row r="2160" spans="7:14" hidden="1" x14ac:dyDescent="0.3">
      <c r="G2160" s="101"/>
      <c r="H2160" s="101"/>
      <c r="I2160" s="101"/>
      <c r="K2160" s="226"/>
      <c r="L2160" s="226"/>
      <c r="M2160" s="101"/>
      <c r="N2160" s="101"/>
    </row>
    <row r="2161" spans="7:14" hidden="1" x14ac:dyDescent="0.3">
      <c r="G2161" s="101"/>
      <c r="H2161" s="101"/>
      <c r="I2161" s="101"/>
      <c r="K2161" s="226"/>
      <c r="L2161" s="226"/>
      <c r="M2161" s="101"/>
      <c r="N2161" s="101"/>
    </row>
    <row r="2162" spans="7:14" hidden="1" x14ac:dyDescent="0.3">
      <c r="G2162" s="101"/>
      <c r="H2162" s="101"/>
      <c r="I2162" s="101"/>
      <c r="K2162" s="226"/>
      <c r="L2162" s="226"/>
      <c r="M2162" s="101"/>
      <c r="N2162" s="101"/>
    </row>
    <row r="2163" spans="7:14" hidden="1" x14ac:dyDescent="0.3">
      <c r="G2163" s="101"/>
      <c r="H2163" s="101"/>
      <c r="I2163" s="101"/>
      <c r="K2163" s="226"/>
      <c r="L2163" s="226"/>
      <c r="M2163" s="101"/>
      <c r="N2163" s="101"/>
    </row>
    <row r="2164" spans="7:14" hidden="1" x14ac:dyDescent="0.3">
      <c r="G2164" s="101"/>
      <c r="H2164" s="101"/>
      <c r="I2164" s="101"/>
      <c r="K2164" s="226"/>
      <c r="L2164" s="226"/>
      <c r="M2164" s="101"/>
      <c r="N2164" s="101"/>
    </row>
    <row r="2165" spans="7:14" hidden="1" x14ac:dyDescent="0.3">
      <c r="G2165" s="101"/>
      <c r="H2165" s="101"/>
      <c r="I2165" s="101"/>
      <c r="K2165" s="226"/>
      <c r="L2165" s="226"/>
      <c r="M2165" s="101"/>
      <c r="N2165" s="101"/>
    </row>
    <row r="2166" spans="7:14" hidden="1" x14ac:dyDescent="0.3">
      <c r="G2166" s="101"/>
      <c r="H2166" s="101"/>
      <c r="I2166" s="101"/>
      <c r="K2166" s="226"/>
      <c r="L2166" s="226"/>
      <c r="M2166" s="101"/>
      <c r="N2166" s="101"/>
    </row>
    <row r="2167" spans="7:14" hidden="1" x14ac:dyDescent="0.3">
      <c r="G2167" s="101"/>
      <c r="H2167" s="101"/>
      <c r="I2167" s="101"/>
      <c r="K2167" s="226"/>
      <c r="L2167" s="226"/>
      <c r="M2167" s="101"/>
      <c r="N2167" s="101"/>
    </row>
    <row r="2168" spans="7:14" hidden="1" x14ac:dyDescent="0.3">
      <c r="G2168" s="101"/>
      <c r="H2168" s="101"/>
      <c r="I2168" s="101"/>
      <c r="K2168" s="226"/>
      <c r="L2168" s="226"/>
      <c r="M2168" s="101"/>
      <c r="N2168" s="101"/>
    </row>
    <row r="2169" spans="7:14" hidden="1" x14ac:dyDescent="0.3">
      <c r="G2169" s="101"/>
      <c r="H2169" s="101"/>
      <c r="I2169" s="101"/>
      <c r="K2169" s="226"/>
      <c r="L2169" s="226"/>
      <c r="M2169" s="101"/>
      <c r="N2169" s="101"/>
    </row>
    <row r="2170" spans="7:14" hidden="1" x14ac:dyDescent="0.3">
      <c r="G2170" s="101"/>
      <c r="H2170" s="101"/>
      <c r="I2170" s="101"/>
      <c r="K2170" s="226"/>
      <c r="L2170" s="226"/>
      <c r="M2170" s="101"/>
      <c r="N2170" s="101"/>
    </row>
    <row r="2171" spans="7:14" hidden="1" x14ac:dyDescent="0.3">
      <c r="G2171" s="101"/>
      <c r="H2171" s="101"/>
      <c r="I2171" s="101"/>
      <c r="K2171" s="226"/>
      <c r="L2171" s="226"/>
      <c r="M2171" s="101"/>
      <c r="N2171" s="101"/>
    </row>
    <row r="2172" spans="7:14" hidden="1" x14ac:dyDescent="0.3">
      <c r="G2172" s="101"/>
      <c r="H2172" s="101"/>
      <c r="I2172" s="101"/>
      <c r="K2172" s="226"/>
      <c r="L2172" s="226"/>
      <c r="M2172" s="101"/>
      <c r="N2172" s="101"/>
    </row>
    <row r="2173" spans="7:14" hidden="1" x14ac:dyDescent="0.3">
      <c r="G2173" s="101"/>
      <c r="H2173" s="101"/>
      <c r="I2173" s="101"/>
      <c r="K2173" s="226"/>
      <c r="L2173" s="226"/>
      <c r="M2173" s="101"/>
      <c r="N2173" s="101"/>
    </row>
    <row r="2174" spans="7:14" hidden="1" x14ac:dyDescent="0.3">
      <c r="G2174" s="101"/>
      <c r="H2174" s="101"/>
      <c r="I2174" s="101"/>
      <c r="K2174" s="226"/>
      <c r="L2174" s="226"/>
      <c r="M2174" s="101"/>
      <c r="N2174" s="101"/>
    </row>
    <row r="2175" spans="7:14" hidden="1" x14ac:dyDescent="0.3">
      <c r="G2175" s="101"/>
      <c r="H2175" s="101"/>
      <c r="I2175" s="101"/>
      <c r="K2175" s="226"/>
      <c r="L2175" s="226"/>
      <c r="M2175" s="101"/>
      <c r="N2175" s="101"/>
    </row>
    <row r="2176" spans="7:14" hidden="1" x14ac:dyDescent="0.3">
      <c r="G2176" s="101"/>
      <c r="H2176" s="101"/>
      <c r="I2176" s="101"/>
      <c r="K2176" s="226"/>
      <c r="L2176" s="226"/>
      <c r="M2176" s="101"/>
      <c r="N2176" s="101"/>
    </row>
    <row r="2177" spans="7:14" hidden="1" x14ac:dyDescent="0.3">
      <c r="G2177" s="101"/>
      <c r="H2177" s="101"/>
      <c r="I2177" s="101"/>
      <c r="K2177" s="226"/>
      <c r="L2177" s="226"/>
      <c r="M2177" s="101"/>
      <c r="N2177" s="101"/>
    </row>
    <row r="2178" spans="7:14" hidden="1" x14ac:dyDescent="0.3">
      <c r="G2178" s="101"/>
      <c r="H2178" s="101"/>
      <c r="I2178" s="101"/>
      <c r="K2178" s="226"/>
      <c r="L2178" s="226"/>
      <c r="M2178" s="101"/>
      <c r="N2178" s="101"/>
    </row>
    <row r="2179" spans="7:14" hidden="1" x14ac:dyDescent="0.3">
      <c r="G2179" s="101"/>
      <c r="H2179" s="101"/>
      <c r="I2179" s="101"/>
      <c r="K2179" s="226"/>
      <c r="L2179" s="226"/>
      <c r="M2179" s="101"/>
      <c r="N2179" s="101"/>
    </row>
    <row r="2180" spans="7:14" hidden="1" x14ac:dyDescent="0.3">
      <c r="G2180" s="101"/>
      <c r="H2180" s="101"/>
      <c r="I2180" s="101"/>
      <c r="K2180" s="226"/>
      <c r="L2180" s="226"/>
      <c r="M2180" s="101"/>
      <c r="N2180" s="101"/>
    </row>
    <row r="2181" spans="7:14" hidden="1" x14ac:dyDescent="0.3">
      <c r="G2181" s="101"/>
      <c r="H2181" s="101"/>
      <c r="I2181" s="101"/>
      <c r="K2181" s="226"/>
      <c r="L2181" s="226"/>
      <c r="M2181" s="101"/>
      <c r="N2181" s="101"/>
    </row>
    <row r="2182" spans="7:14" hidden="1" x14ac:dyDescent="0.3">
      <c r="G2182" s="101"/>
      <c r="H2182" s="101"/>
      <c r="I2182" s="101"/>
      <c r="K2182" s="226"/>
      <c r="L2182" s="226"/>
      <c r="M2182" s="101"/>
      <c r="N2182" s="101"/>
    </row>
    <row r="2183" spans="7:14" hidden="1" x14ac:dyDescent="0.3">
      <c r="G2183" s="101"/>
      <c r="H2183" s="101"/>
      <c r="I2183" s="101"/>
      <c r="K2183" s="226"/>
      <c r="L2183" s="226"/>
      <c r="M2183" s="101"/>
      <c r="N2183" s="101"/>
    </row>
    <row r="2184" spans="7:14" hidden="1" x14ac:dyDescent="0.3">
      <c r="G2184" s="101"/>
      <c r="H2184" s="101"/>
      <c r="I2184" s="101"/>
      <c r="K2184" s="226"/>
      <c r="L2184" s="226"/>
      <c r="M2184" s="101"/>
      <c r="N2184" s="101"/>
    </row>
    <row r="2185" spans="7:14" hidden="1" x14ac:dyDescent="0.3">
      <c r="G2185" s="101"/>
      <c r="H2185" s="101"/>
      <c r="I2185" s="101"/>
      <c r="K2185" s="226"/>
      <c r="L2185" s="226"/>
      <c r="M2185" s="101"/>
      <c r="N2185" s="101"/>
    </row>
    <row r="2186" spans="7:14" hidden="1" x14ac:dyDescent="0.3">
      <c r="G2186" s="101"/>
      <c r="H2186" s="101"/>
      <c r="I2186" s="101"/>
      <c r="K2186" s="226"/>
      <c r="L2186" s="226"/>
      <c r="M2186" s="101"/>
      <c r="N2186" s="101"/>
    </row>
    <row r="2187" spans="7:14" hidden="1" x14ac:dyDescent="0.3">
      <c r="G2187" s="101"/>
      <c r="H2187" s="101"/>
      <c r="I2187" s="101"/>
      <c r="K2187" s="226"/>
      <c r="L2187" s="226"/>
      <c r="M2187" s="101"/>
      <c r="N2187" s="101"/>
    </row>
    <row r="2188" spans="7:14" hidden="1" x14ac:dyDescent="0.3">
      <c r="G2188" s="101"/>
      <c r="H2188" s="101"/>
      <c r="I2188" s="101"/>
      <c r="K2188" s="226"/>
      <c r="L2188" s="226"/>
      <c r="M2188" s="101"/>
      <c r="N2188" s="101"/>
    </row>
    <row r="2189" spans="7:14" hidden="1" x14ac:dyDescent="0.3">
      <c r="G2189" s="101"/>
      <c r="H2189" s="101"/>
      <c r="I2189" s="101"/>
      <c r="K2189" s="226"/>
      <c r="L2189" s="226"/>
      <c r="M2189" s="101"/>
      <c r="N2189" s="101"/>
    </row>
    <row r="2190" spans="7:14" hidden="1" x14ac:dyDescent="0.3">
      <c r="G2190" s="101"/>
      <c r="H2190" s="101"/>
      <c r="I2190" s="101"/>
      <c r="K2190" s="226"/>
      <c r="L2190" s="226"/>
      <c r="M2190" s="101"/>
      <c r="N2190" s="101"/>
    </row>
    <row r="2191" spans="7:14" hidden="1" x14ac:dyDescent="0.3">
      <c r="G2191" s="101"/>
      <c r="H2191" s="101"/>
      <c r="I2191" s="101"/>
      <c r="K2191" s="226"/>
      <c r="L2191" s="226"/>
      <c r="M2191" s="101"/>
      <c r="N2191" s="101"/>
    </row>
    <row r="2192" spans="7:14" hidden="1" x14ac:dyDescent="0.3">
      <c r="G2192" s="101"/>
      <c r="H2192" s="101"/>
      <c r="I2192" s="101"/>
      <c r="K2192" s="226"/>
      <c r="L2192" s="226"/>
      <c r="M2192" s="101"/>
      <c r="N2192" s="101"/>
    </row>
    <row r="2193" spans="7:14" hidden="1" x14ac:dyDescent="0.3">
      <c r="G2193" s="101"/>
      <c r="H2193" s="101"/>
      <c r="I2193" s="101"/>
      <c r="K2193" s="226"/>
      <c r="L2193" s="226"/>
      <c r="M2193" s="101"/>
      <c r="N2193" s="101"/>
    </row>
    <row r="2194" spans="7:14" hidden="1" x14ac:dyDescent="0.3">
      <c r="G2194" s="101"/>
      <c r="H2194" s="101"/>
      <c r="I2194" s="101"/>
      <c r="K2194" s="226"/>
      <c r="L2194" s="226"/>
      <c r="M2194" s="101"/>
      <c r="N2194" s="101"/>
    </row>
    <row r="2195" spans="7:14" hidden="1" x14ac:dyDescent="0.3">
      <c r="G2195" s="101"/>
      <c r="H2195" s="101"/>
      <c r="I2195" s="101"/>
      <c r="K2195" s="226"/>
      <c r="L2195" s="226"/>
      <c r="M2195" s="101"/>
      <c r="N2195" s="101"/>
    </row>
    <row r="2196" spans="7:14" hidden="1" x14ac:dyDescent="0.3">
      <c r="G2196" s="101"/>
      <c r="H2196" s="101"/>
      <c r="I2196" s="101"/>
      <c r="K2196" s="226"/>
      <c r="L2196" s="226"/>
      <c r="M2196" s="101"/>
      <c r="N2196" s="101"/>
    </row>
    <row r="2197" spans="7:14" hidden="1" x14ac:dyDescent="0.3">
      <c r="G2197" s="101"/>
      <c r="H2197" s="101"/>
      <c r="I2197" s="101"/>
      <c r="K2197" s="226"/>
      <c r="L2197" s="226"/>
      <c r="M2197" s="101"/>
      <c r="N2197" s="101"/>
    </row>
    <row r="2198" spans="7:14" hidden="1" x14ac:dyDescent="0.3">
      <c r="G2198" s="101"/>
      <c r="H2198" s="101"/>
      <c r="I2198" s="101"/>
      <c r="K2198" s="226"/>
      <c r="L2198" s="226"/>
      <c r="M2198" s="101"/>
      <c r="N2198" s="101"/>
    </row>
    <row r="2199" spans="7:14" hidden="1" x14ac:dyDescent="0.3">
      <c r="G2199" s="101"/>
      <c r="H2199" s="101"/>
      <c r="I2199" s="101"/>
      <c r="K2199" s="226"/>
      <c r="L2199" s="226"/>
      <c r="M2199" s="101"/>
      <c r="N2199" s="101"/>
    </row>
    <row r="2200" spans="7:14" hidden="1" x14ac:dyDescent="0.3">
      <c r="G2200" s="101"/>
      <c r="H2200" s="101"/>
      <c r="I2200" s="101"/>
      <c r="K2200" s="226"/>
      <c r="L2200" s="226"/>
      <c r="M2200" s="101"/>
      <c r="N2200" s="101"/>
    </row>
    <row r="2201" spans="7:14" hidden="1" x14ac:dyDescent="0.3">
      <c r="G2201" s="101"/>
      <c r="H2201" s="101"/>
      <c r="I2201" s="101"/>
      <c r="K2201" s="226"/>
      <c r="L2201" s="226"/>
      <c r="M2201" s="101"/>
      <c r="N2201" s="101"/>
    </row>
    <row r="2202" spans="7:14" hidden="1" x14ac:dyDescent="0.3">
      <c r="G2202" s="101"/>
      <c r="H2202" s="101"/>
      <c r="I2202" s="101"/>
      <c r="K2202" s="226"/>
      <c r="L2202" s="226"/>
      <c r="M2202" s="101"/>
      <c r="N2202" s="101"/>
    </row>
    <row r="2203" spans="7:14" hidden="1" x14ac:dyDescent="0.3">
      <c r="G2203" s="101"/>
      <c r="H2203" s="101"/>
      <c r="I2203" s="101"/>
      <c r="K2203" s="226"/>
      <c r="L2203" s="226"/>
      <c r="M2203" s="101"/>
      <c r="N2203" s="101"/>
    </row>
    <row r="2204" spans="7:14" hidden="1" x14ac:dyDescent="0.3">
      <c r="G2204" s="101"/>
      <c r="H2204" s="101"/>
      <c r="I2204" s="101"/>
      <c r="K2204" s="226"/>
      <c r="L2204" s="226"/>
      <c r="M2204" s="101"/>
      <c r="N2204" s="101"/>
    </row>
    <row r="2205" spans="7:14" hidden="1" x14ac:dyDescent="0.3">
      <c r="G2205" s="101"/>
      <c r="H2205" s="101"/>
      <c r="I2205" s="101"/>
      <c r="K2205" s="226"/>
      <c r="L2205" s="226"/>
      <c r="M2205" s="101"/>
      <c r="N2205" s="101"/>
    </row>
    <row r="2206" spans="7:14" hidden="1" x14ac:dyDescent="0.3">
      <c r="G2206" s="101"/>
      <c r="H2206" s="101"/>
      <c r="I2206" s="101"/>
      <c r="K2206" s="226"/>
      <c r="L2206" s="226"/>
      <c r="M2206" s="101"/>
      <c r="N2206" s="101"/>
    </row>
    <row r="2207" spans="7:14" hidden="1" x14ac:dyDescent="0.3">
      <c r="G2207" s="101"/>
      <c r="H2207" s="101"/>
      <c r="I2207" s="101"/>
      <c r="K2207" s="226"/>
      <c r="L2207" s="226"/>
      <c r="M2207" s="101"/>
      <c r="N2207" s="101"/>
    </row>
    <row r="2208" spans="7:14" hidden="1" x14ac:dyDescent="0.3">
      <c r="G2208" s="101"/>
      <c r="H2208" s="101"/>
      <c r="I2208" s="101"/>
      <c r="K2208" s="226"/>
      <c r="L2208" s="226"/>
      <c r="M2208" s="101"/>
      <c r="N2208" s="101"/>
    </row>
    <row r="2209" spans="7:14" hidden="1" x14ac:dyDescent="0.3">
      <c r="G2209" s="101"/>
      <c r="H2209" s="101"/>
      <c r="I2209" s="101"/>
      <c r="K2209" s="226"/>
      <c r="L2209" s="226"/>
      <c r="M2209" s="101"/>
      <c r="N2209" s="101"/>
    </row>
    <row r="2210" spans="7:14" hidden="1" x14ac:dyDescent="0.3">
      <c r="G2210" s="101"/>
      <c r="H2210" s="101"/>
      <c r="I2210" s="101"/>
      <c r="K2210" s="226"/>
      <c r="L2210" s="226"/>
      <c r="M2210" s="101"/>
      <c r="N2210" s="101"/>
    </row>
    <row r="2211" spans="7:14" hidden="1" x14ac:dyDescent="0.3">
      <c r="G2211" s="101"/>
      <c r="H2211" s="101"/>
      <c r="I2211" s="101"/>
      <c r="K2211" s="226"/>
      <c r="L2211" s="226"/>
      <c r="M2211" s="101"/>
      <c r="N2211" s="101"/>
    </row>
    <row r="2212" spans="7:14" hidden="1" x14ac:dyDescent="0.3">
      <c r="G2212" s="101"/>
      <c r="H2212" s="101"/>
      <c r="I2212" s="101"/>
      <c r="K2212" s="226"/>
      <c r="L2212" s="226"/>
      <c r="M2212" s="101"/>
      <c r="N2212" s="101"/>
    </row>
    <row r="2213" spans="7:14" hidden="1" x14ac:dyDescent="0.3">
      <c r="G2213" s="101"/>
      <c r="H2213" s="101"/>
      <c r="I2213" s="101"/>
      <c r="K2213" s="226"/>
      <c r="L2213" s="226"/>
      <c r="M2213" s="101"/>
      <c r="N2213" s="101"/>
    </row>
    <row r="2214" spans="7:14" hidden="1" x14ac:dyDescent="0.3">
      <c r="G2214" s="101"/>
      <c r="H2214" s="101"/>
      <c r="I2214" s="101"/>
      <c r="K2214" s="226"/>
      <c r="L2214" s="226"/>
      <c r="M2214" s="101"/>
      <c r="N2214" s="101"/>
    </row>
    <row r="2215" spans="7:14" hidden="1" x14ac:dyDescent="0.3">
      <c r="G2215" s="101"/>
      <c r="H2215" s="101"/>
      <c r="I2215" s="101"/>
      <c r="K2215" s="226"/>
      <c r="L2215" s="226"/>
      <c r="M2215" s="101"/>
      <c r="N2215" s="101"/>
    </row>
    <row r="2216" spans="7:14" hidden="1" x14ac:dyDescent="0.3">
      <c r="G2216" s="101"/>
      <c r="H2216" s="101"/>
      <c r="I2216" s="101"/>
      <c r="K2216" s="226"/>
      <c r="L2216" s="226"/>
      <c r="M2216" s="101"/>
      <c r="N2216" s="101"/>
    </row>
    <row r="2217" spans="7:14" hidden="1" x14ac:dyDescent="0.3">
      <c r="G2217" s="101"/>
      <c r="H2217" s="101"/>
      <c r="I2217" s="101"/>
      <c r="K2217" s="226"/>
      <c r="L2217" s="226"/>
      <c r="M2217" s="101"/>
      <c r="N2217" s="101"/>
    </row>
    <row r="2218" spans="7:14" hidden="1" x14ac:dyDescent="0.3">
      <c r="G2218" s="101"/>
      <c r="H2218" s="101"/>
      <c r="I2218" s="101"/>
      <c r="K2218" s="226"/>
      <c r="L2218" s="226"/>
      <c r="M2218" s="101"/>
      <c r="N2218" s="101"/>
    </row>
    <row r="2219" spans="7:14" hidden="1" x14ac:dyDescent="0.3">
      <c r="G2219" s="101"/>
      <c r="H2219" s="101"/>
      <c r="I2219" s="101"/>
      <c r="K2219" s="226"/>
      <c r="L2219" s="226"/>
      <c r="M2219" s="101"/>
      <c r="N2219" s="101"/>
    </row>
    <row r="2220" spans="7:14" hidden="1" x14ac:dyDescent="0.3">
      <c r="G2220" s="101"/>
      <c r="H2220" s="101"/>
      <c r="I2220" s="101"/>
      <c r="K2220" s="226"/>
      <c r="L2220" s="226"/>
      <c r="M2220" s="101"/>
      <c r="N2220" s="101"/>
    </row>
    <row r="2221" spans="7:14" hidden="1" x14ac:dyDescent="0.3">
      <c r="G2221" s="101"/>
      <c r="H2221" s="101"/>
      <c r="I2221" s="101"/>
      <c r="K2221" s="226"/>
      <c r="L2221" s="226"/>
      <c r="M2221" s="101"/>
      <c r="N2221" s="101"/>
    </row>
    <row r="2222" spans="7:14" hidden="1" x14ac:dyDescent="0.3">
      <c r="G2222" s="101"/>
      <c r="H2222" s="101"/>
      <c r="I2222" s="101"/>
      <c r="K2222" s="226"/>
      <c r="L2222" s="226"/>
      <c r="M2222" s="101"/>
      <c r="N2222" s="101"/>
    </row>
    <row r="2223" spans="7:14" hidden="1" x14ac:dyDescent="0.3">
      <c r="G2223" s="101"/>
      <c r="H2223" s="101"/>
      <c r="I2223" s="101"/>
      <c r="K2223" s="226"/>
      <c r="L2223" s="226"/>
      <c r="M2223" s="101"/>
      <c r="N2223" s="101"/>
    </row>
    <row r="2224" spans="7:14" hidden="1" x14ac:dyDescent="0.3">
      <c r="G2224" s="101"/>
      <c r="H2224" s="101"/>
      <c r="I2224" s="101"/>
      <c r="K2224" s="226"/>
      <c r="L2224" s="226"/>
      <c r="M2224" s="101"/>
      <c r="N2224" s="101"/>
    </row>
    <row r="2225" spans="7:14" hidden="1" x14ac:dyDescent="0.3">
      <c r="G2225" s="101"/>
      <c r="H2225" s="101"/>
      <c r="I2225" s="101"/>
      <c r="K2225" s="226"/>
      <c r="L2225" s="226"/>
      <c r="M2225" s="101"/>
      <c r="N2225" s="101"/>
    </row>
    <row r="2226" spans="7:14" hidden="1" x14ac:dyDescent="0.3">
      <c r="G2226" s="101"/>
      <c r="H2226" s="101"/>
      <c r="I2226" s="101"/>
      <c r="K2226" s="226"/>
      <c r="L2226" s="226"/>
      <c r="M2226" s="101"/>
      <c r="N2226" s="101"/>
    </row>
    <row r="2227" spans="7:14" hidden="1" x14ac:dyDescent="0.3">
      <c r="G2227" s="101"/>
      <c r="H2227" s="101"/>
      <c r="I2227" s="101"/>
      <c r="K2227" s="226"/>
      <c r="L2227" s="226"/>
      <c r="M2227" s="101"/>
      <c r="N2227" s="101"/>
    </row>
    <row r="2228" spans="7:14" hidden="1" x14ac:dyDescent="0.3">
      <c r="G2228" s="101"/>
      <c r="H2228" s="101"/>
      <c r="I2228" s="101"/>
      <c r="K2228" s="226"/>
      <c r="L2228" s="226"/>
      <c r="M2228" s="101"/>
      <c r="N2228" s="101"/>
    </row>
    <row r="2229" spans="7:14" hidden="1" x14ac:dyDescent="0.3">
      <c r="G2229" s="101"/>
      <c r="H2229" s="101"/>
      <c r="I2229" s="101"/>
      <c r="K2229" s="226"/>
      <c r="L2229" s="226"/>
      <c r="M2229" s="101"/>
      <c r="N2229" s="101"/>
    </row>
    <row r="2230" spans="7:14" hidden="1" x14ac:dyDescent="0.3">
      <c r="G2230" s="101"/>
      <c r="H2230" s="101"/>
      <c r="I2230" s="101"/>
      <c r="K2230" s="226"/>
      <c r="L2230" s="226"/>
      <c r="M2230" s="101"/>
      <c r="N2230" s="101"/>
    </row>
    <row r="2231" spans="7:14" hidden="1" x14ac:dyDescent="0.3">
      <c r="G2231" s="101"/>
      <c r="H2231" s="101"/>
      <c r="I2231" s="101"/>
      <c r="K2231" s="226"/>
      <c r="L2231" s="226"/>
      <c r="M2231" s="101"/>
      <c r="N2231" s="101"/>
    </row>
    <row r="2232" spans="7:14" hidden="1" x14ac:dyDescent="0.3">
      <c r="G2232" s="101"/>
      <c r="H2232" s="101"/>
      <c r="I2232" s="101"/>
      <c r="K2232" s="226"/>
      <c r="L2232" s="226"/>
      <c r="M2232" s="101"/>
      <c r="N2232" s="101"/>
    </row>
    <row r="2233" spans="7:14" hidden="1" x14ac:dyDescent="0.3">
      <c r="G2233" s="101"/>
      <c r="H2233" s="101"/>
      <c r="I2233" s="101"/>
      <c r="K2233" s="226"/>
      <c r="L2233" s="226"/>
      <c r="M2233" s="101"/>
      <c r="N2233" s="101"/>
    </row>
    <row r="2234" spans="7:14" hidden="1" x14ac:dyDescent="0.3">
      <c r="G2234" s="101"/>
      <c r="H2234" s="101"/>
      <c r="I2234" s="101"/>
      <c r="K2234" s="226"/>
      <c r="L2234" s="226"/>
      <c r="M2234" s="101"/>
      <c r="N2234" s="101"/>
    </row>
    <row r="2235" spans="7:14" hidden="1" x14ac:dyDescent="0.3">
      <c r="G2235" s="101"/>
      <c r="H2235" s="101"/>
      <c r="I2235" s="101"/>
      <c r="K2235" s="226"/>
      <c r="L2235" s="226"/>
      <c r="M2235" s="101"/>
      <c r="N2235" s="101"/>
    </row>
    <row r="2236" spans="7:14" hidden="1" x14ac:dyDescent="0.3">
      <c r="G2236" s="101"/>
      <c r="H2236" s="101"/>
      <c r="I2236" s="101"/>
      <c r="K2236" s="226"/>
      <c r="L2236" s="226"/>
      <c r="M2236" s="101"/>
      <c r="N2236" s="101"/>
    </row>
    <row r="2237" spans="7:14" hidden="1" x14ac:dyDescent="0.3">
      <c r="G2237" s="101"/>
      <c r="H2237" s="101"/>
      <c r="I2237" s="101"/>
      <c r="K2237" s="226"/>
      <c r="L2237" s="226"/>
      <c r="M2237" s="101"/>
      <c r="N2237" s="101"/>
    </row>
    <row r="2238" spans="7:14" hidden="1" x14ac:dyDescent="0.3">
      <c r="G2238" s="101"/>
      <c r="H2238" s="101"/>
      <c r="I2238" s="101"/>
      <c r="K2238" s="226"/>
      <c r="L2238" s="226"/>
      <c r="M2238" s="101"/>
      <c r="N2238" s="101"/>
    </row>
    <row r="2239" spans="7:14" hidden="1" x14ac:dyDescent="0.3">
      <c r="G2239" s="101"/>
      <c r="H2239" s="101"/>
      <c r="I2239" s="101"/>
      <c r="K2239" s="226"/>
      <c r="L2239" s="226"/>
      <c r="M2239" s="101"/>
      <c r="N2239" s="101"/>
    </row>
    <row r="2240" spans="7:14" hidden="1" x14ac:dyDescent="0.3">
      <c r="G2240" s="101"/>
      <c r="H2240" s="101"/>
      <c r="I2240" s="101"/>
      <c r="K2240" s="226"/>
      <c r="L2240" s="226"/>
      <c r="M2240" s="101"/>
      <c r="N2240" s="101"/>
    </row>
    <row r="2241" spans="7:14" hidden="1" x14ac:dyDescent="0.3">
      <c r="G2241" s="101"/>
      <c r="H2241" s="101"/>
      <c r="I2241" s="101"/>
      <c r="K2241" s="226"/>
      <c r="L2241" s="226"/>
      <c r="M2241" s="101"/>
      <c r="N2241" s="101"/>
    </row>
    <row r="2242" spans="7:14" hidden="1" x14ac:dyDescent="0.3">
      <c r="G2242" s="101"/>
      <c r="H2242" s="101"/>
      <c r="I2242" s="101"/>
      <c r="K2242" s="226"/>
      <c r="L2242" s="226"/>
      <c r="M2242" s="101"/>
      <c r="N2242" s="101"/>
    </row>
    <row r="2243" spans="7:14" hidden="1" x14ac:dyDescent="0.3">
      <c r="G2243" s="101"/>
      <c r="H2243" s="101"/>
      <c r="I2243" s="101"/>
      <c r="K2243" s="226"/>
      <c r="L2243" s="226"/>
      <c r="M2243" s="101"/>
      <c r="N2243" s="101"/>
    </row>
    <row r="2244" spans="7:14" hidden="1" x14ac:dyDescent="0.3">
      <c r="G2244" s="101"/>
      <c r="H2244" s="101"/>
      <c r="I2244" s="101"/>
      <c r="K2244" s="226"/>
      <c r="L2244" s="226"/>
      <c r="M2244" s="101"/>
      <c r="N2244" s="101"/>
    </row>
    <row r="2245" spans="7:14" hidden="1" x14ac:dyDescent="0.3">
      <c r="G2245" s="101"/>
      <c r="H2245" s="101"/>
      <c r="I2245" s="101"/>
      <c r="K2245" s="226"/>
      <c r="L2245" s="226"/>
      <c r="M2245" s="101"/>
      <c r="N2245" s="101"/>
    </row>
    <row r="2246" spans="7:14" hidden="1" x14ac:dyDescent="0.3">
      <c r="G2246" s="101"/>
      <c r="H2246" s="101"/>
      <c r="I2246" s="101"/>
      <c r="K2246" s="226"/>
      <c r="L2246" s="226"/>
      <c r="M2246" s="101"/>
      <c r="N2246" s="101"/>
    </row>
    <row r="2247" spans="7:14" hidden="1" x14ac:dyDescent="0.3">
      <c r="G2247" s="101"/>
      <c r="H2247" s="101"/>
      <c r="I2247" s="101"/>
      <c r="K2247" s="226"/>
      <c r="L2247" s="226"/>
      <c r="M2247" s="101"/>
      <c r="N2247" s="101"/>
    </row>
    <row r="2248" spans="7:14" hidden="1" x14ac:dyDescent="0.3">
      <c r="G2248" s="101"/>
      <c r="H2248" s="101"/>
      <c r="I2248" s="101"/>
      <c r="K2248" s="226"/>
      <c r="L2248" s="226"/>
      <c r="M2248" s="101"/>
      <c r="N2248" s="101"/>
    </row>
    <row r="2249" spans="7:14" hidden="1" x14ac:dyDescent="0.3">
      <c r="G2249" s="101"/>
      <c r="H2249" s="101"/>
      <c r="I2249" s="101"/>
      <c r="K2249" s="226"/>
      <c r="L2249" s="226"/>
      <c r="M2249" s="101"/>
      <c r="N2249" s="101"/>
    </row>
    <row r="2250" spans="7:14" hidden="1" x14ac:dyDescent="0.3">
      <c r="G2250" s="101"/>
      <c r="H2250" s="101"/>
      <c r="I2250" s="101"/>
      <c r="K2250" s="226"/>
      <c r="L2250" s="226"/>
      <c r="M2250" s="101"/>
      <c r="N2250" s="101"/>
    </row>
    <row r="2251" spans="7:14" hidden="1" x14ac:dyDescent="0.3">
      <c r="G2251" s="101"/>
      <c r="H2251" s="101"/>
      <c r="I2251" s="101"/>
      <c r="K2251" s="226"/>
      <c r="L2251" s="226"/>
      <c r="M2251" s="101"/>
      <c r="N2251" s="101"/>
    </row>
    <row r="2252" spans="7:14" hidden="1" x14ac:dyDescent="0.3">
      <c r="G2252" s="101"/>
      <c r="H2252" s="101"/>
      <c r="I2252" s="101"/>
      <c r="K2252" s="226"/>
      <c r="L2252" s="226"/>
      <c r="M2252" s="101"/>
      <c r="N2252" s="101"/>
    </row>
    <row r="2253" spans="7:14" hidden="1" x14ac:dyDescent="0.3">
      <c r="G2253" s="101"/>
      <c r="H2253" s="101"/>
      <c r="I2253" s="101"/>
      <c r="K2253" s="226"/>
      <c r="L2253" s="226"/>
      <c r="M2253" s="101"/>
      <c r="N2253" s="101"/>
    </row>
    <row r="2254" spans="7:14" hidden="1" x14ac:dyDescent="0.3">
      <c r="G2254" s="101"/>
      <c r="H2254" s="101"/>
      <c r="I2254" s="101"/>
      <c r="K2254" s="226"/>
      <c r="L2254" s="226"/>
      <c r="M2254" s="101"/>
      <c r="N2254" s="101"/>
    </row>
    <row r="2255" spans="7:14" hidden="1" x14ac:dyDescent="0.3">
      <c r="G2255" s="101"/>
      <c r="H2255" s="101"/>
      <c r="I2255" s="101"/>
      <c r="K2255" s="226"/>
      <c r="L2255" s="226"/>
      <c r="M2255" s="101"/>
      <c r="N2255" s="101"/>
    </row>
    <row r="2256" spans="7:14" hidden="1" x14ac:dyDescent="0.3">
      <c r="G2256" s="101"/>
      <c r="H2256" s="101"/>
      <c r="I2256" s="101"/>
      <c r="K2256" s="226"/>
      <c r="L2256" s="226"/>
      <c r="M2256" s="101"/>
      <c r="N2256" s="101"/>
    </row>
    <row r="2257" spans="7:14" hidden="1" x14ac:dyDescent="0.3">
      <c r="G2257" s="101"/>
      <c r="H2257" s="101"/>
      <c r="I2257" s="101"/>
      <c r="K2257" s="226"/>
      <c r="L2257" s="226"/>
      <c r="M2257" s="101"/>
      <c r="N2257" s="101"/>
    </row>
    <row r="2258" spans="7:14" hidden="1" x14ac:dyDescent="0.3">
      <c r="G2258" s="101"/>
      <c r="H2258" s="101"/>
      <c r="I2258" s="101"/>
      <c r="K2258" s="226"/>
      <c r="L2258" s="226"/>
      <c r="M2258" s="101"/>
      <c r="N2258" s="101"/>
    </row>
    <row r="2259" spans="7:14" hidden="1" x14ac:dyDescent="0.3">
      <c r="G2259" s="101"/>
      <c r="H2259" s="101"/>
      <c r="I2259" s="101"/>
      <c r="K2259" s="226"/>
      <c r="L2259" s="226"/>
      <c r="M2259" s="101"/>
      <c r="N2259" s="101"/>
    </row>
    <row r="2260" spans="7:14" hidden="1" x14ac:dyDescent="0.3">
      <c r="G2260" s="101"/>
      <c r="H2260" s="101"/>
      <c r="I2260" s="101"/>
      <c r="K2260" s="226"/>
      <c r="L2260" s="226"/>
      <c r="M2260" s="101"/>
      <c r="N2260" s="101"/>
    </row>
    <row r="2261" spans="7:14" hidden="1" x14ac:dyDescent="0.3">
      <c r="G2261" s="101"/>
      <c r="H2261" s="101"/>
      <c r="I2261" s="101"/>
      <c r="K2261" s="226"/>
      <c r="L2261" s="226"/>
      <c r="M2261" s="101"/>
      <c r="N2261" s="101"/>
    </row>
    <row r="2262" spans="7:14" hidden="1" x14ac:dyDescent="0.3">
      <c r="G2262" s="101"/>
      <c r="H2262" s="101"/>
      <c r="I2262" s="101"/>
      <c r="K2262" s="226"/>
      <c r="L2262" s="226"/>
      <c r="M2262" s="101"/>
      <c r="N2262" s="101"/>
    </row>
    <row r="2263" spans="7:14" hidden="1" x14ac:dyDescent="0.3">
      <c r="G2263" s="101"/>
      <c r="H2263" s="101"/>
      <c r="I2263" s="101"/>
      <c r="K2263" s="226"/>
      <c r="L2263" s="226"/>
      <c r="M2263" s="101"/>
      <c r="N2263" s="101"/>
    </row>
    <row r="2264" spans="7:14" hidden="1" x14ac:dyDescent="0.3">
      <c r="G2264" s="101"/>
      <c r="H2264" s="101"/>
      <c r="I2264" s="101"/>
      <c r="K2264" s="226"/>
      <c r="L2264" s="226"/>
      <c r="M2264" s="101"/>
      <c r="N2264" s="101"/>
    </row>
    <row r="2265" spans="7:14" hidden="1" x14ac:dyDescent="0.3">
      <c r="G2265" s="101"/>
      <c r="H2265" s="101"/>
      <c r="I2265" s="101"/>
      <c r="K2265" s="226"/>
      <c r="L2265" s="226"/>
      <c r="M2265" s="101"/>
      <c r="N2265" s="101"/>
    </row>
    <row r="2266" spans="7:14" hidden="1" x14ac:dyDescent="0.3">
      <c r="G2266" s="101"/>
      <c r="H2266" s="101"/>
      <c r="I2266" s="101"/>
      <c r="K2266" s="226"/>
      <c r="L2266" s="226"/>
      <c r="M2266" s="101"/>
      <c r="N2266" s="101"/>
    </row>
    <row r="2267" spans="7:14" hidden="1" x14ac:dyDescent="0.3">
      <c r="G2267" s="101"/>
      <c r="H2267" s="101"/>
      <c r="I2267" s="101"/>
      <c r="K2267" s="226"/>
      <c r="L2267" s="226"/>
      <c r="M2267" s="101"/>
      <c r="N2267" s="101"/>
    </row>
    <row r="2268" spans="7:14" hidden="1" x14ac:dyDescent="0.3">
      <c r="G2268" s="101"/>
      <c r="H2268" s="101"/>
      <c r="I2268" s="101"/>
      <c r="K2268" s="226"/>
      <c r="L2268" s="226"/>
      <c r="M2268" s="101"/>
      <c r="N2268" s="101"/>
    </row>
    <row r="2269" spans="7:14" hidden="1" x14ac:dyDescent="0.3">
      <c r="G2269" s="101"/>
      <c r="H2269" s="101"/>
      <c r="I2269" s="101"/>
      <c r="K2269" s="226"/>
      <c r="L2269" s="226"/>
      <c r="M2269" s="101"/>
      <c r="N2269" s="101"/>
    </row>
    <row r="2270" spans="7:14" hidden="1" x14ac:dyDescent="0.3">
      <c r="G2270" s="101"/>
      <c r="H2270" s="101"/>
      <c r="I2270" s="101"/>
      <c r="K2270" s="226"/>
      <c r="L2270" s="226"/>
      <c r="M2270" s="101"/>
      <c r="N2270" s="101"/>
    </row>
    <row r="2271" spans="7:14" hidden="1" x14ac:dyDescent="0.3">
      <c r="G2271" s="101"/>
      <c r="H2271" s="101"/>
      <c r="I2271" s="101"/>
      <c r="K2271" s="226"/>
      <c r="L2271" s="226"/>
      <c r="M2271" s="101"/>
      <c r="N2271" s="101"/>
    </row>
    <row r="2272" spans="7:14" hidden="1" x14ac:dyDescent="0.3">
      <c r="G2272" s="101"/>
      <c r="H2272" s="101"/>
      <c r="I2272" s="101"/>
      <c r="K2272" s="226"/>
      <c r="L2272" s="226"/>
      <c r="M2272" s="101"/>
      <c r="N2272" s="101"/>
    </row>
    <row r="2273" spans="7:14" hidden="1" x14ac:dyDescent="0.3">
      <c r="G2273" s="101"/>
      <c r="H2273" s="101"/>
      <c r="I2273" s="101"/>
      <c r="K2273" s="226"/>
      <c r="L2273" s="226"/>
      <c r="M2273" s="101"/>
      <c r="N2273" s="101"/>
    </row>
    <row r="2274" spans="7:14" hidden="1" x14ac:dyDescent="0.3">
      <c r="G2274" s="101"/>
      <c r="H2274" s="101"/>
      <c r="I2274" s="101"/>
      <c r="K2274" s="226"/>
      <c r="L2274" s="226"/>
      <c r="M2274" s="101"/>
      <c r="N2274" s="101"/>
    </row>
    <row r="2275" spans="7:14" hidden="1" x14ac:dyDescent="0.3">
      <c r="G2275" s="101"/>
      <c r="H2275" s="101"/>
      <c r="I2275" s="101"/>
      <c r="K2275" s="226"/>
      <c r="L2275" s="226"/>
      <c r="M2275" s="101"/>
      <c r="N2275" s="101"/>
    </row>
    <row r="2276" spans="7:14" hidden="1" x14ac:dyDescent="0.3">
      <c r="G2276" s="101"/>
      <c r="H2276" s="101"/>
      <c r="I2276" s="101"/>
      <c r="K2276" s="226"/>
      <c r="L2276" s="226"/>
      <c r="M2276" s="101"/>
      <c r="N2276" s="101"/>
    </row>
    <row r="2277" spans="7:14" hidden="1" x14ac:dyDescent="0.3">
      <c r="G2277" s="101"/>
      <c r="H2277" s="101"/>
      <c r="I2277" s="101"/>
      <c r="K2277" s="226"/>
      <c r="L2277" s="226"/>
      <c r="M2277" s="101"/>
      <c r="N2277" s="101"/>
    </row>
    <row r="2278" spans="7:14" hidden="1" x14ac:dyDescent="0.3">
      <c r="G2278" s="101"/>
      <c r="H2278" s="101"/>
      <c r="I2278" s="101"/>
      <c r="K2278" s="226"/>
      <c r="L2278" s="226"/>
      <c r="M2278" s="101"/>
      <c r="N2278" s="101"/>
    </row>
    <row r="2279" spans="7:14" hidden="1" x14ac:dyDescent="0.3">
      <c r="G2279" s="101"/>
      <c r="H2279" s="101"/>
      <c r="I2279" s="101"/>
      <c r="K2279" s="226"/>
      <c r="L2279" s="226"/>
      <c r="M2279" s="101"/>
      <c r="N2279" s="101"/>
    </row>
    <row r="2280" spans="7:14" hidden="1" x14ac:dyDescent="0.3">
      <c r="G2280" s="101"/>
      <c r="H2280" s="101"/>
      <c r="I2280" s="101"/>
      <c r="K2280" s="226"/>
      <c r="L2280" s="226"/>
      <c r="M2280" s="101"/>
      <c r="N2280" s="101"/>
    </row>
    <row r="2281" spans="7:14" hidden="1" x14ac:dyDescent="0.3">
      <c r="G2281" s="101"/>
      <c r="H2281" s="101"/>
      <c r="I2281" s="101"/>
      <c r="K2281" s="226"/>
      <c r="L2281" s="226"/>
      <c r="M2281" s="101"/>
      <c r="N2281" s="101"/>
    </row>
    <row r="2282" spans="7:14" hidden="1" x14ac:dyDescent="0.3">
      <c r="G2282" s="101"/>
      <c r="H2282" s="101"/>
      <c r="I2282" s="101"/>
      <c r="K2282" s="226"/>
      <c r="L2282" s="226"/>
      <c r="M2282" s="101"/>
      <c r="N2282" s="101"/>
    </row>
    <row r="2283" spans="7:14" hidden="1" x14ac:dyDescent="0.3">
      <c r="G2283" s="101"/>
      <c r="H2283" s="101"/>
      <c r="I2283" s="101"/>
      <c r="K2283" s="226"/>
      <c r="L2283" s="226"/>
      <c r="M2283" s="101"/>
      <c r="N2283" s="101"/>
    </row>
    <row r="2284" spans="7:14" hidden="1" x14ac:dyDescent="0.3">
      <c r="G2284" s="101"/>
      <c r="H2284" s="101"/>
      <c r="I2284" s="101"/>
      <c r="K2284" s="226"/>
      <c r="L2284" s="226"/>
      <c r="M2284" s="101"/>
      <c r="N2284" s="101"/>
    </row>
    <row r="2285" spans="7:14" hidden="1" x14ac:dyDescent="0.3">
      <c r="G2285" s="101"/>
      <c r="H2285" s="101"/>
      <c r="I2285" s="101"/>
      <c r="K2285" s="226"/>
      <c r="L2285" s="226"/>
      <c r="M2285" s="101"/>
      <c r="N2285" s="101"/>
    </row>
    <row r="2286" spans="7:14" hidden="1" x14ac:dyDescent="0.3">
      <c r="G2286" s="101"/>
      <c r="H2286" s="101"/>
      <c r="I2286" s="101"/>
      <c r="K2286" s="226"/>
      <c r="L2286" s="226"/>
      <c r="M2286" s="101"/>
      <c r="N2286" s="101"/>
    </row>
    <row r="2287" spans="7:14" hidden="1" x14ac:dyDescent="0.3">
      <c r="G2287" s="101"/>
      <c r="H2287" s="101"/>
      <c r="I2287" s="101"/>
      <c r="K2287" s="226"/>
      <c r="L2287" s="226"/>
      <c r="M2287" s="101"/>
      <c r="N2287" s="101"/>
    </row>
    <row r="2288" spans="7:14" hidden="1" x14ac:dyDescent="0.3">
      <c r="G2288" s="101"/>
      <c r="H2288" s="101"/>
      <c r="I2288" s="101"/>
      <c r="K2288" s="226"/>
      <c r="L2288" s="226"/>
      <c r="M2288" s="101"/>
      <c r="N2288" s="101"/>
    </row>
    <row r="2289" spans="7:14" hidden="1" x14ac:dyDescent="0.3">
      <c r="G2289" s="101"/>
      <c r="H2289" s="101"/>
      <c r="I2289" s="101"/>
      <c r="K2289" s="226"/>
      <c r="L2289" s="226"/>
      <c r="M2289" s="101"/>
      <c r="N2289" s="101"/>
    </row>
    <row r="2290" spans="7:14" hidden="1" x14ac:dyDescent="0.3">
      <c r="G2290" s="101"/>
      <c r="H2290" s="101"/>
      <c r="I2290" s="101"/>
      <c r="K2290" s="226"/>
      <c r="L2290" s="226"/>
      <c r="M2290" s="101"/>
      <c r="N2290" s="101"/>
    </row>
    <row r="2291" spans="7:14" hidden="1" x14ac:dyDescent="0.3">
      <c r="G2291" s="101"/>
      <c r="H2291" s="101"/>
      <c r="I2291" s="101"/>
      <c r="K2291" s="226"/>
      <c r="L2291" s="226"/>
      <c r="M2291" s="101"/>
      <c r="N2291" s="101"/>
    </row>
    <row r="2292" spans="7:14" hidden="1" x14ac:dyDescent="0.3">
      <c r="G2292" s="101"/>
      <c r="H2292" s="101"/>
      <c r="I2292" s="101"/>
      <c r="K2292" s="226"/>
      <c r="L2292" s="226"/>
      <c r="M2292" s="101"/>
      <c r="N2292" s="101"/>
    </row>
    <row r="2293" spans="7:14" hidden="1" x14ac:dyDescent="0.3">
      <c r="G2293" s="101"/>
      <c r="H2293" s="101"/>
      <c r="I2293" s="101"/>
      <c r="K2293" s="226"/>
      <c r="L2293" s="226"/>
      <c r="M2293" s="101"/>
      <c r="N2293" s="101"/>
    </row>
    <row r="2294" spans="7:14" hidden="1" x14ac:dyDescent="0.3">
      <c r="G2294" s="101"/>
      <c r="H2294" s="101"/>
      <c r="I2294" s="101"/>
      <c r="K2294" s="226"/>
      <c r="L2294" s="226"/>
      <c r="M2294" s="101"/>
      <c r="N2294" s="101"/>
    </row>
    <row r="2295" spans="7:14" hidden="1" x14ac:dyDescent="0.3">
      <c r="G2295" s="101"/>
      <c r="H2295" s="101"/>
      <c r="I2295" s="101"/>
      <c r="K2295" s="226"/>
      <c r="L2295" s="226"/>
      <c r="M2295" s="101"/>
      <c r="N2295" s="101"/>
    </row>
    <row r="2296" spans="7:14" hidden="1" x14ac:dyDescent="0.3">
      <c r="G2296" s="101"/>
      <c r="H2296" s="101"/>
      <c r="I2296" s="101"/>
      <c r="K2296" s="226"/>
      <c r="L2296" s="226"/>
      <c r="M2296" s="101"/>
      <c r="N2296" s="101"/>
    </row>
    <row r="2297" spans="7:14" hidden="1" x14ac:dyDescent="0.3">
      <c r="G2297" s="101"/>
      <c r="H2297" s="101"/>
      <c r="I2297" s="101"/>
      <c r="K2297" s="226"/>
      <c r="L2297" s="226"/>
      <c r="M2297" s="101"/>
      <c r="N2297" s="101"/>
    </row>
    <row r="2298" spans="7:14" hidden="1" x14ac:dyDescent="0.3">
      <c r="G2298" s="101"/>
      <c r="H2298" s="101"/>
      <c r="I2298" s="101"/>
      <c r="K2298" s="226"/>
      <c r="L2298" s="226"/>
      <c r="M2298" s="101"/>
      <c r="N2298" s="101"/>
    </row>
    <row r="2299" spans="7:14" hidden="1" x14ac:dyDescent="0.3">
      <c r="G2299" s="101"/>
      <c r="H2299" s="101"/>
      <c r="I2299" s="101"/>
      <c r="K2299" s="226"/>
      <c r="L2299" s="226"/>
      <c r="M2299" s="101"/>
      <c r="N2299" s="101"/>
    </row>
    <row r="2300" spans="7:14" hidden="1" x14ac:dyDescent="0.3">
      <c r="G2300" s="101"/>
      <c r="H2300" s="101"/>
      <c r="I2300" s="101"/>
      <c r="K2300" s="226"/>
      <c r="L2300" s="226"/>
      <c r="M2300" s="101"/>
      <c r="N2300" s="101"/>
    </row>
    <row r="2301" spans="7:14" hidden="1" x14ac:dyDescent="0.3">
      <c r="G2301" s="101"/>
      <c r="H2301" s="101"/>
      <c r="I2301" s="101"/>
      <c r="K2301" s="226"/>
      <c r="L2301" s="226"/>
      <c r="M2301" s="101"/>
      <c r="N2301" s="101"/>
    </row>
    <row r="2302" spans="7:14" hidden="1" x14ac:dyDescent="0.3">
      <c r="G2302" s="101"/>
      <c r="H2302" s="101"/>
      <c r="I2302" s="101"/>
      <c r="K2302" s="226"/>
      <c r="L2302" s="226"/>
      <c r="M2302" s="101"/>
      <c r="N2302" s="101"/>
    </row>
    <row r="2303" spans="7:14" hidden="1" x14ac:dyDescent="0.3">
      <c r="G2303" s="101"/>
      <c r="H2303" s="101"/>
      <c r="I2303" s="101"/>
      <c r="K2303" s="226"/>
      <c r="L2303" s="226"/>
      <c r="M2303" s="101"/>
      <c r="N2303" s="101"/>
    </row>
    <row r="2304" spans="7:14" hidden="1" x14ac:dyDescent="0.3">
      <c r="G2304" s="101"/>
      <c r="H2304" s="101"/>
      <c r="I2304" s="101"/>
      <c r="K2304" s="226"/>
      <c r="L2304" s="226"/>
      <c r="M2304" s="101"/>
      <c r="N2304" s="101"/>
    </row>
    <row r="2305" spans="7:14" hidden="1" x14ac:dyDescent="0.3">
      <c r="G2305" s="101"/>
      <c r="H2305" s="101"/>
      <c r="I2305" s="101"/>
      <c r="K2305" s="226"/>
      <c r="L2305" s="226"/>
      <c r="M2305" s="101"/>
      <c r="N2305" s="101"/>
    </row>
    <row r="2306" spans="7:14" hidden="1" x14ac:dyDescent="0.3">
      <c r="G2306" s="101"/>
      <c r="H2306" s="101"/>
      <c r="I2306" s="101"/>
      <c r="K2306" s="226"/>
      <c r="L2306" s="226"/>
      <c r="M2306" s="101"/>
      <c r="N2306" s="101"/>
    </row>
    <row r="2307" spans="7:14" hidden="1" x14ac:dyDescent="0.3">
      <c r="G2307" s="101"/>
      <c r="H2307" s="101"/>
      <c r="I2307" s="101"/>
      <c r="K2307" s="226"/>
      <c r="L2307" s="226"/>
      <c r="M2307" s="101"/>
      <c r="N2307" s="101"/>
    </row>
    <row r="2308" spans="7:14" hidden="1" x14ac:dyDescent="0.3">
      <c r="G2308" s="101"/>
      <c r="H2308" s="101"/>
      <c r="I2308" s="101"/>
      <c r="K2308" s="226"/>
      <c r="L2308" s="226"/>
      <c r="M2308" s="101"/>
      <c r="N2308" s="101"/>
    </row>
    <row r="2309" spans="7:14" hidden="1" x14ac:dyDescent="0.3">
      <c r="G2309" s="101"/>
      <c r="H2309" s="101"/>
      <c r="I2309" s="101"/>
      <c r="K2309" s="226"/>
      <c r="L2309" s="226"/>
      <c r="M2309" s="101"/>
      <c r="N2309" s="101"/>
    </row>
    <row r="2310" spans="7:14" hidden="1" x14ac:dyDescent="0.3">
      <c r="G2310" s="101"/>
      <c r="H2310" s="101"/>
      <c r="I2310" s="101"/>
      <c r="K2310" s="226"/>
      <c r="L2310" s="226"/>
      <c r="M2310" s="101"/>
      <c r="N2310" s="101"/>
    </row>
    <row r="2311" spans="7:14" hidden="1" x14ac:dyDescent="0.3">
      <c r="G2311" s="101"/>
      <c r="H2311" s="101"/>
      <c r="I2311" s="101"/>
      <c r="K2311" s="226"/>
      <c r="L2311" s="226"/>
      <c r="M2311" s="101"/>
      <c r="N2311" s="101"/>
    </row>
    <row r="2312" spans="7:14" hidden="1" x14ac:dyDescent="0.3">
      <c r="G2312" s="101"/>
      <c r="H2312" s="101"/>
      <c r="I2312" s="101"/>
      <c r="K2312" s="226"/>
      <c r="L2312" s="226"/>
      <c r="M2312" s="101"/>
      <c r="N2312" s="101"/>
    </row>
    <row r="2313" spans="7:14" hidden="1" x14ac:dyDescent="0.3">
      <c r="G2313" s="101"/>
      <c r="H2313" s="101"/>
      <c r="I2313" s="101"/>
      <c r="K2313" s="226"/>
      <c r="L2313" s="226"/>
      <c r="M2313" s="101"/>
      <c r="N2313" s="101"/>
    </row>
    <row r="2314" spans="7:14" hidden="1" x14ac:dyDescent="0.3">
      <c r="G2314" s="101"/>
      <c r="H2314" s="101"/>
      <c r="I2314" s="101"/>
      <c r="K2314" s="226"/>
      <c r="L2314" s="226"/>
      <c r="M2314" s="101"/>
      <c r="N2314" s="101"/>
    </row>
    <row r="2315" spans="7:14" hidden="1" x14ac:dyDescent="0.3">
      <c r="G2315" s="101"/>
      <c r="H2315" s="101"/>
      <c r="I2315" s="101"/>
      <c r="K2315" s="226"/>
      <c r="L2315" s="226"/>
      <c r="M2315" s="101"/>
      <c r="N2315" s="101"/>
    </row>
    <row r="2316" spans="7:14" hidden="1" x14ac:dyDescent="0.3">
      <c r="G2316" s="101"/>
      <c r="H2316" s="101"/>
      <c r="I2316" s="101"/>
      <c r="K2316" s="226"/>
      <c r="L2316" s="226"/>
      <c r="M2316" s="101"/>
      <c r="N2316" s="101"/>
    </row>
    <row r="2317" spans="7:14" hidden="1" x14ac:dyDescent="0.3">
      <c r="G2317" s="101"/>
      <c r="H2317" s="101"/>
      <c r="I2317" s="101"/>
      <c r="K2317" s="226"/>
      <c r="L2317" s="226"/>
      <c r="M2317" s="101"/>
      <c r="N2317" s="101"/>
    </row>
    <row r="2318" spans="7:14" hidden="1" x14ac:dyDescent="0.3">
      <c r="G2318" s="101"/>
      <c r="H2318" s="101"/>
      <c r="I2318" s="101"/>
      <c r="K2318" s="226"/>
      <c r="L2318" s="226"/>
      <c r="M2318" s="101"/>
      <c r="N2318" s="101"/>
    </row>
    <row r="2319" spans="7:14" hidden="1" x14ac:dyDescent="0.3">
      <c r="G2319" s="101"/>
      <c r="H2319" s="101"/>
      <c r="I2319" s="101"/>
      <c r="K2319" s="226"/>
      <c r="L2319" s="226"/>
      <c r="M2319" s="101"/>
      <c r="N2319" s="101"/>
    </row>
    <row r="2320" spans="7:14" hidden="1" x14ac:dyDescent="0.3">
      <c r="G2320" s="101"/>
      <c r="H2320" s="101"/>
      <c r="I2320" s="101"/>
      <c r="K2320" s="226"/>
      <c r="L2320" s="226"/>
      <c r="M2320" s="101"/>
      <c r="N2320" s="101"/>
    </row>
    <row r="2321" spans="7:14" hidden="1" x14ac:dyDescent="0.3">
      <c r="G2321" s="101"/>
      <c r="H2321" s="101"/>
      <c r="I2321" s="101"/>
      <c r="K2321" s="226"/>
      <c r="L2321" s="226"/>
      <c r="M2321" s="101"/>
      <c r="N2321" s="101"/>
    </row>
    <row r="2322" spans="7:14" hidden="1" x14ac:dyDescent="0.3">
      <c r="G2322" s="101"/>
      <c r="H2322" s="101"/>
      <c r="I2322" s="101"/>
      <c r="K2322" s="226"/>
      <c r="L2322" s="226"/>
      <c r="M2322" s="101"/>
      <c r="N2322" s="101"/>
    </row>
    <row r="2323" spans="7:14" hidden="1" x14ac:dyDescent="0.3">
      <c r="G2323" s="101"/>
      <c r="H2323" s="101"/>
      <c r="I2323" s="101"/>
      <c r="K2323" s="226"/>
      <c r="L2323" s="226"/>
      <c r="M2323" s="101"/>
      <c r="N2323" s="101"/>
    </row>
    <row r="2324" spans="7:14" hidden="1" x14ac:dyDescent="0.3">
      <c r="G2324" s="101"/>
      <c r="H2324" s="101"/>
      <c r="I2324" s="101"/>
      <c r="K2324" s="226"/>
      <c r="L2324" s="226"/>
      <c r="M2324" s="101"/>
      <c r="N2324" s="101"/>
    </row>
    <row r="2325" spans="7:14" hidden="1" x14ac:dyDescent="0.3">
      <c r="G2325" s="101"/>
      <c r="H2325" s="101"/>
      <c r="I2325" s="101"/>
      <c r="K2325" s="226"/>
      <c r="L2325" s="226"/>
      <c r="M2325" s="101"/>
      <c r="N2325" s="101"/>
    </row>
    <row r="2326" spans="7:14" hidden="1" x14ac:dyDescent="0.3">
      <c r="G2326" s="101"/>
      <c r="H2326" s="101"/>
      <c r="I2326" s="101"/>
      <c r="K2326" s="226"/>
      <c r="L2326" s="226"/>
      <c r="M2326" s="101"/>
      <c r="N2326" s="101"/>
    </row>
    <row r="2327" spans="7:14" hidden="1" x14ac:dyDescent="0.3">
      <c r="G2327" s="101"/>
      <c r="H2327" s="101"/>
      <c r="I2327" s="101"/>
      <c r="K2327" s="226"/>
      <c r="L2327" s="226"/>
      <c r="M2327" s="101"/>
      <c r="N2327" s="101"/>
    </row>
    <row r="2328" spans="7:14" hidden="1" x14ac:dyDescent="0.3">
      <c r="G2328" s="101"/>
      <c r="H2328" s="101"/>
      <c r="I2328" s="101"/>
      <c r="K2328" s="226"/>
      <c r="L2328" s="226"/>
      <c r="M2328" s="101"/>
      <c r="N2328" s="101"/>
    </row>
    <row r="2329" spans="7:14" hidden="1" x14ac:dyDescent="0.3">
      <c r="G2329" s="101"/>
      <c r="H2329" s="101"/>
      <c r="I2329" s="101"/>
      <c r="K2329" s="226"/>
      <c r="L2329" s="226"/>
      <c r="M2329" s="101"/>
      <c r="N2329" s="101"/>
    </row>
    <row r="2330" spans="7:14" hidden="1" x14ac:dyDescent="0.3">
      <c r="G2330" s="101"/>
      <c r="H2330" s="101"/>
      <c r="I2330" s="101"/>
      <c r="K2330" s="226"/>
      <c r="L2330" s="226"/>
      <c r="M2330" s="101"/>
      <c r="N2330" s="101"/>
    </row>
    <row r="2331" spans="7:14" hidden="1" x14ac:dyDescent="0.3">
      <c r="G2331" s="101"/>
      <c r="H2331" s="101"/>
      <c r="I2331" s="101"/>
      <c r="K2331" s="226"/>
      <c r="L2331" s="226"/>
      <c r="M2331" s="101"/>
      <c r="N2331" s="101"/>
    </row>
    <row r="2332" spans="7:14" hidden="1" x14ac:dyDescent="0.3">
      <c r="G2332" s="101"/>
      <c r="H2332" s="101"/>
      <c r="I2332" s="101"/>
      <c r="K2332" s="226"/>
      <c r="L2332" s="226"/>
      <c r="M2332" s="101"/>
      <c r="N2332" s="101"/>
    </row>
    <row r="2333" spans="7:14" hidden="1" x14ac:dyDescent="0.3">
      <c r="G2333" s="101"/>
      <c r="H2333" s="101"/>
      <c r="I2333" s="101"/>
      <c r="K2333" s="226"/>
      <c r="L2333" s="226"/>
      <c r="M2333" s="101"/>
      <c r="N2333" s="101"/>
    </row>
    <row r="2334" spans="7:14" hidden="1" x14ac:dyDescent="0.3">
      <c r="G2334" s="101"/>
      <c r="H2334" s="101"/>
      <c r="I2334" s="101"/>
      <c r="K2334" s="226"/>
      <c r="L2334" s="226"/>
      <c r="M2334" s="101"/>
      <c r="N2334" s="101"/>
    </row>
    <row r="2335" spans="7:14" hidden="1" x14ac:dyDescent="0.3">
      <c r="G2335" s="101"/>
      <c r="H2335" s="101"/>
      <c r="I2335" s="101"/>
      <c r="K2335" s="226"/>
      <c r="L2335" s="226"/>
      <c r="M2335" s="101"/>
      <c r="N2335" s="101"/>
    </row>
    <row r="2336" spans="7:14" hidden="1" x14ac:dyDescent="0.3">
      <c r="G2336" s="101"/>
      <c r="H2336" s="101"/>
      <c r="I2336" s="101"/>
      <c r="K2336" s="226"/>
      <c r="L2336" s="226"/>
      <c r="M2336" s="101"/>
      <c r="N2336" s="101"/>
    </row>
    <row r="2337" spans="7:14" hidden="1" x14ac:dyDescent="0.3">
      <c r="G2337" s="101"/>
      <c r="H2337" s="101"/>
      <c r="I2337" s="101"/>
      <c r="K2337" s="226"/>
      <c r="L2337" s="226"/>
      <c r="M2337" s="101"/>
      <c r="N2337" s="101"/>
    </row>
    <row r="2338" spans="7:14" hidden="1" x14ac:dyDescent="0.3">
      <c r="G2338" s="101"/>
      <c r="H2338" s="101"/>
      <c r="I2338" s="101"/>
      <c r="K2338" s="226"/>
      <c r="L2338" s="226"/>
      <c r="M2338" s="101"/>
      <c r="N2338" s="101"/>
    </row>
    <row r="2339" spans="7:14" hidden="1" x14ac:dyDescent="0.3">
      <c r="G2339" s="101"/>
      <c r="H2339" s="101"/>
      <c r="I2339" s="101"/>
      <c r="K2339" s="226"/>
      <c r="L2339" s="226"/>
      <c r="M2339" s="101"/>
      <c r="N2339" s="101"/>
    </row>
    <row r="2340" spans="7:14" hidden="1" x14ac:dyDescent="0.3">
      <c r="G2340" s="101"/>
      <c r="H2340" s="101"/>
      <c r="I2340" s="101"/>
      <c r="K2340" s="226"/>
      <c r="L2340" s="226"/>
      <c r="M2340" s="101"/>
      <c r="N2340" s="101"/>
    </row>
    <row r="2341" spans="7:14" hidden="1" x14ac:dyDescent="0.3">
      <c r="G2341" s="101"/>
      <c r="H2341" s="101"/>
      <c r="I2341" s="101"/>
      <c r="K2341" s="226"/>
      <c r="L2341" s="226"/>
      <c r="M2341" s="101"/>
      <c r="N2341" s="101"/>
    </row>
    <row r="2342" spans="7:14" hidden="1" x14ac:dyDescent="0.3">
      <c r="G2342" s="101"/>
      <c r="H2342" s="101"/>
      <c r="I2342" s="101"/>
      <c r="K2342" s="226"/>
      <c r="L2342" s="226"/>
      <c r="M2342" s="101"/>
      <c r="N2342" s="101"/>
    </row>
    <row r="2343" spans="7:14" hidden="1" x14ac:dyDescent="0.3">
      <c r="G2343" s="101"/>
      <c r="H2343" s="101"/>
      <c r="I2343" s="101"/>
      <c r="K2343" s="226"/>
      <c r="L2343" s="226"/>
      <c r="M2343" s="101"/>
      <c r="N2343" s="101"/>
    </row>
    <row r="2344" spans="7:14" hidden="1" x14ac:dyDescent="0.3">
      <c r="G2344" s="101"/>
      <c r="H2344" s="101"/>
      <c r="I2344" s="101"/>
      <c r="K2344" s="226"/>
      <c r="L2344" s="226"/>
      <c r="M2344" s="101"/>
      <c r="N2344" s="101"/>
    </row>
    <row r="2345" spans="7:14" hidden="1" x14ac:dyDescent="0.3">
      <c r="G2345" s="101"/>
      <c r="H2345" s="101"/>
      <c r="I2345" s="101"/>
      <c r="K2345" s="226"/>
      <c r="L2345" s="226"/>
      <c r="M2345" s="101"/>
      <c r="N2345" s="101"/>
    </row>
    <row r="2346" spans="7:14" hidden="1" x14ac:dyDescent="0.3">
      <c r="G2346" s="101"/>
      <c r="H2346" s="101"/>
      <c r="I2346" s="101"/>
      <c r="K2346" s="226"/>
      <c r="L2346" s="226"/>
      <c r="M2346" s="101"/>
      <c r="N2346" s="101"/>
    </row>
    <row r="2347" spans="7:14" hidden="1" x14ac:dyDescent="0.3">
      <c r="G2347" s="101"/>
      <c r="H2347" s="101"/>
      <c r="I2347" s="101"/>
      <c r="K2347" s="226"/>
      <c r="L2347" s="226"/>
      <c r="M2347" s="101"/>
      <c r="N2347" s="101"/>
    </row>
    <row r="2348" spans="7:14" hidden="1" x14ac:dyDescent="0.3">
      <c r="G2348" s="101"/>
      <c r="H2348" s="101"/>
      <c r="I2348" s="101"/>
      <c r="K2348" s="226"/>
      <c r="L2348" s="226"/>
      <c r="M2348" s="101"/>
      <c r="N2348" s="101"/>
    </row>
    <row r="2349" spans="7:14" hidden="1" x14ac:dyDescent="0.3">
      <c r="G2349" s="101"/>
      <c r="H2349" s="101"/>
      <c r="I2349" s="101"/>
      <c r="K2349" s="226"/>
      <c r="L2349" s="226"/>
      <c r="M2349" s="101"/>
      <c r="N2349" s="101"/>
    </row>
    <row r="2350" spans="7:14" hidden="1" x14ac:dyDescent="0.3">
      <c r="G2350" s="101"/>
      <c r="H2350" s="101"/>
      <c r="I2350" s="101"/>
      <c r="K2350" s="226"/>
      <c r="L2350" s="226"/>
      <c r="M2350" s="101"/>
      <c r="N2350" s="101"/>
    </row>
    <row r="2351" spans="7:14" hidden="1" x14ac:dyDescent="0.3">
      <c r="G2351" s="101"/>
      <c r="H2351" s="101"/>
      <c r="I2351" s="101"/>
      <c r="K2351" s="226"/>
      <c r="L2351" s="226"/>
      <c r="M2351" s="101"/>
      <c r="N2351" s="101"/>
    </row>
    <row r="2352" spans="7:14" hidden="1" x14ac:dyDescent="0.3">
      <c r="G2352" s="101"/>
      <c r="H2352" s="101"/>
      <c r="I2352" s="101"/>
      <c r="K2352" s="226"/>
      <c r="L2352" s="226"/>
      <c r="M2352" s="101"/>
      <c r="N2352" s="101"/>
    </row>
    <row r="2353" spans="7:14" hidden="1" x14ac:dyDescent="0.3">
      <c r="G2353" s="101"/>
      <c r="H2353" s="101"/>
      <c r="I2353" s="101"/>
      <c r="K2353" s="226"/>
      <c r="L2353" s="226"/>
      <c r="M2353" s="101"/>
      <c r="N2353" s="101"/>
    </row>
    <row r="2354" spans="7:14" hidden="1" x14ac:dyDescent="0.3">
      <c r="G2354" s="101"/>
      <c r="H2354" s="101"/>
      <c r="I2354" s="101"/>
      <c r="K2354" s="226"/>
      <c r="L2354" s="226"/>
      <c r="M2354" s="101"/>
      <c r="N2354" s="101"/>
    </row>
    <row r="2355" spans="7:14" hidden="1" x14ac:dyDescent="0.3">
      <c r="G2355" s="101"/>
      <c r="H2355" s="101"/>
      <c r="I2355" s="101"/>
      <c r="K2355" s="226"/>
      <c r="L2355" s="226"/>
      <c r="M2355" s="101"/>
      <c r="N2355" s="101"/>
    </row>
    <row r="2356" spans="7:14" hidden="1" x14ac:dyDescent="0.3">
      <c r="G2356" s="101"/>
      <c r="H2356" s="101"/>
      <c r="I2356" s="101"/>
      <c r="K2356" s="226"/>
      <c r="L2356" s="226"/>
      <c r="M2356" s="101"/>
      <c r="N2356" s="101"/>
    </row>
    <row r="2357" spans="7:14" hidden="1" x14ac:dyDescent="0.3">
      <c r="G2357" s="101"/>
      <c r="H2357" s="101"/>
      <c r="I2357" s="101"/>
      <c r="K2357" s="226"/>
      <c r="L2357" s="226"/>
      <c r="M2357" s="101"/>
      <c r="N2357" s="101"/>
    </row>
    <row r="2358" spans="7:14" hidden="1" x14ac:dyDescent="0.3">
      <c r="G2358" s="101"/>
      <c r="H2358" s="101"/>
      <c r="I2358" s="101"/>
      <c r="K2358" s="226"/>
      <c r="L2358" s="226"/>
      <c r="M2358" s="101"/>
      <c r="N2358" s="101"/>
    </row>
    <row r="2359" spans="7:14" hidden="1" x14ac:dyDescent="0.3">
      <c r="G2359" s="101"/>
      <c r="H2359" s="101"/>
      <c r="I2359" s="101"/>
      <c r="K2359" s="226"/>
      <c r="L2359" s="226"/>
      <c r="M2359" s="101"/>
      <c r="N2359" s="101"/>
    </row>
    <row r="2360" spans="7:14" hidden="1" x14ac:dyDescent="0.3">
      <c r="G2360" s="101"/>
      <c r="H2360" s="101"/>
      <c r="I2360" s="101"/>
      <c r="K2360" s="226"/>
      <c r="L2360" s="226"/>
      <c r="M2360" s="101"/>
      <c r="N2360" s="101"/>
    </row>
    <row r="2361" spans="7:14" hidden="1" x14ac:dyDescent="0.3">
      <c r="G2361" s="101"/>
      <c r="H2361" s="101"/>
      <c r="I2361" s="101"/>
      <c r="K2361" s="226"/>
      <c r="L2361" s="226"/>
      <c r="M2361" s="101"/>
      <c r="N2361" s="101"/>
    </row>
    <row r="2362" spans="7:14" hidden="1" x14ac:dyDescent="0.3">
      <c r="G2362" s="101"/>
      <c r="H2362" s="101"/>
      <c r="I2362" s="101"/>
      <c r="K2362" s="226"/>
      <c r="L2362" s="226"/>
      <c r="M2362" s="101"/>
      <c r="N2362" s="101"/>
    </row>
    <row r="2363" spans="7:14" hidden="1" x14ac:dyDescent="0.3">
      <c r="G2363" s="101"/>
      <c r="H2363" s="101"/>
      <c r="I2363" s="101"/>
      <c r="K2363" s="226"/>
      <c r="L2363" s="226"/>
      <c r="M2363" s="101"/>
      <c r="N2363" s="101"/>
    </row>
    <row r="2364" spans="7:14" hidden="1" x14ac:dyDescent="0.3">
      <c r="G2364" s="101"/>
      <c r="H2364" s="101"/>
      <c r="I2364" s="101"/>
      <c r="K2364" s="226"/>
      <c r="L2364" s="226"/>
      <c r="M2364" s="101"/>
      <c r="N2364" s="101"/>
    </row>
    <row r="2365" spans="7:14" hidden="1" x14ac:dyDescent="0.3">
      <c r="G2365" s="101"/>
      <c r="H2365" s="101"/>
      <c r="I2365" s="101"/>
      <c r="K2365" s="226"/>
      <c r="L2365" s="226"/>
      <c r="M2365" s="101"/>
      <c r="N2365" s="101"/>
    </row>
    <row r="2366" spans="7:14" hidden="1" x14ac:dyDescent="0.3">
      <c r="G2366" s="101"/>
      <c r="H2366" s="101"/>
      <c r="I2366" s="101"/>
      <c r="K2366" s="226"/>
      <c r="L2366" s="226"/>
      <c r="M2366" s="101"/>
      <c r="N2366" s="101"/>
    </row>
    <row r="2367" spans="7:14" hidden="1" x14ac:dyDescent="0.3">
      <c r="G2367" s="101"/>
      <c r="H2367" s="101"/>
      <c r="I2367" s="101"/>
      <c r="K2367" s="226"/>
      <c r="L2367" s="226"/>
      <c r="M2367" s="101"/>
      <c r="N2367" s="101"/>
    </row>
    <row r="2368" spans="7:14" hidden="1" x14ac:dyDescent="0.3">
      <c r="G2368" s="101"/>
      <c r="H2368" s="101"/>
      <c r="I2368" s="101"/>
      <c r="K2368" s="226"/>
      <c r="L2368" s="226"/>
      <c r="M2368" s="101"/>
      <c r="N2368" s="101"/>
    </row>
    <row r="2369" spans="7:14" hidden="1" x14ac:dyDescent="0.3">
      <c r="G2369" s="101"/>
      <c r="H2369" s="101"/>
      <c r="I2369" s="101"/>
      <c r="K2369" s="226"/>
      <c r="L2369" s="226"/>
      <c r="M2369" s="101"/>
      <c r="N2369" s="101"/>
    </row>
    <row r="2370" spans="7:14" hidden="1" x14ac:dyDescent="0.3">
      <c r="G2370" s="101"/>
      <c r="H2370" s="101"/>
      <c r="I2370" s="101"/>
      <c r="K2370" s="226"/>
      <c r="L2370" s="226"/>
      <c r="M2370" s="101"/>
      <c r="N2370" s="101"/>
    </row>
    <row r="2371" spans="7:14" hidden="1" x14ac:dyDescent="0.3">
      <c r="G2371" s="101"/>
      <c r="H2371" s="101"/>
      <c r="I2371" s="101"/>
      <c r="K2371" s="226"/>
      <c r="L2371" s="226"/>
      <c r="M2371" s="101"/>
      <c r="N2371" s="101"/>
    </row>
    <row r="2372" spans="7:14" hidden="1" x14ac:dyDescent="0.3">
      <c r="G2372" s="101"/>
      <c r="H2372" s="101"/>
      <c r="I2372" s="101"/>
      <c r="K2372" s="226"/>
      <c r="L2372" s="226"/>
      <c r="M2372" s="101"/>
      <c r="N2372" s="101"/>
    </row>
    <row r="2373" spans="7:14" hidden="1" x14ac:dyDescent="0.3">
      <c r="G2373" s="101"/>
      <c r="H2373" s="101"/>
      <c r="I2373" s="101"/>
      <c r="K2373" s="226"/>
      <c r="L2373" s="226"/>
      <c r="M2373" s="101"/>
      <c r="N2373" s="101"/>
    </row>
    <row r="2374" spans="7:14" hidden="1" x14ac:dyDescent="0.3">
      <c r="G2374" s="101"/>
      <c r="H2374" s="101"/>
      <c r="I2374" s="101"/>
      <c r="K2374" s="226"/>
      <c r="L2374" s="226"/>
      <c r="M2374" s="101"/>
      <c r="N2374" s="101"/>
    </row>
    <row r="2375" spans="7:14" hidden="1" x14ac:dyDescent="0.3">
      <c r="G2375" s="101"/>
      <c r="H2375" s="101"/>
      <c r="I2375" s="101"/>
      <c r="K2375" s="226"/>
      <c r="L2375" s="226"/>
      <c r="M2375" s="101"/>
      <c r="N2375" s="101"/>
    </row>
    <row r="2376" spans="7:14" hidden="1" x14ac:dyDescent="0.3">
      <c r="G2376" s="101"/>
      <c r="H2376" s="101"/>
      <c r="I2376" s="101"/>
      <c r="K2376" s="226"/>
      <c r="L2376" s="226"/>
      <c r="M2376" s="101"/>
      <c r="N2376" s="101"/>
    </row>
    <row r="2377" spans="7:14" hidden="1" x14ac:dyDescent="0.3">
      <c r="G2377" s="101"/>
      <c r="H2377" s="101"/>
      <c r="I2377" s="101"/>
      <c r="K2377" s="226"/>
      <c r="L2377" s="226"/>
      <c r="M2377" s="101"/>
      <c r="N2377" s="101"/>
    </row>
    <row r="2378" spans="7:14" hidden="1" x14ac:dyDescent="0.3">
      <c r="G2378" s="101"/>
      <c r="H2378" s="101"/>
      <c r="I2378" s="101"/>
      <c r="K2378" s="226"/>
      <c r="L2378" s="226"/>
      <c r="M2378" s="101"/>
      <c r="N2378" s="101"/>
    </row>
    <row r="2379" spans="7:14" hidden="1" x14ac:dyDescent="0.3">
      <c r="G2379" s="101"/>
      <c r="H2379" s="101"/>
      <c r="I2379" s="101"/>
      <c r="K2379" s="226"/>
      <c r="L2379" s="226"/>
      <c r="M2379" s="101"/>
      <c r="N2379" s="101"/>
    </row>
    <row r="2380" spans="7:14" hidden="1" x14ac:dyDescent="0.3">
      <c r="G2380" s="101"/>
      <c r="H2380" s="101"/>
      <c r="I2380" s="101"/>
      <c r="K2380" s="226"/>
      <c r="L2380" s="226"/>
      <c r="M2380" s="101"/>
      <c r="N2380" s="101"/>
    </row>
    <row r="2381" spans="7:14" hidden="1" x14ac:dyDescent="0.3">
      <c r="G2381" s="101"/>
      <c r="H2381" s="101"/>
      <c r="I2381" s="101"/>
      <c r="K2381" s="226"/>
      <c r="L2381" s="226"/>
      <c r="M2381" s="101"/>
      <c r="N2381" s="101"/>
    </row>
    <row r="2382" spans="7:14" hidden="1" x14ac:dyDescent="0.3">
      <c r="G2382" s="101"/>
      <c r="H2382" s="101"/>
      <c r="I2382" s="101"/>
      <c r="K2382" s="226"/>
      <c r="L2382" s="226"/>
      <c r="M2382" s="101"/>
      <c r="N2382" s="101"/>
    </row>
    <row r="2383" spans="7:14" hidden="1" x14ac:dyDescent="0.3">
      <c r="G2383" s="101"/>
      <c r="H2383" s="101"/>
      <c r="I2383" s="101"/>
      <c r="K2383" s="226"/>
      <c r="L2383" s="226"/>
      <c r="M2383" s="101"/>
      <c r="N2383" s="101"/>
    </row>
    <row r="2384" spans="7:14" hidden="1" x14ac:dyDescent="0.3">
      <c r="G2384" s="101"/>
      <c r="H2384" s="101"/>
      <c r="I2384" s="101"/>
      <c r="K2384" s="226"/>
      <c r="L2384" s="226"/>
      <c r="M2384" s="101"/>
      <c r="N2384" s="101"/>
    </row>
    <row r="2385" spans="7:14" hidden="1" x14ac:dyDescent="0.3">
      <c r="G2385" s="101"/>
      <c r="H2385" s="101"/>
      <c r="I2385" s="101"/>
      <c r="K2385" s="226"/>
      <c r="L2385" s="226"/>
      <c r="M2385" s="101"/>
      <c r="N2385" s="101"/>
    </row>
    <row r="2386" spans="7:14" hidden="1" x14ac:dyDescent="0.3">
      <c r="G2386" s="101"/>
      <c r="H2386" s="101"/>
      <c r="I2386" s="101"/>
      <c r="K2386" s="226"/>
      <c r="L2386" s="226"/>
      <c r="M2386" s="101"/>
      <c r="N2386" s="101"/>
    </row>
    <row r="2387" spans="7:14" hidden="1" x14ac:dyDescent="0.3">
      <c r="G2387" s="101"/>
      <c r="H2387" s="101"/>
      <c r="I2387" s="101"/>
      <c r="K2387" s="226"/>
      <c r="L2387" s="226"/>
      <c r="M2387" s="101"/>
      <c r="N2387" s="101"/>
    </row>
    <row r="2388" spans="7:14" hidden="1" x14ac:dyDescent="0.3">
      <c r="G2388" s="101"/>
      <c r="H2388" s="101"/>
      <c r="I2388" s="101"/>
      <c r="K2388" s="226"/>
      <c r="L2388" s="226"/>
      <c r="M2388" s="101"/>
      <c r="N2388" s="101"/>
    </row>
    <row r="2389" spans="7:14" hidden="1" x14ac:dyDescent="0.3">
      <c r="G2389" s="101"/>
      <c r="H2389" s="101"/>
      <c r="I2389" s="101"/>
      <c r="K2389" s="226"/>
      <c r="L2389" s="226"/>
      <c r="M2389" s="101"/>
      <c r="N2389" s="101"/>
    </row>
    <row r="2390" spans="7:14" hidden="1" x14ac:dyDescent="0.3">
      <c r="G2390" s="101"/>
      <c r="H2390" s="101"/>
      <c r="I2390" s="101"/>
      <c r="K2390" s="226"/>
      <c r="L2390" s="226"/>
      <c r="M2390" s="101"/>
      <c r="N2390" s="101"/>
    </row>
    <row r="2391" spans="7:14" hidden="1" x14ac:dyDescent="0.3">
      <c r="G2391" s="101"/>
      <c r="H2391" s="101"/>
      <c r="I2391" s="101"/>
      <c r="K2391" s="226"/>
      <c r="L2391" s="226"/>
      <c r="M2391" s="101"/>
      <c r="N2391" s="101"/>
    </row>
    <row r="2392" spans="7:14" hidden="1" x14ac:dyDescent="0.3">
      <c r="G2392" s="101"/>
      <c r="H2392" s="101"/>
      <c r="I2392" s="101"/>
      <c r="K2392" s="226"/>
      <c r="L2392" s="226"/>
      <c r="M2392" s="101"/>
      <c r="N2392" s="101"/>
    </row>
    <row r="2393" spans="7:14" hidden="1" x14ac:dyDescent="0.3">
      <c r="G2393" s="101"/>
      <c r="H2393" s="101"/>
      <c r="I2393" s="101"/>
      <c r="K2393" s="226"/>
      <c r="L2393" s="226"/>
      <c r="M2393" s="101"/>
      <c r="N2393" s="101"/>
    </row>
    <row r="2394" spans="7:14" hidden="1" x14ac:dyDescent="0.3">
      <c r="G2394" s="101"/>
      <c r="H2394" s="101"/>
      <c r="I2394" s="101"/>
      <c r="K2394" s="226"/>
      <c r="L2394" s="226"/>
      <c r="M2394" s="101"/>
      <c r="N2394" s="101"/>
    </row>
    <row r="2395" spans="7:14" hidden="1" x14ac:dyDescent="0.3">
      <c r="G2395" s="101"/>
      <c r="H2395" s="101"/>
      <c r="I2395" s="101"/>
      <c r="K2395" s="226"/>
      <c r="L2395" s="226"/>
      <c r="M2395" s="101"/>
      <c r="N2395" s="101"/>
    </row>
    <row r="2396" spans="7:14" hidden="1" x14ac:dyDescent="0.3">
      <c r="G2396" s="101"/>
      <c r="H2396" s="101"/>
      <c r="I2396" s="101"/>
      <c r="K2396" s="226"/>
      <c r="L2396" s="226"/>
      <c r="M2396" s="101"/>
      <c r="N2396" s="101"/>
    </row>
    <row r="2397" spans="7:14" hidden="1" x14ac:dyDescent="0.3">
      <c r="G2397" s="101"/>
      <c r="H2397" s="101"/>
      <c r="I2397" s="101"/>
      <c r="K2397" s="226"/>
      <c r="L2397" s="226"/>
      <c r="M2397" s="101"/>
      <c r="N2397" s="101"/>
    </row>
    <row r="2398" spans="7:14" hidden="1" x14ac:dyDescent="0.3">
      <c r="G2398" s="101"/>
      <c r="H2398" s="101"/>
      <c r="I2398" s="101"/>
      <c r="K2398" s="226"/>
      <c r="L2398" s="226"/>
      <c r="M2398" s="101"/>
      <c r="N2398" s="101"/>
    </row>
    <row r="2399" spans="7:14" hidden="1" x14ac:dyDescent="0.3">
      <c r="G2399" s="101"/>
      <c r="H2399" s="101"/>
      <c r="I2399" s="101"/>
      <c r="K2399" s="226"/>
      <c r="L2399" s="226"/>
      <c r="M2399" s="101"/>
      <c r="N2399" s="101"/>
    </row>
    <row r="2400" spans="7:14" hidden="1" x14ac:dyDescent="0.3">
      <c r="G2400" s="101"/>
      <c r="H2400" s="101"/>
      <c r="I2400" s="101"/>
      <c r="K2400" s="226"/>
      <c r="L2400" s="226"/>
      <c r="M2400" s="101"/>
      <c r="N2400" s="101"/>
    </row>
    <row r="2401" spans="7:14" hidden="1" x14ac:dyDescent="0.3">
      <c r="G2401" s="101"/>
      <c r="H2401" s="101"/>
      <c r="I2401" s="101"/>
      <c r="K2401" s="226"/>
      <c r="L2401" s="226"/>
      <c r="M2401" s="101"/>
      <c r="N2401" s="101"/>
    </row>
    <row r="2402" spans="7:14" hidden="1" x14ac:dyDescent="0.3">
      <c r="G2402" s="101"/>
      <c r="H2402" s="101"/>
      <c r="I2402" s="101"/>
      <c r="K2402" s="226"/>
      <c r="L2402" s="226"/>
      <c r="M2402" s="101"/>
      <c r="N2402" s="101"/>
    </row>
    <row r="2403" spans="7:14" hidden="1" x14ac:dyDescent="0.3">
      <c r="G2403" s="101"/>
      <c r="H2403" s="101"/>
      <c r="I2403" s="101"/>
      <c r="K2403" s="226"/>
      <c r="L2403" s="226"/>
      <c r="M2403" s="101"/>
      <c r="N2403" s="101"/>
    </row>
    <row r="2404" spans="7:14" hidden="1" x14ac:dyDescent="0.3">
      <c r="G2404" s="101"/>
      <c r="H2404" s="101"/>
      <c r="I2404" s="101"/>
      <c r="K2404" s="226"/>
      <c r="L2404" s="226"/>
      <c r="M2404" s="101"/>
      <c r="N2404" s="101"/>
    </row>
    <row r="2405" spans="7:14" hidden="1" x14ac:dyDescent="0.3">
      <c r="G2405" s="101"/>
      <c r="H2405" s="101"/>
      <c r="I2405" s="101"/>
      <c r="K2405" s="226"/>
      <c r="L2405" s="226"/>
      <c r="M2405" s="101"/>
      <c r="N2405" s="101"/>
    </row>
    <row r="2406" spans="7:14" hidden="1" x14ac:dyDescent="0.3">
      <c r="G2406" s="101"/>
      <c r="H2406" s="101"/>
      <c r="I2406" s="101"/>
      <c r="K2406" s="226"/>
      <c r="L2406" s="226"/>
      <c r="M2406" s="101"/>
      <c r="N2406" s="101"/>
    </row>
    <row r="2407" spans="7:14" hidden="1" x14ac:dyDescent="0.3">
      <c r="G2407" s="101"/>
      <c r="H2407" s="101"/>
      <c r="I2407" s="101"/>
      <c r="K2407" s="226"/>
      <c r="L2407" s="226"/>
      <c r="M2407" s="101"/>
      <c r="N2407" s="101"/>
    </row>
    <row r="2408" spans="7:14" hidden="1" x14ac:dyDescent="0.3">
      <c r="G2408" s="101"/>
      <c r="H2408" s="101"/>
      <c r="I2408" s="101"/>
      <c r="K2408" s="226"/>
      <c r="L2408" s="226"/>
      <c r="M2408" s="101"/>
      <c r="N2408" s="101"/>
    </row>
    <row r="2409" spans="7:14" hidden="1" x14ac:dyDescent="0.3">
      <c r="G2409" s="101"/>
      <c r="H2409" s="101"/>
      <c r="I2409" s="101"/>
      <c r="K2409" s="226"/>
      <c r="L2409" s="226"/>
      <c r="M2409" s="101"/>
      <c r="N2409" s="101"/>
    </row>
    <row r="2410" spans="7:14" hidden="1" x14ac:dyDescent="0.3">
      <c r="G2410" s="101"/>
      <c r="H2410" s="101"/>
      <c r="I2410" s="101"/>
      <c r="K2410" s="226"/>
      <c r="L2410" s="226"/>
      <c r="M2410" s="101"/>
      <c r="N2410" s="101"/>
    </row>
    <row r="2411" spans="7:14" hidden="1" x14ac:dyDescent="0.3">
      <c r="G2411" s="101"/>
      <c r="H2411" s="101"/>
      <c r="I2411" s="101"/>
      <c r="K2411" s="226"/>
      <c r="L2411" s="226"/>
      <c r="M2411" s="101"/>
      <c r="N2411" s="101"/>
    </row>
    <row r="2412" spans="7:14" hidden="1" x14ac:dyDescent="0.3">
      <c r="G2412" s="101"/>
      <c r="H2412" s="101"/>
      <c r="I2412" s="101"/>
      <c r="K2412" s="226"/>
      <c r="L2412" s="226"/>
      <c r="M2412" s="101"/>
      <c r="N2412" s="101"/>
    </row>
    <row r="2413" spans="7:14" hidden="1" x14ac:dyDescent="0.3">
      <c r="G2413" s="101"/>
      <c r="H2413" s="101"/>
      <c r="I2413" s="101"/>
      <c r="K2413" s="226"/>
      <c r="L2413" s="226"/>
      <c r="M2413" s="101"/>
      <c r="N2413" s="101"/>
    </row>
    <row r="2414" spans="7:14" hidden="1" x14ac:dyDescent="0.3">
      <c r="G2414" s="101"/>
      <c r="H2414" s="101"/>
      <c r="I2414" s="101"/>
      <c r="K2414" s="226"/>
      <c r="L2414" s="226"/>
      <c r="M2414" s="101"/>
      <c r="N2414" s="101"/>
    </row>
    <row r="2415" spans="7:14" hidden="1" x14ac:dyDescent="0.3">
      <c r="G2415" s="101"/>
      <c r="H2415" s="101"/>
      <c r="I2415" s="101"/>
      <c r="K2415" s="226"/>
      <c r="L2415" s="226"/>
      <c r="M2415" s="101"/>
      <c r="N2415" s="101"/>
    </row>
    <row r="2416" spans="7:14" hidden="1" x14ac:dyDescent="0.3">
      <c r="G2416" s="101"/>
      <c r="H2416" s="101"/>
      <c r="I2416" s="101"/>
      <c r="K2416" s="226"/>
      <c r="L2416" s="226"/>
      <c r="M2416" s="101"/>
      <c r="N2416" s="101"/>
    </row>
    <row r="2417" spans="7:14" hidden="1" x14ac:dyDescent="0.3">
      <c r="G2417" s="101"/>
      <c r="H2417" s="101"/>
      <c r="I2417" s="101"/>
      <c r="K2417" s="226"/>
      <c r="L2417" s="226"/>
      <c r="M2417" s="101"/>
      <c r="N2417" s="101"/>
    </row>
    <row r="2418" spans="7:14" hidden="1" x14ac:dyDescent="0.3">
      <c r="G2418" s="101"/>
      <c r="H2418" s="101"/>
      <c r="I2418" s="101"/>
      <c r="K2418" s="226"/>
      <c r="L2418" s="226"/>
      <c r="M2418" s="101"/>
      <c r="N2418" s="101"/>
    </row>
    <row r="2419" spans="7:14" hidden="1" x14ac:dyDescent="0.3">
      <c r="G2419" s="101"/>
      <c r="H2419" s="101"/>
      <c r="I2419" s="101"/>
      <c r="K2419" s="226"/>
      <c r="L2419" s="226"/>
      <c r="M2419" s="101"/>
      <c r="N2419" s="101"/>
    </row>
    <row r="2420" spans="7:14" hidden="1" x14ac:dyDescent="0.3">
      <c r="G2420" s="101"/>
      <c r="H2420" s="101"/>
      <c r="I2420" s="101"/>
      <c r="K2420" s="226"/>
      <c r="L2420" s="226"/>
      <c r="M2420" s="101"/>
      <c r="N2420" s="101"/>
    </row>
    <row r="2421" spans="7:14" hidden="1" x14ac:dyDescent="0.3">
      <c r="G2421" s="101"/>
      <c r="H2421" s="101"/>
      <c r="I2421" s="101"/>
      <c r="K2421" s="226"/>
      <c r="L2421" s="226"/>
      <c r="M2421" s="101"/>
      <c r="N2421" s="101"/>
    </row>
    <row r="2422" spans="7:14" hidden="1" x14ac:dyDescent="0.3">
      <c r="G2422" s="101"/>
      <c r="H2422" s="101"/>
      <c r="I2422" s="101"/>
      <c r="K2422" s="226"/>
      <c r="L2422" s="226"/>
      <c r="M2422" s="101"/>
      <c r="N2422" s="101"/>
    </row>
    <row r="2423" spans="7:14" hidden="1" x14ac:dyDescent="0.3">
      <c r="G2423" s="101"/>
      <c r="H2423" s="101"/>
      <c r="I2423" s="101"/>
      <c r="K2423" s="226"/>
      <c r="L2423" s="226"/>
      <c r="M2423" s="101"/>
      <c r="N2423" s="101"/>
    </row>
    <row r="2424" spans="7:14" hidden="1" x14ac:dyDescent="0.3">
      <c r="G2424" s="101"/>
      <c r="H2424" s="101"/>
      <c r="I2424" s="101"/>
      <c r="K2424" s="226"/>
      <c r="L2424" s="226"/>
      <c r="M2424" s="101"/>
      <c r="N2424" s="101"/>
    </row>
    <row r="2425" spans="7:14" hidden="1" x14ac:dyDescent="0.3">
      <c r="G2425" s="101"/>
      <c r="H2425" s="101"/>
      <c r="I2425" s="101"/>
      <c r="K2425" s="226"/>
      <c r="L2425" s="226"/>
      <c r="M2425" s="101"/>
      <c r="N2425" s="101"/>
    </row>
    <row r="2426" spans="7:14" hidden="1" x14ac:dyDescent="0.3">
      <c r="G2426" s="101"/>
      <c r="H2426" s="101"/>
      <c r="I2426" s="101"/>
      <c r="K2426" s="226"/>
      <c r="L2426" s="226"/>
      <c r="M2426" s="101"/>
      <c r="N2426" s="101"/>
    </row>
    <row r="2427" spans="7:14" hidden="1" x14ac:dyDescent="0.3">
      <c r="G2427" s="101"/>
      <c r="H2427" s="101"/>
      <c r="I2427" s="101"/>
      <c r="K2427" s="226"/>
      <c r="L2427" s="226"/>
      <c r="M2427" s="101"/>
      <c r="N2427" s="101"/>
    </row>
    <row r="2428" spans="7:14" hidden="1" x14ac:dyDescent="0.3">
      <c r="G2428" s="101"/>
      <c r="H2428" s="101"/>
      <c r="I2428" s="101"/>
      <c r="K2428" s="226"/>
      <c r="L2428" s="226"/>
      <c r="M2428" s="101"/>
      <c r="N2428" s="101"/>
    </row>
    <row r="2429" spans="7:14" hidden="1" x14ac:dyDescent="0.3">
      <c r="G2429" s="101"/>
      <c r="H2429" s="101"/>
      <c r="I2429" s="101"/>
      <c r="K2429" s="226"/>
      <c r="L2429" s="226"/>
      <c r="M2429" s="101"/>
      <c r="N2429" s="101"/>
    </row>
    <row r="2430" spans="7:14" hidden="1" x14ac:dyDescent="0.3">
      <c r="G2430" s="101"/>
      <c r="H2430" s="101"/>
      <c r="I2430" s="101"/>
      <c r="K2430" s="226"/>
      <c r="L2430" s="226"/>
      <c r="M2430" s="101"/>
      <c r="N2430" s="101"/>
    </row>
    <row r="2431" spans="7:14" hidden="1" x14ac:dyDescent="0.3">
      <c r="G2431" s="101"/>
      <c r="H2431" s="101"/>
      <c r="I2431" s="101"/>
      <c r="K2431" s="226"/>
      <c r="L2431" s="226"/>
      <c r="M2431" s="101"/>
      <c r="N2431" s="101"/>
    </row>
    <row r="2432" spans="7:14" hidden="1" x14ac:dyDescent="0.3">
      <c r="G2432" s="101"/>
      <c r="H2432" s="101"/>
      <c r="I2432" s="101"/>
      <c r="K2432" s="226"/>
      <c r="L2432" s="226"/>
      <c r="M2432" s="101"/>
      <c r="N2432" s="101"/>
    </row>
    <row r="2433" spans="7:14" hidden="1" x14ac:dyDescent="0.3">
      <c r="G2433" s="101"/>
      <c r="H2433" s="101"/>
      <c r="I2433" s="101"/>
      <c r="K2433" s="226"/>
      <c r="L2433" s="226"/>
      <c r="M2433" s="101"/>
      <c r="N2433" s="101"/>
    </row>
    <row r="2434" spans="7:14" hidden="1" x14ac:dyDescent="0.3">
      <c r="G2434" s="101"/>
      <c r="H2434" s="101"/>
      <c r="I2434" s="101"/>
      <c r="K2434" s="226"/>
      <c r="L2434" s="226"/>
      <c r="M2434" s="101"/>
      <c r="N2434" s="101"/>
    </row>
    <row r="2435" spans="7:14" hidden="1" x14ac:dyDescent="0.3">
      <c r="G2435" s="101"/>
      <c r="H2435" s="101"/>
      <c r="I2435" s="101"/>
      <c r="K2435" s="226"/>
      <c r="L2435" s="226"/>
      <c r="M2435" s="101"/>
      <c r="N2435" s="101"/>
    </row>
    <row r="2436" spans="7:14" hidden="1" x14ac:dyDescent="0.3">
      <c r="G2436" s="101"/>
      <c r="H2436" s="101"/>
      <c r="I2436" s="101"/>
      <c r="K2436" s="226"/>
      <c r="L2436" s="226"/>
      <c r="M2436" s="101"/>
      <c r="N2436" s="101"/>
    </row>
    <row r="2437" spans="7:14" hidden="1" x14ac:dyDescent="0.3">
      <c r="G2437" s="101"/>
      <c r="H2437" s="101"/>
      <c r="I2437" s="101"/>
      <c r="K2437" s="226"/>
      <c r="L2437" s="226"/>
      <c r="M2437" s="101"/>
      <c r="N2437" s="101"/>
    </row>
    <row r="2438" spans="7:14" hidden="1" x14ac:dyDescent="0.3">
      <c r="G2438" s="101"/>
      <c r="H2438" s="101"/>
      <c r="I2438" s="101"/>
      <c r="K2438" s="226"/>
      <c r="L2438" s="226"/>
      <c r="M2438" s="101"/>
      <c r="N2438" s="101"/>
    </row>
    <row r="2439" spans="7:14" hidden="1" x14ac:dyDescent="0.3">
      <c r="G2439" s="101"/>
      <c r="H2439" s="101"/>
      <c r="I2439" s="101"/>
      <c r="K2439" s="226"/>
      <c r="L2439" s="226"/>
      <c r="M2439" s="101"/>
      <c r="N2439" s="101"/>
    </row>
    <row r="2440" spans="7:14" hidden="1" x14ac:dyDescent="0.3">
      <c r="G2440" s="101"/>
      <c r="H2440" s="101"/>
      <c r="I2440" s="101"/>
      <c r="K2440" s="226"/>
      <c r="L2440" s="226"/>
      <c r="M2440" s="101"/>
      <c r="N2440" s="101"/>
    </row>
    <row r="2441" spans="7:14" hidden="1" x14ac:dyDescent="0.3">
      <c r="G2441" s="101"/>
      <c r="H2441" s="101"/>
      <c r="I2441" s="101"/>
      <c r="K2441" s="226"/>
      <c r="L2441" s="226"/>
      <c r="M2441" s="101"/>
      <c r="N2441" s="101"/>
    </row>
    <row r="2442" spans="7:14" hidden="1" x14ac:dyDescent="0.3">
      <c r="G2442" s="101"/>
      <c r="H2442" s="101"/>
      <c r="I2442" s="101"/>
      <c r="K2442" s="226"/>
      <c r="L2442" s="226"/>
      <c r="M2442" s="101"/>
      <c r="N2442" s="101"/>
    </row>
    <row r="2443" spans="7:14" hidden="1" x14ac:dyDescent="0.3">
      <c r="G2443" s="101"/>
      <c r="H2443" s="101"/>
      <c r="I2443" s="101"/>
      <c r="K2443" s="226"/>
      <c r="L2443" s="226"/>
      <c r="M2443" s="101"/>
      <c r="N2443" s="101"/>
    </row>
    <row r="2444" spans="7:14" hidden="1" x14ac:dyDescent="0.3">
      <c r="G2444" s="101"/>
      <c r="H2444" s="101"/>
      <c r="I2444" s="101"/>
      <c r="K2444" s="226"/>
      <c r="L2444" s="226"/>
      <c r="M2444" s="101"/>
      <c r="N2444" s="101"/>
    </row>
    <row r="2445" spans="7:14" hidden="1" x14ac:dyDescent="0.3">
      <c r="G2445" s="101"/>
      <c r="H2445" s="101"/>
      <c r="I2445" s="101"/>
      <c r="K2445" s="226"/>
      <c r="L2445" s="226"/>
      <c r="M2445" s="101"/>
      <c r="N2445" s="101"/>
    </row>
    <row r="2446" spans="7:14" hidden="1" x14ac:dyDescent="0.3">
      <c r="G2446" s="101"/>
      <c r="H2446" s="101"/>
      <c r="I2446" s="101"/>
      <c r="K2446" s="226"/>
      <c r="L2446" s="226"/>
      <c r="M2446" s="101"/>
      <c r="N2446" s="101"/>
    </row>
    <row r="2447" spans="7:14" hidden="1" x14ac:dyDescent="0.3">
      <c r="G2447" s="101"/>
      <c r="H2447" s="101"/>
      <c r="I2447" s="101"/>
      <c r="K2447" s="226"/>
      <c r="L2447" s="226"/>
      <c r="M2447" s="101"/>
      <c r="N2447" s="101"/>
    </row>
    <row r="2448" spans="7:14" hidden="1" x14ac:dyDescent="0.3">
      <c r="G2448" s="101"/>
      <c r="H2448" s="101"/>
      <c r="I2448" s="101"/>
      <c r="K2448" s="226"/>
      <c r="L2448" s="226"/>
      <c r="M2448" s="101"/>
      <c r="N2448" s="101"/>
    </row>
    <row r="2449" spans="7:14" hidden="1" x14ac:dyDescent="0.3">
      <c r="G2449" s="101"/>
      <c r="H2449" s="101"/>
      <c r="I2449" s="101"/>
      <c r="K2449" s="226"/>
      <c r="L2449" s="226"/>
      <c r="M2449" s="101"/>
      <c r="N2449" s="101"/>
    </row>
    <row r="2450" spans="7:14" hidden="1" x14ac:dyDescent="0.3">
      <c r="G2450" s="101"/>
      <c r="H2450" s="101"/>
      <c r="I2450" s="101"/>
      <c r="K2450" s="226"/>
      <c r="L2450" s="226"/>
      <c r="M2450" s="101"/>
      <c r="N2450" s="101"/>
    </row>
    <row r="2451" spans="7:14" hidden="1" x14ac:dyDescent="0.3">
      <c r="G2451" s="101"/>
      <c r="H2451" s="101"/>
      <c r="I2451" s="101"/>
      <c r="K2451" s="226"/>
      <c r="L2451" s="226"/>
      <c r="M2451" s="101"/>
      <c r="N2451" s="101"/>
    </row>
    <row r="2452" spans="7:14" hidden="1" x14ac:dyDescent="0.3">
      <c r="G2452" s="101"/>
      <c r="H2452" s="101"/>
      <c r="I2452" s="101"/>
      <c r="K2452" s="226"/>
      <c r="L2452" s="226"/>
      <c r="M2452" s="101"/>
      <c r="N2452" s="101"/>
    </row>
    <row r="2453" spans="7:14" hidden="1" x14ac:dyDescent="0.3">
      <c r="G2453" s="101"/>
      <c r="H2453" s="101"/>
      <c r="I2453" s="101"/>
      <c r="K2453" s="226"/>
      <c r="L2453" s="226"/>
      <c r="M2453" s="101"/>
      <c r="N2453" s="101"/>
    </row>
    <row r="2454" spans="7:14" hidden="1" x14ac:dyDescent="0.3">
      <c r="G2454" s="101"/>
      <c r="H2454" s="101"/>
      <c r="I2454" s="101"/>
      <c r="K2454" s="226"/>
      <c r="L2454" s="226"/>
      <c r="M2454" s="101"/>
      <c r="N2454" s="101"/>
    </row>
    <row r="2455" spans="7:14" hidden="1" x14ac:dyDescent="0.3">
      <c r="G2455" s="101"/>
      <c r="H2455" s="101"/>
      <c r="I2455" s="101"/>
      <c r="K2455" s="226"/>
      <c r="L2455" s="226"/>
      <c r="M2455" s="101"/>
      <c r="N2455" s="101"/>
    </row>
    <row r="2456" spans="7:14" hidden="1" x14ac:dyDescent="0.3">
      <c r="G2456" s="101"/>
      <c r="H2456" s="101"/>
      <c r="I2456" s="101"/>
      <c r="K2456" s="226"/>
      <c r="L2456" s="226"/>
      <c r="M2456" s="101"/>
      <c r="N2456" s="101"/>
    </row>
    <row r="2457" spans="7:14" hidden="1" x14ac:dyDescent="0.3">
      <c r="G2457" s="101"/>
      <c r="H2457" s="101"/>
      <c r="I2457" s="101"/>
      <c r="K2457" s="226"/>
      <c r="L2457" s="226"/>
      <c r="M2457" s="101"/>
      <c r="N2457" s="101"/>
    </row>
    <row r="2458" spans="7:14" hidden="1" x14ac:dyDescent="0.3">
      <c r="G2458" s="101"/>
      <c r="H2458" s="101"/>
      <c r="I2458" s="101"/>
      <c r="K2458" s="226"/>
      <c r="L2458" s="226"/>
      <c r="M2458" s="101"/>
      <c r="N2458" s="101"/>
    </row>
    <row r="2459" spans="7:14" hidden="1" x14ac:dyDescent="0.3">
      <c r="G2459" s="101"/>
      <c r="H2459" s="101"/>
      <c r="I2459" s="101"/>
      <c r="K2459" s="226"/>
      <c r="L2459" s="226"/>
      <c r="M2459" s="101"/>
      <c r="N2459" s="101"/>
    </row>
    <row r="2460" spans="7:14" hidden="1" x14ac:dyDescent="0.3">
      <c r="G2460" s="101"/>
      <c r="H2460" s="101"/>
      <c r="I2460" s="101"/>
      <c r="K2460" s="226"/>
      <c r="L2460" s="226"/>
      <c r="M2460" s="101"/>
      <c r="N2460" s="101"/>
    </row>
    <row r="2461" spans="7:14" hidden="1" x14ac:dyDescent="0.3">
      <c r="G2461" s="101"/>
      <c r="H2461" s="101"/>
      <c r="I2461" s="101"/>
      <c r="K2461" s="226"/>
      <c r="L2461" s="226"/>
      <c r="M2461" s="101"/>
      <c r="N2461" s="101"/>
    </row>
    <row r="2462" spans="7:14" hidden="1" x14ac:dyDescent="0.3">
      <c r="G2462" s="101"/>
      <c r="H2462" s="101"/>
      <c r="I2462" s="101"/>
      <c r="K2462" s="226"/>
      <c r="L2462" s="226"/>
      <c r="M2462" s="101"/>
      <c r="N2462" s="101"/>
    </row>
    <row r="2463" spans="7:14" hidden="1" x14ac:dyDescent="0.3">
      <c r="G2463" s="101"/>
      <c r="H2463" s="101"/>
      <c r="I2463" s="101"/>
      <c r="K2463" s="226"/>
      <c r="L2463" s="226"/>
      <c r="M2463" s="101"/>
      <c r="N2463" s="101"/>
    </row>
    <row r="2464" spans="7:14" hidden="1" x14ac:dyDescent="0.3">
      <c r="G2464" s="101"/>
      <c r="H2464" s="101"/>
      <c r="I2464" s="101"/>
      <c r="K2464" s="226"/>
      <c r="L2464" s="226"/>
      <c r="M2464" s="101"/>
      <c r="N2464" s="101"/>
    </row>
    <row r="2465" spans="7:14" hidden="1" x14ac:dyDescent="0.3">
      <c r="G2465" s="101"/>
      <c r="H2465" s="101"/>
      <c r="I2465" s="101"/>
      <c r="K2465" s="226"/>
      <c r="L2465" s="226"/>
      <c r="M2465" s="101"/>
      <c r="N2465" s="101"/>
    </row>
    <row r="2466" spans="7:14" hidden="1" x14ac:dyDescent="0.3">
      <c r="G2466" s="101"/>
      <c r="H2466" s="101"/>
      <c r="I2466" s="101"/>
      <c r="K2466" s="226"/>
      <c r="L2466" s="226"/>
      <c r="M2466" s="101"/>
      <c r="N2466" s="101"/>
    </row>
    <row r="2467" spans="7:14" hidden="1" x14ac:dyDescent="0.3">
      <c r="G2467" s="101"/>
      <c r="H2467" s="101"/>
      <c r="I2467" s="101"/>
      <c r="K2467" s="226"/>
      <c r="L2467" s="226"/>
      <c r="M2467" s="101"/>
      <c r="N2467" s="101"/>
    </row>
    <row r="2468" spans="7:14" hidden="1" x14ac:dyDescent="0.3">
      <c r="G2468" s="101"/>
      <c r="H2468" s="101"/>
      <c r="I2468" s="101"/>
      <c r="K2468" s="226"/>
      <c r="L2468" s="226"/>
      <c r="M2468" s="101"/>
      <c r="N2468" s="101"/>
    </row>
    <row r="2469" spans="7:14" hidden="1" x14ac:dyDescent="0.3">
      <c r="G2469" s="101"/>
      <c r="H2469" s="101"/>
      <c r="I2469" s="101"/>
      <c r="K2469" s="226"/>
      <c r="L2469" s="226"/>
      <c r="M2469" s="101"/>
      <c r="N2469" s="101"/>
    </row>
    <row r="2470" spans="7:14" hidden="1" x14ac:dyDescent="0.3">
      <c r="G2470" s="101"/>
      <c r="H2470" s="101"/>
      <c r="I2470" s="101"/>
      <c r="K2470" s="226"/>
      <c r="L2470" s="226"/>
      <c r="M2470" s="101"/>
      <c r="N2470" s="101"/>
    </row>
    <row r="2471" spans="7:14" hidden="1" x14ac:dyDescent="0.3">
      <c r="G2471" s="101"/>
      <c r="H2471" s="101"/>
      <c r="I2471" s="101"/>
      <c r="K2471" s="226"/>
      <c r="L2471" s="226"/>
      <c r="M2471" s="101"/>
      <c r="N2471" s="101"/>
    </row>
    <row r="2472" spans="7:14" hidden="1" x14ac:dyDescent="0.3">
      <c r="G2472" s="101"/>
      <c r="H2472" s="101"/>
      <c r="I2472" s="101"/>
      <c r="K2472" s="226"/>
      <c r="L2472" s="226"/>
      <c r="M2472" s="101"/>
      <c r="N2472" s="101"/>
    </row>
    <row r="2473" spans="7:14" hidden="1" x14ac:dyDescent="0.3">
      <c r="G2473" s="101"/>
      <c r="H2473" s="101"/>
      <c r="I2473" s="101"/>
      <c r="K2473" s="226"/>
      <c r="L2473" s="226"/>
      <c r="M2473" s="101"/>
      <c r="N2473" s="101"/>
    </row>
    <row r="2474" spans="7:14" hidden="1" x14ac:dyDescent="0.3">
      <c r="G2474" s="101"/>
      <c r="H2474" s="101"/>
      <c r="I2474" s="101"/>
      <c r="K2474" s="226"/>
      <c r="L2474" s="226"/>
      <c r="M2474" s="101"/>
      <c r="N2474" s="101"/>
    </row>
    <row r="2475" spans="7:14" hidden="1" x14ac:dyDescent="0.3">
      <c r="G2475" s="101"/>
      <c r="H2475" s="101"/>
      <c r="I2475" s="101"/>
      <c r="K2475" s="226"/>
      <c r="L2475" s="226"/>
      <c r="M2475" s="101"/>
      <c r="N2475" s="101"/>
    </row>
    <row r="2476" spans="7:14" hidden="1" x14ac:dyDescent="0.3">
      <c r="G2476" s="101"/>
      <c r="H2476" s="101"/>
      <c r="I2476" s="101"/>
      <c r="K2476" s="226"/>
      <c r="L2476" s="226"/>
      <c r="M2476" s="101"/>
      <c r="N2476" s="101"/>
    </row>
    <row r="2477" spans="7:14" hidden="1" x14ac:dyDescent="0.3">
      <c r="G2477" s="101"/>
      <c r="H2477" s="101"/>
      <c r="I2477" s="101"/>
      <c r="K2477" s="226"/>
      <c r="L2477" s="226"/>
      <c r="M2477" s="101"/>
      <c r="N2477" s="101"/>
    </row>
    <row r="2478" spans="7:14" hidden="1" x14ac:dyDescent="0.3">
      <c r="G2478" s="101"/>
      <c r="H2478" s="101"/>
      <c r="I2478" s="101"/>
      <c r="K2478" s="226"/>
      <c r="L2478" s="226"/>
      <c r="M2478" s="101"/>
      <c r="N2478" s="101"/>
    </row>
    <row r="2479" spans="7:14" hidden="1" x14ac:dyDescent="0.3">
      <c r="G2479" s="101"/>
      <c r="H2479" s="101"/>
      <c r="I2479" s="101"/>
      <c r="K2479" s="226"/>
      <c r="L2479" s="226"/>
      <c r="M2479" s="101"/>
      <c r="N2479" s="101"/>
    </row>
    <row r="2480" spans="7:14" hidden="1" x14ac:dyDescent="0.3">
      <c r="G2480" s="101"/>
      <c r="H2480" s="101"/>
      <c r="I2480" s="101"/>
      <c r="K2480" s="226"/>
      <c r="L2480" s="226"/>
      <c r="M2480" s="101"/>
      <c r="N2480" s="101"/>
    </row>
    <row r="2481" spans="7:14" hidden="1" x14ac:dyDescent="0.3">
      <c r="G2481" s="101"/>
      <c r="H2481" s="101"/>
      <c r="I2481" s="101"/>
      <c r="K2481" s="226"/>
      <c r="L2481" s="226"/>
      <c r="M2481" s="101"/>
      <c r="N2481" s="101"/>
    </row>
    <row r="2482" spans="7:14" hidden="1" x14ac:dyDescent="0.3">
      <c r="G2482" s="101"/>
      <c r="H2482" s="101"/>
      <c r="I2482" s="101"/>
      <c r="K2482" s="226"/>
      <c r="L2482" s="226"/>
      <c r="M2482" s="101"/>
      <c r="N2482" s="101"/>
    </row>
    <row r="2483" spans="7:14" hidden="1" x14ac:dyDescent="0.3">
      <c r="G2483" s="101"/>
      <c r="H2483" s="101"/>
      <c r="I2483" s="101"/>
      <c r="K2483" s="226"/>
      <c r="L2483" s="226"/>
      <c r="M2483" s="101"/>
      <c r="N2483" s="101"/>
    </row>
    <row r="2484" spans="7:14" hidden="1" x14ac:dyDescent="0.3">
      <c r="G2484" s="101"/>
      <c r="H2484" s="101"/>
      <c r="I2484" s="101"/>
      <c r="K2484" s="226"/>
      <c r="L2484" s="226"/>
      <c r="M2484" s="101"/>
      <c r="N2484" s="101"/>
    </row>
    <row r="2485" spans="7:14" hidden="1" x14ac:dyDescent="0.3">
      <c r="G2485" s="101"/>
      <c r="H2485" s="101"/>
      <c r="I2485" s="101"/>
      <c r="K2485" s="226"/>
      <c r="L2485" s="226"/>
      <c r="M2485" s="101"/>
      <c r="N2485" s="101"/>
    </row>
    <row r="2486" spans="7:14" hidden="1" x14ac:dyDescent="0.3">
      <c r="G2486" s="101"/>
      <c r="H2486" s="101"/>
      <c r="I2486" s="101"/>
      <c r="K2486" s="226"/>
      <c r="L2486" s="226"/>
      <c r="M2486" s="101"/>
      <c r="N2486" s="101"/>
    </row>
    <row r="2487" spans="7:14" hidden="1" x14ac:dyDescent="0.3">
      <c r="G2487" s="101"/>
      <c r="H2487" s="101"/>
      <c r="I2487" s="101"/>
      <c r="K2487" s="226"/>
      <c r="L2487" s="226"/>
      <c r="M2487" s="101"/>
      <c r="N2487" s="101"/>
    </row>
    <row r="2488" spans="7:14" hidden="1" x14ac:dyDescent="0.3">
      <c r="G2488" s="101"/>
      <c r="H2488" s="101"/>
      <c r="I2488" s="101"/>
      <c r="K2488" s="226"/>
      <c r="L2488" s="226"/>
      <c r="M2488" s="101"/>
      <c r="N2488" s="101"/>
    </row>
    <row r="2489" spans="7:14" hidden="1" x14ac:dyDescent="0.3">
      <c r="G2489" s="101"/>
      <c r="H2489" s="101"/>
      <c r="I2489" s="101"/>
      <c r="K2489" s="226"/>
      <c r="L2489" s="226"/>
      <c r="M2489" s="101"/>
      <c r="N2489" s="101"/>
    </row>
    <row r="2490" spans="7:14" hidden="1" x14ac:dyDescent="0.3">
      <c r="G2490" s="101"/>
      <c r="H2490" s="101"/>
      <c r="I2490" s="101"/>
      <c r="K2490" s="226"/>
      <c r="L2490" s="226"/>
      <c r="M2490" s="101"/>
      <c r="N2490" s="101"/>
    </row>
    <row r="2491" spans="7:14" hidden="1" x14ac:dyDescent="0.3">
      <c r="G2491" s="101"/>
      <c r="H2491" s="101"/>
      <c r="I2491" s="101"/>
      <c r="K2491" s="226"/>
      <c r="L2491" s="226"/>
      <c r="M2491" s="101"/>
      <c r="N2491" s="101"/>
    </row>
    <row r="2492" spans="7:14" hidden="1" x14ac:dyDescent="0.3">
      <c r="G2492" s="101"/>
      <c r="H2492" s="101"/>
      <c r="I2492" s="101"/>
      <c r="K2492" s="226"/>
      <c r="L2492" s="226"/>
      <c r="M2492" s="101"/>
      <c r="N2492" s="101"/>
    </row>
    <row r="2493" spans="7:14" hidden="1" x14ac:dyDescent="0.3">
      <c r="G2493" s="101"/>
      <c r="H2493" s="101"/>
      <c r="I2493" s="101"/>
      <c r="K2493" s="226"/>
      <c r="L2493" s="226"/>
      <c r="M2493" s="101"/>
      <c r="N2493" s="101"/>
    </row>
    <row r="2494" spans="7:14" hidden="1" x14ac:dyDescent="0.3">
      <c r="G2494" s="101"/>
      <c r="H2494" s="101"/>
      <c r="I2494" s="101"/>
      <c r="K2494" s="226"/>
      <c r="L2494" s="226"/>
      <c r="M2494" s="101"/>
      <c r="N2494" s="101"/>
    </row>
    <row r="2495" spans="7:14" hidden="1" x14ac:dyDescent="0.3">
      <c r="G2495" s="101"/>
      <c r="H2495" s="101"/>
      <c r="I2495" s="101"/>
      <c r="K2495" s="226"/>
      <c r="L2495" s="226"/>
      <c r="M2495" s="101"/>
      <c r="N2495" s="101"/>
    </row>
    <row r="2496" spans="7:14" hidden="1" x14ac:dyDescent="0.3">
      <c r="G2496" s="101"/>
      <c r="H2496" s="101"/>
      <c r="I2496" s="101"/>
      <c r="K2496" s="226"/>
      <c r="L2496" s="226"/>
      <c r="M2496" s="101"/>
      <c r="N2496" s="101"/>
    </row>
    <row r="2497" spans="7:14" hidden="1" x14ac:dyDescent="0.3">
      <c r="G2497" s="101"/>
      <c r="H2497" s="101"/>
      <c r="I2497" s="101"/>
      <c r="K2497" s="226"/>
      <c r="L2497" s="226"/>
      <c r="M2497" s="101"/>
      <c r="N2497" s="101"/>
    </row>
    <row r="2498" spans="7:14" hidden="1" x14ac:dyDescent="0.3">
      <c r="G2498" s="101"/>
      <c r="H2498" s="101"/>
      <c r="I2498" s="101"/>
      <c r="K2498" s="226"/>
      <c r="L2498" s="226"/>
      <c r="M2498" s="101"/>
      <c r="N2498" s="101"/>
    </row>
    <row r="2499" spans="7:14" hidden="1" x14ac:dyDescent="0.3">
      <c r="G2499" s="101"/>
      <c r="H2499" s="101"/>
      <c r="I2499" s="101"/>
      <c r="K2499" s="226"/>
      <c r="L2499" s="226"/>
      <c r="M2499" s="101"/>
      <c r="N2499" s="101"/>
    </row>
    <row r="2500" spans="7:14" hidden="1" x14ac:dyDescent="0.3">
      <c r="G2500" s="101"/>
      <c r="H2500" s="101"/>
      <c r="I2500" s="101"/>
      <c r="K2500" s="226"/>
      <c r="L2500" s="226"/>
      <c r="M2500" s="101"/>
      <c r="N2500" s="101"/>
    </row>
    <row r="2501" spans="7:14" hidden="1" x14ac:dyDescent="0.3">
      <c r="G2501" s="101"/>
      <c r="H2501" s="101"/>
      <c r="I2501" s="101"/>
      <c r="K2501" s="226"/>
      <c r="L2501" s="226"/>
      <c r="M2501" s="101"/>
      <c r="N2501" s="101"/>
    </row>
    <row r="2502" spans="7:14" hidden="1" x14ac:dyDescent="0.3">
      <c r="G2502" s="101"/>
      <c r="H2502" s="101"/>
      <c r="I2502" s="101"/>
      <c r="K2502" s="226"/>
      <c r="L2502" s="226"/>
      <c r="M2502" s="101"/>
      <c r="N2502" s="101"/>
    </row>
    <row r="2503" spans="7:14" hidden="1" x14ac:dyDescent="0.3">
      <c r="G2503" s="101"/>
      <c r="H2503" s="101"/>
      <c r="I2503" s="101"/>
      <c r="K2503" s="226"/>
      <c r="L2503" s="226"/>
      <c r="M2503" s="101"/>
      <c r="N2503" s="101"/>
    </row>
    <row r="2504" spans="7:14" hidden="1" x14ac:dyDescent="0.3">
      <c r="G2504" s="101"/>
      <c r="H2504" s="101"/>
      <c r="I2504" s="101"/>
      <c r="K2504" s="226"/>
      <c r="L2504" s="226"/>
      <c r="M2504" s="101"/>
      <c r="N2504" s="101"/>
    </row>
    <row r="2505" spans="7:14" hidden="1" x14ac:dyDescent="0.3">
      <c r="G2505" s="101"/>
      <c r="H2505" s="101"/>
      <c r="I2505" s="101"/>
      <c r="K2505" s="226"/>
      <c r="L2505" s="226"/>
      <c r="M2505" s="101"/>
      <c r="N2505" s="101"/>
    </row>
    <row r="2506" spans="7:14" hidden="1" x14ac:dyDescent="0.3">
      <c r="G2506" s="101"/>
      <c r="H2506" s="101"/>
      <c r="I2506" s="101"/>
      <c r="K2506" s="226"/>
      <c r="L2506" s="226"/>
      <c r="M2506" s="101"/>
      <c r="N2506" s="101"/>
    </row>
    <row r="2507" spans="7:14" hidden="1" x14ac:dyDescent="0.3">
      <c r="G2507" s="101"/>
      <c r="H2507" s="101"/>
      <c r="I2507" s="101"/>
      <c r="K2507" s="226"/>
      <c r="L2507" s="226"/>
      <c r="M2507" s="101"/>
      <c r="N2507" s="101"/>
    </row>
    <row r="2508" spans="7:14" hidden="1" x14ac:dyDescent="0.3">
      <c r="G2508" s="101"/>
      <c r="H2508" s="101"/>
      <c r="I2508" s="101"/>
      <c r="K2508" s="226"/>
      <c r="L2508" s="226"/>
      <c r="M2508" s="101"/>
      <c r="N2508" s="101"/>
    </row>
    <row r="2509" spans="7:14" hidden="1" x14ac:dyDescent="0.3">
      <c r="G2509" s="101"/>
      <c r="H2509" s="101"/>
      <c r="I2509" s="101"/>
      <c r="K2509" s="226"/>
      <c r="L2509" s="226"/>
      <c r="M2509" s="101"/>
      <c r="N2509" s="101"/>
    </row>
    <row r="2510" spans="7:14" hidden="1" x14ac:dyDescent="0.3">
      <c r="G2510" s="101"/>
      <c r="H2510" s="101"/>
      <c r="I2510" s="101"/>
      <c r="K2510" s="226"/>
      <c r="L2510" s="226"/>
      <c r="M2510" s="101"/>
      <c r="N2510" s="101"/>
    </row>
    <row r="2511" spans="7:14" hidden="1" x14ac:dyDescent="0.3">
      <c r="G2511" s="101"/>
      <c r="H2511" s="101"/>
      <c r="I2511" s="101"/>
      <c r="K2511" s="226"/>
      <c r="L2511" s="226"/>
      <c r="M2511" s="101"/>
      <c r="N2511" s="101"/>
    </row>
    <row r="2512" spans="7:14" hidden="1" x14ac:dyDescent="0.3">
      <c r="G2512" s="101"/>
      <c r="H2512" s="101"/>
      <c r="I2512" s="101"/>
      <c r="K2512" s="226"/>
      <c r="L2512" s="226"/>
      <c r="M2512" s="101"/>
      <c r="N2512" s="101"/>
    </row>
    <row r="2513" spans="7:14" hidden="1" x14ac:dyDescent="0.3">
      <c r="G2513" s="101"/>
      <c r="H2513" s="101"/>
      <c r="I2513" s="101"/>
      <c r="K2513" s="226"/>
      <c r="L2513" s="226"/>
      <c r="M2513" s="101"/>
      <c r="N2513" s="101"/>
    </row>
    <row r="2514" spans="7:14" hidden="1" x14ac:dyDescent="0.3">
      <c r="G2514" s="101"/>
      <c r="H2514" s="101"/>
      <c r="I2514" s="101"/>
      <c r="K2514" s="226"/>
      <c r="L2514" s="226"/>
      <c r="M2514" s="101"/>
      <c r="N2514" s="101"/>
    </row>
    <row r="2515" spans="7:14" hidden="1" x14ac:dyDescent="0.3">
      <c r="G2515" s="101"/>
      <c r="H2515" s="101"/>
      <c r="I2515" s="101"/>
      <c r="K2515" s="226"/>
      <c r="L2515" s="226"/>
      <c r="M2515" s="101"/>
      <c r="N2515" s="101"/>
    </row>
    <row r="2516" spans="7:14" hidden="1" x14ac:dyDescent="0.3">
      <c r="G2516" s="101"/>
      <c r="H2516" s="101"/>
      <c r="I2516" s="101"/>
      <c r="K2516" s="226"/>
      <c r="L2516" s="226"/>
      <c r="M2516" s="101"/>
      <c r="N2516" s="101"/>
    </row>
    <row r="2517" spans="7:14" hidden="1" x14ac:dyDescent="0.3">
      <c r="G2517" s="101"/>
      <c r="H2517" s="101"/>
      <c r="I2517" s="101"/>
      <c r="K2517" s="226"/>
      <c r="L2517" s="226"/>
      <c r="M2517" s="101"/>
      <c r="N2517" s="101"/>
    </row>
    <row r="2518" spans="7:14" hidden="1" x14ac:dyDescent="0.3">
      <c r="G2518" s="101"/>
      <c r="H2518" s="101"/>
      <c r="I2518" s="101"/>
      <c r="K2518" s="226"/>
      <c r="L2518" s="226"/>
      <c r="M2518" s="101"/>
      <c r="N2518" s="101"/>
    </row>
    <row r="2519" spans="7:14" hidden="1" x14ac:dyDescent="0.3">
      <c r="G2519" s="101"/>
      <c r="H2519" s="101"/>
      <c r="I2519" s="101"/>
      <c r="K2519" s="226"/>
      <c r="L2519" s="226"/>
      <c r="M2519" s="101"/>
      <c r="N2519" s="101"/>
    </row>
    <row r="2520" spans="7:14" hidden="1" x14ac:dyDescent="0.3">
      <c r="G2520" s="101"/>
      <c r="H2520" s="101"/>
      <c r="I2520" s="101"/>
      <c r="K2520" s="226"/>
      <c r="L2520" s="226"/>
      <c r="M2520" s="101"/>
      <c r="N2520" s="101"/>
    </row>
    <row r="2521" spans="7:14" hidden="1" x14ac:dyDescent="0.3">
      <c r="G2521" s="101"/>
      <c r="H2521" s="101"/>
      <c r="I2521" s="101"/>
      <c r="K2521" s="226"/>
      <c r="L2521" s="226"/>
      <c r="M2521" s="101"/>
      <c r="N2521" s="101"/>
    </row>
    <row r="2522" spans="7:14" hidden="1" x14ac:dyDescent="0.3">
      <c r="G2522" s="101"/>
      <c r="H2522" s="101"/>
      <c r="I2522" s="101"/>
      <c r="K2522" s="226"/>
      <c r="L2522" s="226"/>
      <c r="M2522" s="101"/>
      <c r="N2522" s="101"/>
    </row>
    <row r="2523" spans="7:14" hidden="1" x14ac:dyDescent="0.3">
      <c r="G2523" s="101"/>
      <c r="H2523" s="101"/>
      <c r="I2523" s="101"/>
      <c r="K2523" s="226"/>
      <c r="L2523" s="226"/>
      <c r="M2523" s="101"/>
      <c r="N2523" s="101"/>
    </row>
    <row r="2524" spans="7:14" hidden="1" x14ac:dyDescent="0.3">
      <c r="G2524" s="101"/>
      <c r="H2524" s="101"/>
      <c r="I2524" s="101"/>
      <c r="K2524" s="226"/>
      <c r="L2524" s="226"/>
      <c r="M2524" s="101"/>
      <c r="N2524" s="101"/>
    </row>
    <row r="2525" spans="7:14" hidden="1" x14ac:dyDescent="0.3">
      <c r="G2525" s="101"/>
      <c r="H2525" s="101"/>
      <c r="I2525" s="101"/>
      <c r="K2525" s="226"/>
      <c r="L2525" s="226"/>
      <c r="M2525" s="101"/>
      <c r="N2525" s="101"/>
    </row>
    <row r="2526" spans="7:14" hidden="1" x14ac:dyDescent="0.3">
      <c r="G2526" s="101"/>
      <c r="H2526" s="101"/>
      <c r="I2526" s="101"/>
      <c r="K2526" s="226"/>
      <c r="L2526" s="226"/>
      <c r="M2526" s="101"/>
      <c r="N2526" s="101"/>
    </row>
    <row r="2527" spans="7:14" hidden="1" x14ac:dyDescent="0.3">
      <c r="G2527" s="101"/>
      <c r="H2527" s="101"/>
      <c r="I2527" s="101"/>
      <c r="K2527" s="226"/>
      <c r="L2527" s="226"/>
      <c r="M2527" s="101"/>
      <c r="N2527" s="101"/>
    </row>
    <row r="2528" spans="7:14" hidden="1" x14ac:dyDescent="0.3">
      <c r="G2528" s="101"/>
      <c r="H2528" s="101"/>
      <c r="I2528" s="101"/>
      <c r="K2528" s="226"/>
      <c r="L2528" s="226"/>
      <c r="M2528" s="101"/>
      <c r="N2528" s="101"/>
    </row>
    <row r="2529" spans="7:14" hidden="1" x14ac:dyDescent="0.3">
      <c r="G2529" s="101"/>
      <c r="H2529" s="101"/>
      <c r="I2529" s="101"/>
      <c r="K2529" s="226"/>
      <c r="L2529" s="226"/>
      <c r="M2529" s="101"/>
      <c r="N2529" s="101"/>
    </row>
    <row r="2530" spans="7:14" hidden="1" x14ac:dyDescent="0.3">
      <c r="G2530" s="101"/>
      <c r="H2530" s="101"/>
      <c r="I2530" s="101"/>
      <c r="K2530" s="226"/>
      <c r="L2530" s="226"/>
      <c r="M2530" s="101"/>
      <c r="N2530" s="101"/>
    </row>
    <row r="2531" spans="7:14" hidden="1" x14ac:dyDescent="0.3">
      <c r="G2531" s="101"/>
      <c r="H2531" s="101"/>
      <c r="I2531" s="101"/>
      <c r="K2531" s="226"/>
      <c r="L2531" s="226"/>
      <c r="M2531" s="101"/>
      <c r="N2531" s="101"/>
    </row>
    <row r="2532" spans="7:14" hidden="1" x14ac:dyDescent="0.3">
      <c r="G2532" s="101"/>
      <c r="H2532" s="101"/>
      <c r="I2532" s="101"/>
      <c r="K2532" s="226"/>
      <c r="L2532" s="226"/>
      <c r="M2532" s="101"/>
      <c r="N2532" s="101"/>
    </row>
    <row r="2533" spans="7:14" hidden="1" x14ac:dyDescent="0.3">
      <c r="G2533" s="101"/>
      <c r="H2533" s="101"/>
      <c r="I2533" s="101"/>
      <c r="K2533" s="226"/>
      <c r="L2533" s="226"/>
      <c r="M2533" s="101"/>
      <c r="N2533" s="101"/>
    </row>
    <row r="2534" spans="7:14" hidden="1" x14ac:dyDescent="0.3">
      <c r="G2534" s="101"/>
      <c r="H2534" s="101"/>
      <c r="I2534" s="101"/>
      <c r="K2534" s="226"/>
      <c r="L2534" s="226"/>
      <c r="M2534" s="101"/>
      <c r="N2534" s="101"/>
    </row>
    <row r="2535" spans="7:14" hidden="1" x14ac:dyDescent="0.3">
      <c r="G2535" s="101"/>
      <c r="H2535" s="101"/>
      <c r="I2535" s="101"/>
      <c r="K2535" s="226"/>
      <c r="L2535" s="226"/>
      <c r="M2535" s="101"/>
      <c r="N2535" s="101"/>
    </row>
    <row r="2536" spans="7:14" hidden="1" x14ac:dyDescent="0.3">
      <c r="G2536" s="101"/>
      <c r="H2536" s="101"/>
      <c r="I2536" s="101"/>
      <c r="K2536" s="226"/>
      <c r="L2536" s="226"/>
      <c r="M2536" s="101"/>
      <c r="N2536" s="101"/>
    </row>
    <row r="2537" spans="7:14" hidden="1" x14ac:dyDescent="0.3">
      <c r="G2537" s="101"/>
      <c r="H2537" s="101"/>
      <c r="I2537" s="101"/>
      <c r="K2537" s="226"/>
      <c r="L2537" s="226"/>
      <c r="M2537" s="101"/>
      <c r="N2537" s="101"/>
    </row>
    <row r="2538" spans="7:14" hidden="1" x14ac:dyDescent="0.3">
      <c r="G2538" s="101"/>
      <c r="H2538" s="101"/>
      <c r="I2538" s="101"/>
      <c r="K2538" s="226"/>
      <c r="L2538" s="226"/>
      <c r="M2538" s="101"/>
      <c r="N2538" s="101"/>
    </row>
    <row r="2539" spans="7:14" hidden="1" x14ac:dyDescent="0.3">
      <c r="G2539" s="101"/>
      <c r="H2539" s="101"/>
      <c r="I2539" s="101"/>
      <c r="K2539" s="226"/>
      <c r="L2539" s="226"/>
      <c r="M2539" s="101"/>
      <c r="N2539" s="101"/>
    </row>
    <row r="2540" spans="7:14" hidden="1" x14ac:dyDescent="0.3">
      <c r="G2540" s="101"/>
      <c r="H2540" s="101"/>
      <c r="I2540" s="101"/>
      <c r="K2540" s="226"/>
      <c r="L2540" s="226"/>
      <c r="M2540" s="101"/>
      <c r="N2540" s="101"/>
    </row>
    <row r="2541" spans="7:14" hidden="1" x14ac:dyDescent="0.3">
      <c r="G2541" s="101"/>
      <c r="H2541" s="101"/>
      <c r="I2541" s="101"/>
      <c r="K2541" s="226"/>
      <c r="L2541" s="226"/>
      <c r="M2541" s="101"/>
      <c r="N2541" s="101"/>
    </row>
    <row r="2542" spans="7:14" hidden="1" x14ac:dyDescent="0.3">
      <c r="G2542" s="101"/>
      <c r="H2542" s="101"/>
      <c r="I2542" s="101"/>
      <c r="K2542" s="226"/>
      <c r="L2542" s="226"/>
      <c r="M2542" s="101"/>
      <c r="N2542" s="101"/>
    </row>
    <row r="2543" spans="7:14" hidden="1" x14ac:dyDescent="0.3">
      <c r="G2543" s="101"/>
      <c r="H2543" s="101"/>
      <c r="I2543" s="101"/>
      <c r="K2543" s="226"/>
      <c r="L2543" s="226"/>
      <c r="M2543" s="101"/>
      <c r="N2543" s="101"/>
    </row>
    <row r="2544" spans="7:14" hidden="1" x14ac:dyDescent="0.3">
      <c r="G2544" s="101"/>
      <c r="H2544" s="101"/>
      <c r="I2544" s="101"/>
      <c r="K2544" s="226"/>
      <c r="L2544" s="226"/>
      <c r="M2544" s="101"/>
      <c r="N2544" s="101"/>
    </row>
    <row r="2545" spans="7:14" hidden="1" x14ac:dyDescent="0.3">
      <c r="G2545" s="101"/>
      <c r="H2545" s="101"/>
      <c r="I2545" s="101"/>
      <c r="K2545" s="226"/>
      <c r="L2545" s="226"/>
      <c r="M2545" s="101"/>
      <c r="N2545" s="101"/>
    </row>
    <row r="2546" spans="7:14" hidden="1" x14ac:dyDescent="0.3">
      <c r="G2546" s="101"/>
      <c r="H2546" s="101"/>
      <c r="I2546" s="101"/>
      <c r="K2546" s="226"/>
      <c r="L2546" s="226"/>
      <c r="M2546" s="101"/>
      <c r="N2546" s="101"/>
    </row>
    <row r="2547" spans="7:14" hidden="1" x14ac:dyDescent="0.3">
      <c r="G2547" s="101"/>
      <c r="H2547" s="101"/>
      <c r="I2547" s="101"/>
      <c r="K2547" s="226"/>
      <c r="L2547" s="226"/>
      <c r="M2547" s="101"/>
      <c r="N2547" s="101"/>
    </row>
    <row r="2548" spans="7:14" hidden="1" x14ac:dyDescent="0.3">
      <c r="G2548" s="101"/>
      <c r="H2548" s="101"/>
      <c r="I2548" s="101"/>
      <c r="K2548" s="226"/>
      <c r="L2548" s="226"/>
      <c r="M2548" s="101"/>
      <c r="N2548" s="101"/>
    </row>
    <row r="2549" spans="7:14" hidden="1" x14ac:dyDescent="0.3">
      <c r="G2549" s="101"/>
      <c r="H2549" s="101"/>
      <c r="I2549" s="101"/>
      <c r="K2549" s="226"/>
      <c r="L2549" s="226"/>
      <c r="M2549" s="101"/>
      <c r="N2549" s="101"/>
    </row>
    <row r="2550" spans="7:14" hidden="1" x14ac:dyDescent="0.3">
      <c r="G2550" s="101"/>
      <c r="H2550" s="101"/>
      <c r="I2550" s="101"/>
      <c r="K2550" s="226"/>
      <c r="L2550" s="226"/>
      <c r="M2550" s="101"/>
      <c r="N2550" s="101"/>
    </row>
    <row r="2551" spans="7:14" hidden="1" x14ac:dyDescent="0.3">
      <c r="G2551" s="101"/>
      <c r="H2551" s="101"/>
      <c r="I2551" s="101"/>
      <c r="K2551" s="226"/>
      <c r="L2551" s="226"/>
      <c r="M2551" s="101"/>
      <c r="N2551" s="101"/>
    </row>
    <row r="2552" spans="7:14" hidden="1" x14ac:dyDescent="0.3">
      <c r="G2552" s="101"/>
      <c r="H2552" s="101"/>
      <c r="I2552" s="101"/>
      <c r="K2552" s="226"/>
      <c r="L2552" s="226"/>
      <c r="M2552" s="101"/>
      <c r="N2552" s="101"/>
    </row>
    <row r="2553" spans="7:14" hidden="1" x14ac:dyDescent="0.3">
      <c r="G2553" s="101"/>
      <c r="H2553" s="101"/>
      <c r="I2553" s="101"/>
      <c r="K2553" s="226"/>
      <c r="L2553" s="226"/>
      <c r="M2553" s="101"/>
      <c r="N2553" s="101"/>
    </row>
    <row r="2554" spans="7:14" hidden="1" x14ac:dyDescent="0.3">
      <c r="G2554" s="101"/>
      <c r="H2554" s="101"/>
      <c r="I2554" s="101"/>
      <c r="K2554" s="226"/>
      <c r="L2554" s="226"/>
      <c r="M2554" s="101"/>
      <c r="N2554" s="101"/>
    </row>
    <row r="2555" spans="7:14" hidden="1" x14ac:dyDescent="0.3">
      <c r="G2555" s="101"/>
      <c r="H2555" s="101"/>
      <c r="I2555" s="101"/>
      <c r="K2555" s="226"/>
      <c r="L2555" s="226"/>
      <c r="M2555" s="101"/>
      <c r="N2555" s="101"/>
    </row>
    <row r="2556" spans="7:14" hidden="1" x14ac:dyDescent="0.3">
      <c r="G2556" s="101"/>
      <c r="H2556" s="101"/>
      <c r="I2556" s="101"/>
      <c r="K2556" s="226"/>
      <c r="L2556" s="226"/>
      <c r="M2556" s="101"/>
      <c r="N2556" s="101"/>
    </row>
    <row r="2557" spans="7:14" hidden="1" x14ac:dyDescent="0.3">
      <c r="G2557" s="101"/>
      <c r="H2557" s="101"/>
      <c r="I2557" s="101"/>
      <c r="K2557" s="226"/>
      <c r="L2557" s="226"/>
      <c r="M2557" s="101"/>
      <c r="N2557" s="101"/>
    </row>
    <row r="2558" spans="7:14" hidden="1" x14ac:dyDescent="0.3">
      <c r="G2558" s="101"/>
      <c r="H2558" s="101"/>
      <c r="I2558" s="101"/>
      <c r="K2558" s="226"/>
      <c r="L2558" s="226"/>
      <c r="M2558" s="101"/>
      <c r="N2558" s="101"/>
    </row>
    <row r="2559" spans="7:14" hidden="1" x14ac:dyDescent="0.3">
      <c r="G2559" s="101"/>
      <c r="H2559" s="101"/>
      <c r="I2559" s="101"/>
      <c r="K2559" s="226"/>
      <c r="L2559" s="226"/>
      <c r="M2559" s="101"/>
      <c r="N2559" s="101"/>
    </row>
    <row r="2560" spans="7:14" hidden="1" x14ac:dyDescent="0.3">
      <c r="G2560" s="101"/>
      <c r="H2560" s="101"/>
      <c r="I2560" s="101"/>
      <c r="K2560" s="226"/>
      <c r="L2560" s="226"/>
      <c r="M2560" s="101"/>
      <c r="N2560" s="101"/>
    </row>
    <row r="2561" spans="7:14" hidden="1" x14ac:dyDescent="0.3">
      <c r="G2561" s="101"/>
      <c r="H2561" s="101"/>
      <c r="I2561" s="101"/>
      <c r="K2561" s="226"/>
      <c r="L2561" s="226"/>
      <c r="M2561" s="101"/>
      <c r="N2561" s="101"/>
    </row>
    <row r="2562" spans="7:14" hidden="1" x14ac:dyDescent="0.3">
      <c r="G2562" s="101"/>
      <c r="H2562" s="101"/>
      <c r="I2562" s="101"/>
      <c r="K2562" s="226"/>
      <c r="L2562" s="226"/>
      <c r="M2562" s="101"/>
      <c r="N2562" s="101"/>
    </row>
    <row r="2563" spans="7:14" hidden="1" x14ac:dyDescent="0.3">
      <c r="G2563" s="101"/>
      <c r="H2563" s="101"/>
      <c r="I2563" s="101"/>
      <c r="K2563" s="226"/>
      <c r="L2563" s="226"/>
      <c r="M2563" s="101"/>
      <c r="N2563" s="101"/>
    </row>
    <row r="2564" spans="7:14" hidden="1" x14ac:dyDescent="0.3">
      <c r="G2564" s="101"/>
      <c r="H2564" s="101"/>
      <c r="I2564" s="101"/>
      <c r="K2564" s="226"/>
      <c r="L2564" s="226"/>
      <c r="M2564" s="101"/>
      <c r="N2564" s="101"/>
    </row>
    <row r="2565" spans="7:14" hidden="1" x14ac:dyDescent="0.3">
      <c r="G2565" s="101"/>
      <c r="H2565" s="101"/>
      <c r="I2565" s="101"/>
      <c r="K2565" s="226"/>
      <c r="L2565" s="226"/>
      <c r="M2565" s="101"/>
      <c r="N2565" s="101"/>
    </row>
    <row r="2566" spans="7:14" hidden="1" x14ac:dyDescent="0.3">
      <c r="G2566" s="101"/>
      <c r="H2566" s="101"/>
      <c r="I2566" s="101"/>
      <c r="K2566" s="226"/>
      <c r="L2566" s="226"/>
      <c r="M2566" s="101"/>
      <c r="N2566" s="101"/>
    </row>
    <row r="2567" spans="7:14" hidden="1" x14ac:dyDescent="0.3">
      <c r="G2567" s="101"/>
      <c r="H2567" s="101"/>
      <c r="I2567" s="101"/>
      <c r="K2567" s="226"/>
      <c r="L2567" s="226"/>
      <c r="M2567" s="101"/>
      <c r="N2567" s="101"/>
    </row>
    <row r="2568" spans="7:14" hidden="1" x14ac:dyDescent="0.3">
      <c r="G2568" s="101"/>
      <c r="H2568" s="101"/>
      <c r="I2568" s="101"/>
      <c r="K2568" s="226"/>
      <c r="L2568" s="226"/>
      <c r="M2568" s="101"/>
      <c r="N2568" s="101"/>
    </row>
    <row r="2569" spans="7:14" hidden="1" x14ac:dyDescent="0.3">
      <c r="G2569" s="101"/>
      <c r="H2569" s="101"/>
      <c r="I2569" s="101"/>
      <c r="K2569" s="226"/>
      <c r="L2569" s="226"/>
      <c r="M2569" s="101"/>
      <c r="N2569" s="101"/>
    </row>
    <row r="2570" spans="7:14" hidden="1" x14ac:dyDescent="0.3">
      <c r="G2570" s="101"/>
      <c r="H2570" s="101"/>
      <c r="I2570" s="101"/>
      <c r="K2570" s="226"/>
      <c r="L2570" s="226"/>
      <c r="M2570" s="101"/>
      <c r="N2570" s="101"/>
    </row>
    <row r="2571" spans="7:14" hidden="1" x14ac:dyDescent="0.3">
      <c r="G2571" s="101"/>
      <c r="H2571" s="101"/>
      <c r="I2571" s="101"/>
      <c r="K2571" s="226"/>
      <c r="L2571" s="226"/>
      <c r="M2571" s="101"/>
      <c r="N2571" s="101"/>
    </row>
    <row r="2572" spans="7:14" hidden="1" x14ac:dyDescent="0.3">
      <c r="G2572" s="101"/>
      <c r="H2572" s="101"/>
      <c r="I2572" s="101"/>
      <c r="K2572" s="226"/>
      <c r="L2572" s="226"/>
      <c r="M2572" s="101"/>
      <c r="N2572" s="101"/>
    </row>
    <row r="2573" spans="7:14" hidden="1" x14ac:dyDescent="0.3">
      <c r="G2573" s="101"/>
      <c r="H2573" s="101"/>
      <c r="I2573" s="101"/>
      <c r="K2573" s="226"/>
      <c r="L2573" s="226"/>
      <c r="M2573" s="101"/>
      <c r="N2573" s="101"/>
    </row>
    <row r="2574" spans="7:14" hidden="1" x14ac:dyDescent="0.3">
      <c r="G2574" s="101"/>
      <c r="H2574" s="101"/>
      <c r="I2574" s="101"/>
      <c r="K2574" s="226"/>
      <c r="L2574" s="226"/>
      <c r="M2574" s="101"/>
      <c r="N2574" s="101"/>
    </row>
    <row r="2575" spans="7:14" hidden="1" x14ac:dyDescent="0.3">
      <c r="G2575" s="101"/>
      <c r="H2575" s="101"/>
      <c r="I2575" s="101"/>
      <c r="K2575" s="226"/>
      <c r="L2575" s="226"/>
      <c r="M2575" s="101"/>
      <c r="N2575" s="101"/>
    </row>
    <row r="2576" spans="7:14" hidden="1" x14ac:dyDescent="0.3">
      <c r="G2576" s="101"/>
      <c r="H2576" s="101"/>
      <c r="I2576" s="101"/>
      <c r="K2576" s="226"/>
      <c r="L2576" s="226"/>
      <c r="M2576" s="101"/>
      <c r="N2576" s="101"/>
    </row>
    <row r="2577" spans="7:14" hidden="1" x14ac:dyDescent="0.3">
      <c r="G2577" s="101"/>
      <c r="H2577" s="101"/>
      <c r="I2577" s="101"/>
      <c r="K2577" s="226"/>
      <c r="L2577" s="226"/>
      <c r="M2577" s="101"/>
      <c r="N2577" s="101"/>
    </row>
    <row r="2578" spans="7:14" hidden="1" x14ac:dyDescent="0.3">
      <c r="G2578" s="101"/>
      <c r="H2578" s="101"/>
      <c r="I2578" s="101"/>
      <c r="K2578" s="226"/>
      <c r="L2578" s="226"/>
      <c r="M2578" s="101"/>
      <c r="N2578" s="101"/>
    </row>
    <row r="2579" spans="7:14" hidden="1" x14ac:dyDescent="0.3">
      <c r="G2579" s="101"/>
      <c r="H2579" s="101"/>
      <c r="I2579" s="101"/>
      <c r="K2579" s="226"/>
      <c r="L2579" s="226"/>
      <c r="M2579" s="101"/>
      <c r="N2579" s="101"/>
    </row>
    <row r="2580" spans="7:14" hidden="1" x14ac:dyDescent="0.3">
      <c r="G2580" s="101"/>
      <c r="H2580" s="101"/>
      <c r="I2580" s="101"/>
      <c r="K2580" s="226"/>
      <c r="L2580" s="226"/>
      <c r="M2580" s="101"/>
      <c r="N2580" s="101"/>
    </row>
    <row r="2581" spans="7:14" hidden="1" x14ac:dyDescent="0.3">
      <c r="G2581" s="101"/>
      <c r="H2581" s="101"/>
      <c r="I2581" s="101"/>
      <c r="K2581" s="226"/>
      <c r="L2581" s="226"/>
      <c r="M2581" s="101"/>
      <c r="N2581" s="101"/>
    </row>
    <row r="2582" spans="7:14" hidden="1" x14ac:dyDescent="0.3">
      <c r="G2582" s="101"/>
      <c r="H2582" s="101"/>
      <c r="I2582" s="101"/>
      <c r="K2582" s="226"/>
      <c r="L2582" s="226"/>
      <c r="M2582" s="101"/>
      <c r="N2582" s="101"/>
    </row>
    <row r="2583" spans="7:14" hidden="1" x14ac:dyDescent="0.3">
      <c r="G2583" s="101"/>
      <c r="H2583" s="101"/>
      <c r="I2583" s="101"/>
      <c r="K2583" s="226"/>
      <c r="L2583" s="226"/>
      <c r="M2583" s="101"/>
      <c r="N2583" s="101"/>
    </row>
    <row r="2584" spans="7:14" hidden="1" x14ac:dyDescent="0.3">
      <c r="G2584" s="101"/>
      <c r="H2584" s="101"/>
      <c r="I2584" s="101"/>
      <c r="K2584" s="226"/>
      <c r="L2584" s="226"/>
      <c r="M2584" s="101"/>
      <c r="N2584" s="101"/>
    </row>
    <row r="2585" spans="7:14" hidden="1" x14ac:dyDescent="0.3">
      <c r="G2585" s="101"/>
      <c r="H2585" s="101"/>
      <c r="I2585" s="101"/>
      <c r="K2585" s="226"/>
      <c r="L2585" s="226"/>
      <c r="M2585" s="101"/>
      <c r="N2585" s="101"/>
    </row>
    <row r="2586" spans="7:14" hidden="1" x14ac:dyDescent="0.3">
      <c r="G2586" s="101"/>
      <c r="H2586" s="101"/>
      <c r="I2586" s="101"/>
      <c r="K2586" s="226"/>
      <c r="L2586" s="226"/>
      <c r="M2586" s="101"/>
      <c r="N2586" s="101"/>
    </row>
    <row r="2587" spans="7:14" hidden="1" x14ac:dyDescent="0.3">
      <c r="G2587" s="101"/>
      <c r="H2587" s="101"/>
      <c r="I2587" s="101"/>
      <c r="K2587" s="226"/>
      <c r="L2587" s="226"/>
      <c r="M2587" s="101"/>
      <c r="N2587" s="101"/>
    </row>
    <row r="2588" spans="7:14" hidden="1" x14ac:dyDescent="0.3">
      <c r="G2588" s="101"/>
      <c r="H2588" s="101"/>
      <c r="I2588" s="101"/>
      <c r="K2588" s="226"/>
      <c r="L2588" s="226"/>
      <c r="M2588" s="101"/>
      <c r="N2588" s="101"/>
    </row>
    <row r="2589" spans="7:14" hidden="1" x14ac:dyDescent="0.3">
      <c r="G2589" s="101"/>
      <c r="H2589" s="101"/>
      <c r="I2589" s="101"/>
      <c r="K2589" s="226"/>
      <c r="L2589" s="226"/>
      <c r="M2589" s="101"/>
      <c r="N2589" s="101"/>
    </row>
    <row r="2590" spans="7:14" hidden="1" x14ac:dyDescent="0.3">
      <c r="G2590" s="101"/>
      <c r="H2590" s="101"/>
      <c r="I2590" s="101"/>
      <c r="K2590" s="226"/>
      <c r="L2590" s="226"/>
      <c r="M2590" s="101"/>
      <c r="N2590" s="101"/>
    </row>
    <row r="2591" spans="7:14" hidden="1" x14ac:dyDescent="0.3">
      <c r="G2591" s="101"/>
      <c r="H2591" s="101"/>
      <c r="I2591" s="101"/>
      <c r="K2591" s="226"/>
      <c r="L2591" s="226"/>
      <c r="M2591" s="101"/>
      <c r="N2591" s="101"/>
    </row>
    <row r="2592" spans="7:14" hidden="1" x14ac:dyDescent="0.3">
      <c r="G2592" s="101"/>
      <c r="H2592" s="101"/>
      <c r="I2592" s="101"/>
      <c r="K2592" s="226"/>
      <c r="L2592" s="226"/>
      <c r="M2592" s="101"/>
      <c r="N2592" s="101"/>
    </row>
    <row r="2593" spans="7:14" hidden="1" x14ac:dyDescent="0.3">
      <c r="G2593" s="101"/>
      <c r="H2593" s="101"/>
      <c r="I2593" s="101"/>
      <c r="K2593" s="226"/>
      <c r="L2593" s="226"/>
      <c r="M2593" s="101"/>
      <c r="N2593" s="101"/>
    </row>
    <row r="2594" spans="7:14" hidden="1" x14ac:dyDescent="0.3">
      <c r="G2594" s="101"/>
      <c r="H2594" s="101"/>
      <c r="I2594" s="101"/>
      <c r="K2594" s="226"/>
      <c r="L2594" s="226"/>
      <c r="M2594" s="101"/>
      <c r="N2594" s="101"/>
    </row>
    <row r="2595" spans="7:14" hidden="1" x14ac:dyDescent="0.3">
      <c r="G2595" s="101"/>
      <c r="H2595" s="101"/>
      <c r="I2595" s="101"/>
      <c r="K2595" s="226"/>
      <c r="L2595" s="226"/>
      <c r="M2595" s="101"/>
      <c r="N2595" s="101"/>
    </row>
    <row r="2596" spans="7:14" hidden="1" x14ac:dyDescent="0.3">
      <c r="G2596" s="101"/>
      <c r="H2596" s="101"/>
      <c r="I2596" s="101"/>
      <c r="K2596" s="226"/>
      <c r="L2596" s="226"/>
      <c r="M2596" s="101"/>
      <c r="N2596" s="101"/>
    </row>
    <row r="2597" spans="7:14" hidden="1" x14ac:dyDescent="0.3">
      <c r="G2597" s="101"/>
      <c r="H2597" s="101"/>
      <c r="I2597" s="101"/>
      <c r="K2597" s="226"/>
      <c r="L2597" s="226"/>
      <c r="M2597" s="101"/>
      <c r="N2597" s="101"/>
    </row>
    <row r="2598" spans="7:14" hidden="1" x14ac:dyDescent="0.3">
      <c r="G2598" s="101"/>
      <c r="H2598" s="101"/>
      <c r="I2598" s="101"/>
      <c r="K2598" s="226"/>
      <c r="L2598" s="226"/>
      <c r="M2598" s="101"/>
      <c r="N2598" s="101"/>
    </row>
    <row r="2599" spans="7:14" hidden="1" x14ac:dyDescent="0.3">
      <c r="G2599" s="101"/>
      <c r="H2599" s="101"/>
      <c r="I2599" s="101"/>
      <c r="K2599" s="226"/>
      <c r="L2599" s="226"/>
      <c r="M2599" s="101"/>
      <c r="N2599" s="101"/>
    </row>
    <row r="2600" spans="7:14" hidden="1" x14ac:dyDescent="0.3">
      <c r="G2600" s="101"/>
      <c r="H2600" s="101"/>
      <c r="I2600" s="101"/>
      <c r="K2600" s="226"/>
      <c r="L2600" s="226"/>
      <c r="M2600" s="101"/>
      <c r="N2600" s="101"/>
    </row>
    <row r="2601" spans="7:14" hidden="1" x14ac:dyDescent="0.3">
      <c r="G2601" s="101"/>
      <c r="H2601" s="101"/>
      <c r="I2601" s="101"/>
      <c r="K2601" s="226"/>
      <c r="L2601" s="226"/>
      <c r="M2601" s="101"/>
      <c r="N2601" s="101"/>
    </row>
    <row r="2602" spans="7:14" hidden="1" x14ac:dyDescent="0.3">
      <c r="G2602" s="101"/>
      <c r="H2602" s="101"/>
      <c r="I2602" s="101"/>
      <c r="K2602" s="226"/>
      <c r="L2602" s="226"/>
      <c r="M2602" s="101"/>
      <c r="N2602" s="101"/>
    </row>
    <row r="2603" spans="7:14" hidden="1" x14ac:dyDescent="0.3">
      <c r="G2603" s="101"/>
      <c r="H2603" s="101"/>
      <c r="I2603" s="101"/>
      <c r="K2603" s="226"/>
      <c r="L2603" s="226"/>
      <c r="M2603" s="101"/>
      <c r="N2603" s="101"/>
    </row>
    <row r="2604" spans="7:14" hidden="1" x14ac:dyDescent="0.3">
      <c r="G2604" s="101"/>
      <c r="H2604" s="101"/>
      <c r="I2604" s="101"/>
      <c r="K2604" s="226"/>
      <c r="L2604" s="226"/>
      <c r="M2604" s="101"/>
      <c r="N2604" s="101"/>
    </row>
    <row r="2605" spans="7:14" hidden="1" x14ac:dyDescent="0.3">
      <c r="G2605" s="101"/>
      <c r="H2605" s="101"/>
      <c r="I2605" s="101"/>
      <c r="K2605" s="226"/>
      <c r="L2605" s="226"/>
      <c r="M2605" s="101"/>
      <c r="N2605" s="101"/>
    </row>
    <row r="2606" spans="7:14" hidden="1" x14ac:dyDescent="0.3">
      <c r="G2606" s="101"/>
      <c r="H2606" s="101"/>
      <c r="I2606" s="101"/>
      <c r="K2606" s="226"/>
      <c r="L2606" s="226"/>
      <c r="M2606" s="101"/>
      <c r="N2606" s="101"/>
    </row>
    <row r="2607" spans="7:14" hidden="1" x14ac:dyDescent="0.3">
      <c r="G2607" s="101"/>
      <c r="H2607" s="101"/>
      <c r="I2607" s="101"/>
      <c r="K2607" s="226"/>
      <c r="L2607" s="226"/>
      <c r="M2607" s="101"/>
      <c r="N2607" s="101"/>
    </row>
    <row r="2608" spans="7:14" hidden="1" x14ac:dyDescent="0.3">
      <c r="G2608" s="101"/>
      <c r="H2608" s="101"/>
      <c r="I2608" s="101"/>
      <c r="K2608" s="226"/>
      <c r="L2608" s="226"/>
      <c r="M2608" s="101"/>
      <c r="N2608" s="101"/>
    </row>
    <row r="2609" spans="7:14" hidden="1" x14ac:dyDescent="0.3">
      <c r="G2609" s="101"/>
      <c r="H2609" s="101"/>
      <c r="I2609" s="101"/>
      <c r="K2609" s="226"/>
      <c r="L2609" s="226"/>
      <c r="M2609" s="101"/>
      <c r="N2609" s="101"/>
    </row>
    <row r="2610" spans="7:14" hidden="1" x14ac:dyDescent="0.3">
      <c r="G2610" s="101"/>
      <c r="H2610" s="101"/>
      <c r="I2610" s="101"/>
      <c r="K2610" s="226"/>
      <c r="L2610" s="226"/>
      <c r="M2610" s="101"/>
      <c r="N2610" s="101"/>
    </row>
    <row r="2611" spans="7:14" hidden="1" x14ac:dyDescent="0.3">
      <c r="G2611" s="101"/>
      <c r="H2611" s="101"/>
      <c r="I2611" s="101"/>
      <c r="K2611" s="226"/>
      <c r="L2611" s="226"/>
      <c r="M2611" s="101"/>
      <c r="N2611" s="101"/>
    </row>
    <row r="2612" spans="7:14" hidden="1" x14ac:dyDescent="0.3">
      <c r="G2612" s="101"/>
      <c r="H2612" s="101"/>
      <c r="I2612" s="101"/>
      <c r="K2612" s="226"/>
      <c r="L2612" s="226"/>
      <c r="M2612" s="101"/>
      <c r="N2612" s="101"/>
    </row>
    <row r="2613" spans="7:14" hidden="1" x14ac:dyDescent="0.3">
      <c r="G2613" s="101"/>
      <c r="H2613" s="101"/>
      <c r="I2613" s="101"/>
      <c r="K2613" s="226"/>
      <c r="L2613" s="226"/>
      <c r="M2613" s="101"/>
      <c r="N2613" s="101"/>
    </row>
    <row r="2614" spans="7:14" hidden="1" x14ac:dyDescent="0.3">
      <c r="G2614" s="101"/>
      <c r="H2614" s="101"/>
      <c r="I2614" s="101"/>
      <c r="K2614" s="226"/>
      <c r="L2614" s="226"/>
      <c r="M2614" s="101"/>
      <c r="N2614" s="101"/>
    </row>
    <row r="2615" spans="7:14" hidden="1" x14ac:dyDescent="0.3">
      <c r="G2615" s="101"/>
      <c r="H2615" s="101"/>
      <c r="I2615" s="101"/>
      <c r="K2615" s="226"/>
      <c r="L2615" s="226"/>
      <c r="M2615" s="101"/>
      <c r="N2615" s="101"/>
    </row>
    <row r="2616" spans="7:14" hidden="1" x14ac:dyDescent="0.3">
      <c r="G2616" s="101"/>
      <c r="H2616" s="101"/>
      <c r="I2616" s="101"/>
      <c r="K2616" s="226"/>
      <c r="L2616" s="226"/>
      <c r="M2616" s="101"/>
      <c r="N2616" s="101"/>
    </row>
    <row r="2617" spans="7:14" hidden="1" x14ac:dyDescent="0.3">
      <c r="G2617" s="101"/>
      <c r="H2617" s="101"/>
      <c r="I2617" s="101"/>
      <c r="K2617" s="226"/>
      <c r="L2617" s="226"/>
      <c r="M2617" s="101"/>
      <c r="N2617" s="101"/>
    </row>
    <row r="2618" spans="7:14" hidden="1" x14ac:dyDescent="0.3">
      <c r="G2618" s="101"/>
      <c r="H2618" s="101"/>
      <c r="I2618" s="101"/>
      <c r="K2618" s="226"/>
      <c r="L2618" s="226"/>
      <c r="M2618" s="101"/>
      <c r="N2618" s="101"/>
    </row>
    <row r="2619" spans="7:14" hidden="1" x14ac:dyDescent="0.3">
      <c r="G2619" s="101"/>
      <c r="H2619" s="101"/>
      <c r="I2619" s="101"/>
      <c r="K2619" s="226"/>
      <c r="L2619" s="226"/>
      <c r="M2619" s="101"/>
      <c r="N2619" s="101"/>
    </row>
    <row r="2620" spans="7:14" hidden="1" x14ac:dyDescent="0.3">
      <c r="G2620" s="101"/>
      <c r="H2620" s="101"/>
      <c r="I2620" s="101"/>
      <c r="K2620" s="226"/>
      <c r="L2620" s="226"/>
      <c r="M2620" s="101"/>
      <c r="N2620" s="101"/>
    </row>
    <row r="2621" spans="7:14" hidden="1" x14ac:dyDescent="0.3">
      <c r="G2621" s="101"/>
      <c r="H2621" s="101"/>
      <c r="I2621" s="101"/>
      <c r="K2621" s="226"/>
      <c r="L2621" s="226"/>
      <c r="M2621" s="101"/>
      <c r="N2621" s="101"/>
    </row>
    <row r="2622" spans="7:14" hidden="1" x14ac:dyDescent="0.3">
      <c r="G2622" s="101"/>
      <c r="H2622" s="101"/>
      <c r="I2622" s="101"/>
      <c r="K2622" s="226"/>
      <c r="L2622" s="226"/>
      <c r="M2622" s="101"/>
      <c r="N2622" s="101"/>
    </row>
    <row r="2623" spans="7:14" hidden="1" x14ac:dyDescent="0.3">
      <c r="G2623" s="101"/>
      <c r="H2623" s="101"/>
      <c r="I2623" s="101"/>
      <c r="K2623" s="226"/>
      <c r="L2623" s="226"/>
      <c r="M2623" s="101"/>
      <c r="N2623" s="101"/>
    </row>
    <row r="2624" spans="7:14" hidden="1" x14ac:dyDescent="0.3">
      <c r="G2624" s="101"/>
      <c r="H2624" s="101"/>
      <c r="I2624" s="101"/>
      <c r="K2624" s="226"/>
      <c r="L2624" s="226"/>
      <c r="M2624" s="101"/>
      <c r="N2624" s="101"/>
    </row>
    <row r="2625" spans="7:14" hidden="1" x14ac:dyDescent="0.3">
      <c r="G2625" s="101"/>
      <c r="H2625" s="101"/>
      <c r="I2625" s="101"/>
      <c r="K2625" s="226"/>
      <c r="L2625" s="226"/>
      <c r="M2625" s="101"/>
      <c r="N2625" s="101"/>
    </row>
    <row r="2626" spans="7:14" hidden="1" x14ac:dyDescent="0.3">
      <c r="G2626" s="101"/>
      <c r="H2626" s="101"/>
      <c r="I2626" s="101"/>
      <c r="K2626" s="226"/>
      <c r="L2626" s="226"/>
      <c r="M2626" s="101"/>
      <c r="N2626" s="101"/>
    </row>
    <row r="2627" spans="7:14" hidden="1" x14ac:dyDescent="0.3">
      <c r="G2627" s="101"/>
      <c r="H2627" s="101"/>
      <c r="I2627" s="101"/>
      <c r="K2627" s="226"/>
      <c r="L2627" s="226"/>
      <c r="M2627" s="101"/>
      <c r="N2627" s="101"/>
    </row>
    <row r="2628" spans="7:14" hidden="1" x14ac:dyDescent="0.3">
      <c r="G2628" s="101"/>
      <c r="H2628" s="101"/>
      <c r="I2628" s="101"/>
      <c r="K2628" s="226"/>
      <c r="L2628" s="226"/>
      <c r="M2628" s="101"/>
      <c r="N2628" s="101"/>
    </row>
    <row r="2629" spans="7:14" hidden="1" x14ac:dyDescent="0.3">
      <c r="G2629" s="101"/>
      <c r="H2629" s="101"/>
      <c r="I2629" s="101"/>
      <c r="K2629" s="226"/>
      <c r="L2629" s="226"/>
      <c r="M2629" s="101"/>
      <c r="N2629" s="101"/>
    </row>
    <row r="2630" spans="7:14" hidden="1" x14ac:dyDescent="0.3">
      <c r="G2630" s="101"/>
      <c r="H2630" s="101"/>
      <c r="I2630" s="101"/>
      <c r="K2630" s="226"/>
      <c r="L2630" s="226"/>
      <c r="M2630" s="101"/>
      <c r="N2630" s="101"/>
    </row>
    <row r="2631" spans="7:14" hidden="1" x14ac:dyDescent="0.3">
      <c r="G2631" s="101"/>
      <c r="H2631" s="101"/>
      <c r="I2631" s="101"/>
      <c r="K2631" s="226"/>
      <c r="L2631" s="226"/>
      <c r="M2631" s="101"/>
      <c r="N2631" s="101"/>
    </row>
    <row r="2632" spans="7:14" hidden="1" x14ac:dyDescent="0.3">
      <c r="G2632" s="101"/>
      <c r="H2632" s="101"/>
      <c r="I2632" s="101"/>
      <c r="K2632" s="226"/>
      <c r="L2632" s="226"/>
      <c r="M2632" s="101"/>
      <c r="N2632" s="101"/>
    </row>
    <row r="2633" spans="7:14" hidden="1" x14ac:dyDescent="0.3">
      <c r="G2633" s="101"/>
      <c r="H2633" s="101"/>
      <c r="I2633" s="101"/>
      <c r="K2633" s="226"/>
      <c r="L2633" s="226"/>
      <c r="M2633" s="101"/>
      <c r="N2633" s="101"/>
    </row>
    <row r="2634" spans="7:14" hidden="1" x14ac:dyDescent="0.3">
      <c r="G2634" s="101"/>
      <c r="H2634" s="101"/>
      <c r="I2634" s="101"/>
      <c r="K2634" s="226"/>
      <c r="L2634" s="226"/>
      <c r="M2634" s="101"/>
      <c r="N2634" s="101"/>
    </row>
    <row r="2635" spans="7:14" hidden="1" x14ac:dyDescent="0.3">
      <c r="G2635" s="101"/>
      <c r="H2635" s="101"/>
      <c r="I2635" s="101"/>
      <c r="K2635" s="226"/>
      <c r="L2635" s="226"/>
      <c r="M2635" s="101"/>
      <c r="N2635" s="101"/>
    </row>
    <row r="2636" spans="7:14" hidden="1" x14ac:dyDescent="0.3">
      <c r="G2636" s="101"/>
      <c r="H2636" s="101"/>
      <c r="I2636" s="101"/>
      <c r="K2636" s="226"/>
      <c r="L2636" s="226"/>
      <c r="M2636" s="101"/>
      <c r="N2636" s="101"/>
    </row>
    <row r="2637" spans="7:14" hidden="1" x14ac:dyDescent="0.3">
      <c r="G2637" s="101"/>
      <c r="H2637" s="101"/>
      <c r="I2637" s="101"/>
      <c r="K2637" s="226"/>
      <c r="L2637" s="226"/>
      <c r="M2637" s="101"/>
      <c r="N2637" s="101"/>
    </row>
    <row r="2638" spans="7:14" hidden="1" x14ac:dyDescent="0.3">
      <c r="G2638" s="101"/>
      <c r="H2638" s="101"/>
      <c r="I2638" s="101"/>
      <c r="K2638" s="226"/>
      <c r="L2638" s="226"/>
      <c r="M2638" s="101"/>
      <c r="N2638" s="101"/>
    </row>
    <row r="2639" spans="7:14" hidden="1" x14ac:dyDescent="0.3">
      <c r="G2639" s="101"/>
      <c r="H2639" s="101"/>
      <c r="I2639" s="101"/>
      <c r="K2639" s="226"/>
      <c r="L2639" s="226"/>
      <c r="M2639" s="101"/>
      <c r="N2639" s="101"/>
    </row>
    <row r="2640" spans="7:14" hidden="1" x14ac:dyDescent="0.3">
      <c r="G2640" s="101"/>
      <c r="H2640" s="101"/>
      <c r="I2640" s="101"/>
      <c r="K2640" s="226"/>
      <c r="L2640" s="226"/>
      <c r="M2640" s="101"/>
      <c r="N2640" s="101"/>
    </row>
    <row r="2641" spans="7:14" hidden="1" x14ac:dyDescent="0.3">
      <c r="G2641" s="101"/>
      <c r="H2641" s="101"/>
      <c r="I2641" s="101"/>
      <c r="K2641" s="226"/>
      <c r="L2641" s="226"/>
      <c r="M2641" s="101"/>
      <c r="N2641" s="101"/>
    </row>
    <row r="2642" spans="7:14" hidden="1" x14ac:dyDescent="0.3">
      <c r="G2642" s="101"/>
      <c r="H2642" s="101"/>
      <c r="I2642" s="101"/>
      <c r="K2642" s="226"/>
      <c r="L2642" s="226"/>
      <c r="M2642" s="101"/>
      <c r="N2642" s="101"/>
    </row>
    <row r="2643" spans="7:14" hidden="1" x14ac:dyDescent="0.3">
      <c r="G2643" s="101"/>
      <c r="H2643" s="101"/>
      <c r="I2643" s="101"/>
      <c r="K2643" s="226"/>
      <c r="L2643" s="226"/>
      <c r="M2643" s="101"/>
      <c r="N2643" s="101"/>
    </row>
    <row r="2644" spans="7:14" hidden="1" x14ac:dyDescent="0.3">
      <c r="G2644" s="101"/>
      <c r="H2644" s="101"/>
      <c r="I2644" s="101"/>
      <c r="K2644" s="226"/>
      <c r="L2644" s="226"/>
      <c r="M2644" s="101"/>
      <c r="N2644" s="101"/>
    </row>
    <row r="2645" spans="7:14" hidden="1" x14ac:dyDescent="0.3">
      <c r="G2645" s="101"/>
      <c r="H2645" s="101"/>
      <c r="I2645" s="101"/>
      <c r="K2645" s="226"/>
      <c r="L2645" s="226"/>
      <c r="M2645" s="101"/>
      <c r="N2645" s="101"/>
    </row>
    <row r="2646" spans="7:14" hidden="1" x14ac:dyDescent="0.3">
      <c r="G2646" s="101"/>
      <c r="H2646" s="101"/>
      <c r="I2646" s="101"/>
      <c r="K2646" s="226"/>
      <c r="L2646" s="226"/>
      <c r="M2646" s="101"/>
      <c r="N2646" s="101"/>
    </row>
    <row r="2647" spans="7:14" hidden="1" x14ac:dyDescent="0.3">
      <c r="G2647" s="101"/>
      <c r="H2647" s="101"/>
      <c r="I2647" s="101"/>
      <c r="K2647" s="226"/>
      <c r="L2647" s="226"/>
      <c r="M2647" s="101"/>
      <c r="N2647" s="101"/>
    </row>
    <row r="2648" spans="7:14" hidden="1" x14ac:dyDescent="0.3">
      <c r="G2648" s="101"/>
      <c r="H2648" s="101"/>
      <c r="I2648" s="101"/>
      <c r="K2648" s="226"/>
      <c r="L2648" s="226"/>
      <c r="M2648" s="101"/>
      <c r="N2648" s="101"/>
    </row>
    <row r="2649" spans="7:14" hidden="1" x14ac:dyDescent="0.3">
      <c r="G2649" s="101"/>
      <c r="H2649" s="101"/>
      <c r="I2649" s="101"/>
      <c r="K2649" s="226"/>
      <c r="L2649" s="226"/>
      <c r="M2649" s="101"/>
      <c r="N2649" s="101"/>
    </row>
    <row r="2650" spans="7:14" hidden="1" x14ac:dyDescent="0.3">
      <c r="G2650" s="101"/>
      <c r="H2650" s="101"/>
      <c r="I2650" s="101"/>
      <c r="K2650" s="226"/>
      <c r="L2650" s="226"/>
      <c r="M2650" s="101"/>
      <c r="N2650" s="101"/>
    </row>
    <row r="2651" spans="7:14" hidden="1" x14ac:dyDescent="0.3">
      <c r="G2651" s="101"/>
      <c r="H2651" s="101"/>
      <c r="I2651" s="101"/>
      <c r="K2651" s="226"/>
      <c r="L2651" s="226"/>
      <c r="M2651" s="101"/>
      <c r="N2651" s="101"/>
    </row>
    <row r="2652" spans="7:14" hidden="1" x14ac:dyDescent="0.3">
      <c r="G2652" s="101"/>
      <c r="H2652" s="101"/>
      <c r="I2652" s="101"/>
      <c r="K2652" s="226"/>
      <c r="L2652" s="226"/>
      <c r="M2652" s="101"/>
      <c r="N2652" s="101"/>
    </row>
    <row r="2653" spans="7:14" hidden="1" x14ac:dyDescent="0.3">
      <c r="G2653" s="101"/>
      <c r="H2653" s="101"/>
      <c r="I2653" s="101"/>
      <c r="K2653" s="226"/>
      <c r="L2653" s="226"/>
      <c r="M2653" s="101"/>
      <c r="N2653" s="101"/>
    </row>
    <row r="2654" spans="7:14" hidden="1" x14ac:dyDescent="0.3">
      <c r="G2654" s="101"/>
      <c r="H2654" s="101"/>
      <c r="I2654" s="101"/>
      <c r="K2654" s="226"/>
      <c r="L2654" s="226"/>
      <c r="M2654" s="101"/>
      <c r="N2654" s="101"/>
    </row>
    <row r="2655" spans="7:14" hidden="1" x14ac:dyDescent="0.3">
      <c r="G2655" s="101"/>
      <c r="H2655" s="101"/>
      <c r="I2655" s="101"/>
      <c r="K2655" s="226"/>
      <c r="L2655" s="226"/>
      <c r="M2655" s="101"/>
      <c r="N2655" s="101"/>
    </row>
    <row r="2656" spans="7:14" hidden="1" x14ac:dyDescent="0.3">
      <c r="G2656" s="101"/>
      <c r="H2656" s="101"/>
      <c r="I2656" s="101"/>
      <c r="K2656" s="226"/>
      <c r="L2656" s="226"/>
      <c r="M2656" s="101"/>
      <c r="N2656" s="101"/>
    </row>
    <row r="2657" spans="7:14" hidden="1" x14ac:dyDescent="0.3">
      <c r="G2657" s="101"/>
      <c r="H2657" s="101"/>
      <c r="I2657" s="101"/>
      <c r="K2657" s="226"/>
      <c r="L2657" s="226"/>
      <c r="M2657" s="101"/>
      <c r="N2657" s="101"/>
    </row>
    <row r="2658" spans="7:14" hidden="1" x14ac:dyDescent="0.3">
      <c r="G2658" s="101"/>
      <c r="H2658" s="101"/>
      <c r="I2658" s="101"/>
      <c r="K2658" s="226"/>
      <c r="L2658" s="226"/>
      <c r="M2658" s="101"/>
      <c r="N2658" s="101"/>
    </row>
    <row r="2659" spans="7:14" hidden="1" x14ac:dyDescent="0.3">
      <c r="G2659" s="101"/>
      <c r="H2659" s="101"/>
      <c r="I2659" s="101"/>
      <c r="K2659" s="226"/>
      <c r="L2659" s="226"/>
      <c r="M2659" s="101"/>
      <c r="N2659" s="101"/>
    </row>
    <row r="2660" spans="7:14" hidden="1" x14ac:dyDescent="0.3">
      <c r="G2660" s="101"/>
      <c r="H2660" s="101"/>
      <c r="I2660" s="101"/>
      <c r="K2660" s="226"/>
      <c r="L2660" s="226"/>
      <c r="M2660" s="101"/>
      <c r="N2660" s="101"/>
    </row>
    <row r="2661" spans="7:14" hidden="1" x14ac:dyDescent="0.3">
      <c r="G2661" s="101"/>
      <c r="H2661" s="101"/>
      <c r="I2661" s="101"/>
      <c r="K2661" s="226"/>
      <c r="L2661" s="226"/>
      <c r="M2661" s="101"/>
      <c r="N2661" s="101"/>
    </row>
    <row r="2662" spans="7:14" hidden="1" x14ac:dyDescent="0.3">
      <c r="G2662" s="101"/>
      <c r="H2662" s="101"/>
      <c r="I2662" s="101"/>
      <c r="K2662" s="226"/>
      <c r="L2662" s="226"/>
      <c r="M2662" s="101"/>
      <c r="N2662" s="101"/>
    </row>
    <row r="2663" spans="7:14" hidden="1" x14ac:dyDescent="0.3">
      <c r="G2663" s="101"/>
      <c r="H2663" s="101"/>
      <c r="I2663" s="101"/>
      <c r="K2663" s="226"/>
      <c r="L2663" s="226"/>
      <c r="M2663" s="101"/>
      <c r="N2663" s="101"/>
    </row>
    <row r="2664" spans="7:14" hidden="1" x14ac:dyDescent="0.3">
      <c r="G2664" s="101"/>
      <c r="H2664" s="101"/>
      <c r="I2664" s="101"/>
      <c r="K2664" s="226"/>
      <c r="L2664" s="226"/>
      <c r="M2664" s="101"/>
      <c r="N2664" s="101"/>
    </row>
    <row r="2665" spans="7:14" hidden="1" x14ac:dyDescent="0.3">
      <c r="G2665" s="101"/>
      <c r="H2665" s="101"/>
      <c r="I2665" s="101"/>
      <c r="K2665" s="226"/>
      <c r="L2665" s="226"/>
      <c r="M2665" s="101"/>
      <c r="N2665" s="101"/>
    </row>
    <row r="2666" spans="7:14" hidden="1" x14ac:dyDescent="0.3">
      <c r="G2666" s="101"/>
      <c r="H2666" s="101"/>
      <c r="I2666" s="101"/>
      <c r="K2666" s="226"/>
      <c r="L2666" s="226"/>
      <c r="M2666" s="101"/>
      <c r="N2666" s="101"/>
    </row>
    <row r="2667" spans="7:14" hidden="1" x14ac:dyDescent="0.3">
      <c r="G2667" s="101"/>
      <c r="H2667" s="101"/>
      <c r="I2667" s="101"/>
      <c r="K2667" s="226"/>
      <c r="L2667" s="226"/>
      <c r="M2667" s="101"/>
      <c r="N2667" s="101"/>
    </row>
    <row r="2668" spans="7:14" hidden="1" x14ac:dyDescent="0.3">
      <c r="G2668" s="101"/>
      <c r="H2668" s="101"/>
      <c r="I2668" s="101"/>
      <c r="K2668" s="226"/>
      <c r="L2668" s="226"/>
      <c r="M2668" s="101"/>
      <c r="N2668" s="101"/>
    </row>
    <row r="2669" spans="7:14" hidden="1" x14ac:dyDescent="0.3">
      <c r="G2669" s="101"/>
      <c r="H2669" s="101"/>
      <c r="I2669" s="101"/>
      <c r="K2669" s="226"/>
      <c r="L2669" s="226"/>
      <c r="M2669" s="101"/>
      <c r="N2669" s="101"/>
    </row>
    <row r="2670" spans="7:14" hidden="1" x14ac:dyDescent="0.3">
      <c r="G2670" s="101"/>
      <c r="H2670" s="101"/>
      <c r="I2670" s="101"/>
      <c r="K2670" s="226"/>
      <c r="L2670" s="226"/>
      <c r="M2670" s="101"/>
      <c r="N2670" s="101"/>
    </row>
    <row r="2671" spans="7:14" hidden="1" x14ac:dyDescent="0.3">
      <c r="G2671" s="101"/>
      <c r="H2671" s="101"/>
      <c r="I2671" s="101"/>
      <c r="K2671" s="226"/>
      <c r="L2671" s="226"/>
      <c r="M2671" s="101"/>
      <c r="N2671" s="101"/>
    </row>
    <row r="2672" spans="7:14" hidden="1" x14ac:dyDescent="0.3">
      <c r="G2672" s="101"/>
      <c r="H2672" s="101"/>
      <c r="I2672" s="101"/>
      <c r="K2672" s="226"/>
      <c r="L2672" s="226"/>
      <c r="M2672" s="101"/>
      <c r="N2672" s="101"/>
    </row>
    <row r="2673" spans="7:14" hidden="1" x14ac:dyDescent="0.3">
      <c r="G2673" s="101"/>
      <c r="H2673" s="101"/>
      <c r="I2673" s="101"/>
      <c r="K2673" s="226"/>
      <c r="L2673" s="226"/>
      <c r="M2673" s="101"/>
      <c r="N2673" s="101"/>
    </row>
    <row r="2674" spans="7:14" hidden="1" x14ac:dyDescent="0.3">
      <c r="G2674" s="101"/>
      <c r="H2674" s="101"/>
      <c r="I2674" s="101"/>
      <c r="K2674" s="226"/>
      <c r="L2674" s="226"/>
      <c r="M2674" s="101"/>
      <c r="N2674" s="101"/>
    </row>
    <row r="2675" spans="7:14" hidden="1" x14ac:dyDescent="0.3">
      <c r="G2675" s="101"/>
      <c r="H2675" s="101"/>
      <c r="I2675" s="101"/>
      <c r="K2675" s="226"/>
      <c r="L2675" s="226"/>
      <c r="M2675" s="101"/>
      <c r="N2675" s="101"/>
    </row>
    <row r="2676" spans="7:14" hidden="1" x14ac:dyDescent="0.3">
      <c r="G2676" s="101"/>
      <c r="H2676" s="101"/>
      <c r="I2676" s="101"/>
      <c r="K2676" s="226"/>
      <c r="L2676" s="226"/>
      <c r="M2676" s="101"/>
      <c r="N2676" s="101"/>
    </row>
    <row r="2677" spans="7:14" hidden="1" x14ac:dyDescent="0.3">
      <c r="G2677" s="101"/>
      <c r="H2677" s="101"/>
      <c r="I2677" s="101"/>
      <c r="K2677" s="226"/>
      <c r="L2677" s="226"/>
      <c r="M2677" s="101"/>
      <c r="N2677" s="101"/>
    </row>
    <row r="2678" spans="7:14" hidden="1" x14ac:dyDescent="0.3">
      <c r="G2678" s="101"/>
      <c r="H2678" s="101"/>
      <c r="I2678" s="101"/>
      <c r="K2678" s="226"/>
      <c r="L2678" s="226"/>
      <c r="M2678" s="101"/>
      <c r="N2678" s="101"/>
    </row>
    <row r="2679" spans="7:14" hidden="1" x14ac:dyDescent="0.3">
      <c r="G2679" s="101"/>
      <c r="H2679" s="101"/>
      <c r="I2679" s="101"/>
      <c r="K2679" s="226"/>
      <c r="L2679" s="226"/>
      <c r="M2679" s="101"/>
      <c r="N2679" s="101"/>
    </row>
    <row r="2680" spans="7:14" hidden="1" x14ac:dyDescent="0.3">
      <c r="G2680" s="101"/>
      <c r="H2680" s="101"/>
      <c r="I2680" s="101"/>
      <c r="K2680" s="226"/>
      <c r="L2680" s="226"/>
      <c r="M2680" s="101"/>
      <c r="N2680" s="101"/>
    </row>
    <row r="2681" spans="7:14" hidden="1" x14ac:dyDescent="0.3">
      <c r="G2681" s="101"/>
      <c r="H2681" s="101"/>
      <c r="I2681" s="101"/>
      <c r="K2681" s="226"/>
      <c r="L2681" s="226"/>
      <c r="M2681" s="101"/>
      <c r="N2681" s="101"/>
    </row>
    <row r="2682" spans="7:14" hidden="1" x14ac:dyDescent="0.3">
      <c r="G2682" s="101"/>
      <c r="H2682" s="101"/>
      <c r="I2682" s="101"/>
      <c r="K2682" s="226"/>
      <c r="L2682" s="226"/>
      <c r="M2682" s="101"/>
      <c r="N2682" s="101"/>
    </row>
    <row r="2683" spans="7:14" hidden="1" x14ac:dyDescent="0.3">
      <c r="G2683" s="101"/>
      <c r="H2683" s="101"/>
      <c r="I2683" s="101"/>
      <c r="K2683" s="226"/>
      <c r="L2683" s="226"/>
      <c r="M2683" s="101"/>
      <c r="N2683" s="101"/>
    </row>
    <row r="2684" spans="7:14" hidden="1" x14ac:dyDescent="0.3">
      <c r="G2684" s="101"/>
      <c r="H2684" s="101"/>
      <c r="I2684" s="101"/>
      <c r="K2684" s="226"/>
      <c r="L2684" s="226"/>
      <c r="M2684" s="101"/>
      <c r="N2684" s="101"/>
    </row>
    <row r="2685" spans="7:14" hidden="1" x14ac:dyDescent="0.3">
      <c r="G2685" s="101"/>
      <c r="H2685" s="101"/>
      <c r="I2685" s="101"/>
      <c r="K2685" s="226"/>
      <c r="L2685" s="226"/>
      <c r="M2685" s="101"/>
      <c r="N2685" s="101"/>
    </row>
    <row r="2686" spans="7:14" hidden="1" x14ac:dyDescent="0.3">
      <c r="G2686" s="101"/>
      <c r="H2686" s="101"/>
      <c r="I2686" s="101"/>
      <c r="K2686" s="226"/>
      <c r="L2686" s="226"/>
      <c r="M2686" s="101"/>
      <c r="N2686" s="101"/>
    </row>
    <row r="2687" spans="7:14" hidden="1" x14ac:dyDescent="0.3">
      <c r="G2687" s="101"/>
      <c r="H2687" s="101"/>
      <c r="I2687" s="101"/>
      <c r="K2687" s="226"/>
      <c r="L2687" s="226"/>
      <c r="M2687" s="101"/>
      <c r="N2687" s="101"/>
    </row>
    <row r="2688" spans="7:14" hidden="1" x14ac:dyDescent="0.3">
      <c r="G2688" s="101"/>
      <c r="H2688" s="101"/>
      <c r="I2688" s="101"/>
      <c r="K2688" s="226"/>
      <c r="L2688" s="226"/>
      <c r="M2688" s="101"/>
      <c r="N2688" s="101"/>
    </row>
    <row r="2689" spans="7:14" hidden="1" x14ac:dyDescent="0.3">
      <c r="G2689" s="101"/>
      <c r="H2689" s="101"/>
      <c r="I2689" s="101"/>
      <c r="K2689" s="226"/>
      <c r="L2689" s="226"/>
      <c r="M2689" s="101"/>
      <c r="N2689" s="101"/>
    </row>
    <row r="2690" spans="7:14" hidden="1" x14ac:dyDescent="0.3">
      <c r="G2690" s="101"/>
      <c r="H2690" s="101"/>
      <c r="I2690" s="101"/>
      <c r="K2690" s="226"/>
      <c r="L2690" s="226"/>
      <c r="M2690" s="101"/>
      <c r="N2690" s="101"/>
    </row>
    <row r="2691" spans="7:14" hidden="1" x14ac:dyDescent="0.3">
      <c r="G2691" s="101"/>
      <c r="H2691" s="101"/>
      <c r="I2691" s="101"/>
      <c r="K2691" s="226"/>
      <c r="L2691" s="226"/>
      <c r="M2691" s="101"/>
      <c r="N2691" s="101"/>
    </row>
    <row r="2692" spans="7:14" hidden="1" x14ac:dyDescent="0.3">
      <c r="G2692" s="101"/>
      <c r="H2692" s="101"/>
      <c r="I2692" s="101"/>
      <c r="K2692" s="226"/>
      <c r="L2692" s="226"/>
      <c r="M2692" s="101"/>
      <c r="N2692" s="101"/>
    </row>
    <row r="2693" spans="7:14" hidden="1" x14ac:dyDescent="0.3">
      <c r="G2693" s="101"/>
      <c r="H2693" s="101"/>
      <c r="I2693" s="101"/>
      <c r="K2693" s="226"/>
      <c r="L2693" s="226"/>
      <c r="M2693" s="101"/>
      <c r="N2693" s="101"/>
    </row>
    <row r="2694" spans="7:14" hidden="1" x14ac:dyDescent="0.3">
      <c r="G2694" s="101"/>
      <c r="H2694" s="101"/>
      <c r="I2694" s="101"/>
      <c r="K2694" s="226"/>
      <c r="L2694" s="226"/>
      <c r="M2694" s="101"/>
      <c r="N2694" s="101"/>
    </row>
    <row r="2695" spans="7:14" hidden="1" x14ac:dyDescent="0.3">
      <c r="G2695" s="101"/>
      <c r="H2695" s="101"/>
      <c r="I2695" s="101"/>
      <c r="K2695" s="226"/>
      <c r="L2695" s="226"/>
      <c r="M2695" s="101"/>
      <c r="N2695" s="101"/>
    </row>
    <row r="2696" spans="7:14" hidden="1" x14ac:dyDescent="0.3">
      <c r="G2696" s="101"/>
      <c r="H2696" s="101"/>
      <c r="I2696" s="101"/>
      <c r="K2696" s="226"/>
      <c r="L2696" s="226"/>
      <c r="M2696" s="101"/>
      <c r="N2696" s="101"/>
    </row>
    <row r="2697" spans="7:14" hidden="1" x14ac:dyDescent="0.3">
      <c r="G2697" s="101"/>
      <c r="H2697" s="101"/>
      <c r="I2697" s="101"/>
      <c r="K2697" s="226"/>
      <c r="L2697" s="226"/>
      <c r="M2697" s="101"/>
      <c r="N2697" s="101"/>
    </row>
    <row r="2698" spans="7:14" hidden="1" x14ac:dyDescent="0.3">
      <c r="G2698" s="101"/>
      <c r="H2698" s="101"/>
      <c r="I2698" s="101"/>
      <c r="K2698" s="226"/>
      <c r="L2698" s="226"/>
      <c r="M2698" s="101"/>
      <c r="N2698" s="101"/>
    </row>
    <row r="2699" spans="7:14" hidden="1" x14ac:dyDescent="0.3">
      <c r="G2699" s="101"/>
      <c r="H2699" s="101"/>
      <c r="I2699" s="101"/>
      <c r="K2699" s="226"/>
      <c r="L2699" s="226"/>
      <c r="M2699" s="101"/>
      <c r="N2699" s="101"/>
    </row>
    <row r="2700" spans="7:14" hidden="1" x14ac:dyDescent="0.3">
      <c r="G2700" s="101"/>
      <c r="H2700" s="101"/>
      <c r="I2700" s="101"/>
      <c r="K2700" s="226"/>
      <c r="L2700" s="226"/>
      <c r="M2700" s="101"/>
      <c r="N2700" s="101"/>
    </row>
    <row r="2701" spans="7:14" hidden="1" x14ac:dyDescent="0.3">
      <c r="G2701" s="101"/>
      <c r="H2701" s="101"/>
      <c r="I2701" s="101"/>
      <c r="K2701" s="226"/>
      <c r="L2701" s="226"/>
      <c r="M2701" s="101"/>
      <c r="N2701" s="101"/>
    </row>
    <row r="2702" spans="7:14" hidden="1" x14ac:dyDescent="0.3">
      <c r="G2702" s="101"/>
      <c r="H2702" s="101"/>
      <c r="I2702" s="101"/>
      <c r="K2702" s="226"/>
      <c r="L2702" s="226"/>
      <c r="M2702" s="101"/>
      <c r="N2702" s="101"/>
    </row>
    <row r="2703" spans="7:14" hidden="1" x14ac:dyDescent="0.3">
      <c r="G2703" s="101"/>
      <c r="H2703" s="101"/>
      <c r="I2703" s="101"/>
      <c r="K2703" s="226"/>
      <c r="L2703" s="226"/>
      <c r="M2703" s="101"/>
      <c r="N2703" s="101"/>
    </row>
    <row r="2704" spans="7:14" hidden="1" x14ac:dyDescent="0.3">
      <c r="G2704" s="101"/>
      <c r="H2704" s="101"/>
      <c r="I2704" s="101"/>
      <c r="K2704" s="226"/>
      <c r="L2704" s="226"/>
      <c r="M2704" s="101"/>
      <c r="N2704" s="101"/>
    </row>
    <row r="2705" spans="7:14" hidden="1" x14ac:dyDescent="0.3">
      <c r="G2705" s="101"/>
      <c r="H2705" s="101"/>
      <c r="I2705" s="101"/>
      <c r="K2705" s="226"/>
      <c r="L2705" s="226"/>
      <c r="M2705" s="101"/>
      <c r="N2705" s="101"/>
    </row>
    <row r="2706" spans="7:14" hidden="1" x14ac:dyDescent="0.3">
      <c r="G2706" s="101"/>
      <c r="H2706" s="101"/>
      <c r="I2706" s="101"/>
      <c r="K2706" s="226"/>
      <c r="L2706" s="226"/>
      <c r="M2706" s="101"/>
      <c r="N2706" s="101"/>
    </row>
    <row r="2707" spans="7:14" hidden="1" x14ac:dyDescent="0.3">
      <c r="G2707" s="101"/>
      <c r="H2707" s="101"/>
      <c r="I2707" s="101"/>
      <c r="K2707" s="226"/>
      <c r="L2707" s="226"/>
      <c r="M2707" s="101"/>
      <c r="N2707" s="101"/>
    </row>
    <row r="2708" spans="7:14" hidden="1" x14ac:dyDescent="0.3">
      <c r="G2708" s="101"/>
      <c r="H2708" s="101"/>
      <c r="I2708" s="101"/>
      <c r="K2708" s="226"/>
      <c r="L2708" s="226"/>
      <c r="M2708" s="101"/>
      <c r="N2708" s="101"/>
    </row>
    <row r="2709" spans="7:14" hidden="1" x14ac:dyDescent="0.3">
      <c r="G2709" s="101"/>
      <c r="H2709" s="101"/>
      <c r="I2709" s="101"/>
      <c r="K2709" s="226"/>
      <c r="L2709" s="226"/>
      <c r="M2709" s="101"/>
      <c r="N2709" s="101"/>
    </row>
    <row r="2710" spans="7:14" hidden="1" x14ac:dyDescent="0.3">
      <c r="G2710" s="101"/>
      <c r="H2710" s="101"/>
      <c r="I2710" s="101"/>
      <c r="K2710" s="226"/>
      <c r="L2710" s="226"/>
      <c r="M2710" s="101"/>
      <c r="N2710" s="101"/>
    </row>
    <row r="2711" spans="7:14" hidden="1" x14ac:dyDescent="0.3">
      <c r="G2711" s="101"/>
      <c r="H2711" s="101"/>
      <c r="I2711" s="101"/>
      <c r="K2711" s="226"/>
      <c r="L2711" s="226"/>
      <c r="M2711" s="101"/>
      <c r="N2711" s="101"/>
    </row>
    <row r="2712" spans="7:14" hidden="1" x14ac:dyDescent="0.3">
      <c r="G2712" s="101"/>
      <c r="H2712" s="101"/>
      <c r="I2712" s="101"/>
      <c r="K2712" s="226"/>
      <c r="L2712" s="226"/>
      <c r="M2712" s="101"/>
      <c r="N2712" s="101"/>
    </row>
    <row r="2713" spans="7:14" hidden="1" x14ac:dyDescent="0.3">
      <c r="G2713" s="101"/>
      <c r="H2713" s="101"/>
      <c r="I2713" s="101"/>
      <c r="K2713" s="226"/>
      <c r="L2713" s="226"/>
      <c r="M2713" s="101"/>
      <c r="N2713" s="101"/>
    </row>
    <row r="2714" spans="7:14" hidden="1" x14ac:dyDescent="0.3">
      <c r="G2714" s="101"/>
      <c r="H2714" s="101"/>
      <c r="I2714" s="101"/>
      <c r="K2714" s="226"/>
      <c r="L2714" s="226"/>
      <c r="M2714" s="101"/>
      <c r="N2714" s="101"/>
    </row>
    <row r="2715" spans="7:14" hidden="1" x14ac:dyDescent="0.3">
      <c r="G2715" s="101"/>
      <c r="H2715" s="101"/>
      <c r="I2715" s="101"/>
      <c r="K2715" s="226"/>
      <c r="L2715" s="226"/>
      <c r="M2715" s="101"/>
      <c r="N2715" s="101"/>
    </row>
    <row r="2716" spans="7:14" hidden="1" x14ac:dyDescent="0.3">
      <c r="G2716" s="101"/>
      <c r="H2716" s="101"/>
      <c r="I2716" s="101"/>
      <c r="K2716" s="226"/>
      <c r="L2716" s="226"/>
      <c r="M2716" s="101"/>
      <c r="N2716" s="101"/>
    </row>
    <row r="2717" spans="7:14" hidden="1" x14ac:dyDescent="0.3">
      <c r="G2717" s="101"/>
      <c r="H2717" s="101"/>
      <c r="I2717" s="101"/>
      <c r="K2717" s="226"/>
      <c r="L2717" s="226"/>
      <c r="M2717" s="101"/>
      <c r="N2717" s="101"/>
    </row>
    <row r="2718" spans="7:14" hidden="1" x14ac:dyDescent="0.3">
      <c r="G2718" s="101"/>
      <c r="H2718" s="101"/>
      <c r="I2718" s="101"/>
      <c r="K2718" s="226"/>
      <c r="L2718" s="226"/>
      <c r="M2718" s="101"/>
      <c r="N2718" s="101"/>
    </row>
    <row r="2719" spans="7:14" hidden="1" x14ac:dyDescent="0.3">
      <c r="G2719" s="101"/>
      <c r="H2719" s="101"/>
      <c r="I2719" s="101"/>
      <c r="K2719" s="226"/>
      <c r="L2719" s="226"/>
      <c r="M2719" s="101"/>
      <c r="N2719" s="101"/>
    </row>
    <row r="2720" spans="7:14" hidden="1" x14ac:dyDescent="0.3">
      <c r="G2720" s="101"/>
      <c r="H2720" s="101"/>
      <c r="I2720" s="101"/>
      <c r="K2720" s="226"/>
      <c r="L2720" s="226"/>
      <c r="M2720" s="101"/>
      <c r="N2720" s="101"/>
    </row>
    <row r="2721" spans="7:14" hidden="1" x14ac:dyDescent="0.3">
      <c r="G2721" s="101"/>
      <c r="H2721" s="101"/>
      <c r="I2721" s="101"/>
      <c r="K2721" s="226"/>
      <c r="L2721" s="226"/>
      <c r="M2721" s="101"/>
      <c r="N2721" s="101"/>
    </row>
    <row r="2722" spans="7:14" hidden="1" x14ac:dyDescent="0.3">
      <c r="G2722" s="101"/>
      <c r="H2722" s="101"/>
      <c r="I2722" s="101"/>
      <c r="K2722" s="226"/>
      <c r="L2722" s="226"/>
      <c r="M2722" s="101"/>
      <c r="N2722" s="101"/>
    </row>
    <row r="2723" spans="7:14" hidden="1" x14ac:dyDescent="0.3">
      <c r="G2723" s="101"/>
      <c r="H2723" s="101"/>
      <c r="I2723" s="101"/>
      <c r="K2723" s="226"/>
      <c r="L2723" s="226"/>
      <c r="M2723" s="101"/>
      <c r="N2723" s="101"/>
    </row>
    <row r="2724" spans="7:14" hidden="1" x14ac:dyDescent="0.3">
      <c r="G2724" s="101"/>
      <c r="H2724" s="101"/>
      <c r="I2724" s="101"/>
      <c r="K2724" s="226"/>
      <c r="L2724" s="226"/>
      <c r="M2724" s="101"/>
      <c r="N2724" s="101"/>
    </row>
    <row r="2725" spans="7:14" hidden="1" x14ac:dyDescent="0.3">
      <c r="G2725" s="101"/>
      <c r="H2725" s="101"/>
      <c r="I2725" s="101"/>
      <c r="K2725" s="226"/>
      <c r="L2725" s="226"/>
      <c r="M2725" s="101"/>
      <c r="N2725" s="101"/>
    </row>
    <row r="2726" spans="7:14" hidden="1" x14ac:dyDescent="0.3">
      <c r="G2726" s="101"/>
      <c r="H2726" s="101"/>
      <c r="I2726" s="101"/>
      <c r="K2726" s="226"/>
      <c r="L2726" s="226"/>
      <c r="M2726" s="101"/>
      <c r="N2726" s="101"/>
    </row>
    <row r="2727" spans="7:14" hidden="1" x14ac:dyDescent="0.3">
      <c r="G2727" s="101"/>
      <c r="H2727" s="101"/>
      <c r="I2727" s="101"/>
      <c r="K2727" s="226"/>
      <c r="L2727" s="226"/>
      <c r="M2727" s="101"/>
      <c r="N2727" s="101"/>
    </row>
    <row r="2728" spans="7:14" hidden="1" x14ac:dyDescent="0.3">
      <c r="G2728" s="101"/>
      <c r="H2728" s="101"/>
      <c r="I2728" s="101"/>
      <c r="K2728" s="226"/>
      <c r="L2728" s="226"/>
      <c r="M2728" s="101"/>
      <c r="N2728" s="101"/>
    </row>
    <row r="2729" spans="7:14" hidden="1" x14ac:dyDescent="0.3">
      <c r="G2729" s="101"/>
      <c r="H2729" s="101"/>
      <c r="I2729" s="101"/>
      <c r="K2729" s="226"/>
      <c r="L2729" s="226"/>
      <c r="M2729" s="101"/>
      <c r="N2729" s="101"/>
    </row>
    <row r="2730" spans="7:14" hidden="1" x14ac:dyDescent="0.3">
      <c r="G2730" s="101"/>
      <c r="H2730" s="101"/>
      <c r="I2730" s="101"/>
      <c r="K2730" s="226"/>
      <c r="L2730" s="226"/>
      <c r="M2730" s="101"/>
      <c r="N2730" s="101"/>
    </row>
    <row r="2731" spans="7:14" hidden="1" x14ac:dyDescent="0.3">
      <c r="G2731" s="101"/>
      <c r="H2731" s="101"/>
      <c r="I2731" s="101"/>
      <c r="K2731" s="226"/>
      <c r="L2731" s="226"/>
      <c r="M2731" s="101"/>
      <c r="N2731" s="101"/>
    </row>
    <row r="2732" spans="7:14" hidden="1" x14ac:dyDescent="0.3">
      <c r="G2732" s="101"/>
      <c r="H2732" s="101"/>
      <c r="I2732" s="101"/>
      <c r="K2732" s="226"/>
      <c r="L2732" s="226"/>
      <c r="M2732" s="101"/>
      <c r="N2732" s="101"/>
    </row>
    <row r="2733" spans="7:14" hidden="1" x14ac:dyDescent="0.3">
      <c r="G2733" s="101"/>
      <c r="H2733" s="101"/>
      <c r="I2733" s="101"/>
      <c r="K2733" s="226"/>
      <c r="L2733" s="226"/>
      <c r="M2733" s="101"/>
      <c r="N2733" s="101"/>
    </row>
    <row r="2734" spans="7:14" hidden="1" x14ac:dyDescent="0.3">
      <c r="G2734" s="101"/>
      <c r="H2734" s="101"/>
      <c r="I2734" s="101"/>
      <c r="K2734" s="226"/>
      <c r="L2734" s="226"/>
      <c r="M2734" s="101"/>
      <c r="N2734" s="101"/>
    </row>
    <row r="2735" spans="7:14" hidden="1" x14ac:dyDescent="0.3">
      <c r="G2735" s="101"/>
      <c r="H2735" s="101"/>
      <c r="I2735" s="101"/>
      <c r="K2735" s="226"/>
      <c r="L2735" s="226"/>
      <c r="M2735" s="101"/>
      <c r="N2735" s="101"/>
    </row>
    <row r="2736" spans="7:14" hidden="1" x14ac:dyDescent="0.3">
      <c r="G2736" s="101"/>
      <c r="H2736" s="101"/>
      <c r="I2736" s="101"/>
      <c r="K2736" s="226"/>
      <c r="L2736" s="226"/>
      <c r="M2736" s="101"/>
      <c r="N2736" s="101"/>
    </row>
    <row r="2737" spans="7:14" hidden="1" x14ac:dyDescent="0.3">
      <c r="G2737" s="101"/>
      <c r="H2737" s="101"/>
      <c r="I2737" s="101"/>
      <c r="K2737" s="226"/>
      <c r="L2737" s="226"/>
      <c r="M2737" s="101"/>
      <c r="N2737" s="101"/>
    </row>
    <row r="2738" spans="7:14" hidden="1" x14ac:dyDescent="0.3">
      <c r="G2738" s="101"/>
      <c r="H2738" s="101"/>
      <c r="I2738" s="101"/>
      <c r="K2738" s="226"/>
      <c r="L2738" s="226"/>
      <c r="M2738" s="101"/>
      <c r="N2738" s="101"/>
    </row>
    <row r="2739" spans="7:14" hidden="1" x14ac:dyDescent="0.3">
      <c r="G2739" s="101"/>
      <c r="H2739" s="101"/>
      <c r="I2739" s="101"/>
      <c r="K2739" s="226"/>
      <c r="L2739" s="226"/>
      <c r="M2739" s="101"/>
      <c r="N2739" s="101"/>
    </row>
    <row r="2740" spans="7:14" hidden="1" x14ac:dyDescent="0.3">
      <c r="G2740" s="101"/>
      <c r="H2740" s="101"/>
      <c r="I2740" s="101"/>
      <c r="K2740" s="226"/>
      <c r="L2740" s="226"/>
      <c r="M2740" s="101"/>
      <c r="N2740" s="101"/>
    </row>
    <row r="2741" spans="7:14" hidden="1" x14ac:dyDescent="0.3">
      <c r="G2741" s="101"/>
      <c r="H2741" s="101"/>
      <c r="I2741" s="101"/>
      <c r="K2741" s="226"/>
      <c r="L2741" s="226"/>
      <c r="M2741" s="101"/>
      <c r="N2741" s="101"/>
    </row>
    <row r="2742" spans="7:14" hidden="1" x14ac:dyDescent="0.3">
      <c r="G2742" s="101"/>
      <c r="H2742" s="101"/>
      <c r="I2742" s="101"/>
      <c r="K2742" s="226"/>
      <c r="L2742" s="226"/>
      <c r="M2742" s="101"/>
      <c r="N2742" s="101"/>
    </row>
    <row r="2743" spans="7:14" hidden="1" x14ac:dyDescent="0.3">
      <c r="G2743" s="101"/>
      <c r="H2743" s="101"/>
      <c r="I2743" s="101"/>
      <c r="K2743" s="226"/>
      <c r="L2743" s="226"/>
      <c r="M2743" s="101"/>
      <c r="N2743" s="101"/>
    </row>
    <row r="2744" spans="7:14" hidden="1" x14ac:dyDescent="0.3">
      <c r="G2744" s="101"/>
      <c r="H2744" s="101"/>
      <c r="I2744" s="101"/>
      <c r="K2744" s="226"/>
      <c r="L2744" s="226"/>
      <c r="M2744" s="101"/>
      <c r="N2744" s="101"/>
    </row>
    <row r="2745" spans="7:14" hidden="1" x14ac:dyDescent="0.3">
      <c r="G2745" s="101"/>
      <c r="H2745" s="101"/>
      <c r="I2745" s="101"/>
      <c r="K2745" s="226"/>
      <c r="L2745" s="226"/>
      <c r="M2745" s="101"/>
      <c r="N2745" s="101"/>
    </row>
    <row r="2746" spans="7:14" hidden="1" x14ac:dyDescent="0.3">
      <c r="G2746" s="101"/>
      <c r="H2746" s="101"/>
      <c r="I2746" s="101"/>
      <c r="K2746" s="226"/>
      <c r="L2746" s="226"/>
      <c r="M2746" s="101"/>
      <c r="N2746" s="101"/>
    </row>
    <row r="2747" spans="7:14" hidden="1" x14ac:dyDescent="0.3">
      <c r="G2747" s="101"/>
      <c r="H2747" s="101"/>
      <c r="I2747" s="101"/>
      <c r="K2747" s="226"/>
      <c r="L2747" s="226"/>
      <c r="M2747" s="101"/>
      <c r="N2747" s="101"/>
    </row>
    <row r="2748" spans="7:14" hidden="1" x14ac:dyDescent="0.3">
      <c r="G2748" s="101"/>
      <c r="H2748" s="101"/>
      <c r="I2748" s="101"/>
      <c r="K2748" s="226"/>
      <c r="L2748" s="226"/>
      <c r="M2748" s="101"/>
      <c r="N2748" s="101"/>
    </row>
    <row r="2749" spans="7:14" hidden="1" x14ac:dyDescent="0.3">
      <c r="G2749" s="101"/>
      <c r="H2749" s="101"/>
      <c r="I2749" s="101"/>
      <c r="K2749" s="226"/>
      <c r="L2749" s="226"/>
      <c r="M2749" s="101"/>
      <c r="N2749" s="101"/>
    </row>
    <row r="2750" spans="7:14" hidden="1" x14ac:dyDescent="0.3">
      <c r="G2750" s="101"/>
      <c r="H2750" s="101"/>
      <c r="I2750" s="101"/>
      <c r="K2750" s="226"/>
      <c r="L2750" s="226"/>
      <c r="M2750" s="101"/>
      <c r="N2750" s="101"/>
    </row>
    <row r="2751" spans="7:14" hidden="1" x14ac:dyDescent="0.3">
      <c r="G2751" s="101"/>
      <c r="H2751" s="101"/>
      <c r="I2751" s="101"/>
      <c r="K2751" s="226"/>
      <c r="L2751" s="226"/>
      <c r="M2751" s="101"/>
      <c r="N2751" s="101"/>
    </row>
    <row r="2752" spans="7:14" hidden="1" x14ac:dyDescent="0.3">
      <c r="G2752" s="101"/>
      <c r="H2752" s="101"/>
      <c r="I2752" s="101"/>
      <c r="K2752" s="226"/>
      <c r="L2752" s="226"/>
      <c r="M2752" s="101"/>
      <c r="N2752" s="101"/>
    </row>
    <row r="2753" spans="7:14" hidden="1" x14ac:dyDescent="0.3">
      <c r="G2753" s="101"/>
      <c r="H2753" s="101"/>
      <c r="I2753" s="101"/>
      <c r="K2753" s="226"/>
      <c r="L2753" s="226"/>
      <c r="M2753" s="101"/>
      <c r="N2753" s="101"/>
    </row>
    <row r="2754" spans="7:14" hidden="1" x14ac:dyDescent="0.3">
      <c r="G2754" s="101"/>
      <c r="H2754" s="101"/>
      <c r="I2754" s="101"/>
      <c r="K2754" s="226"/>
      <c r="L2754" s="226"/>
      <c r="M2754" s="101"/>
      <c r="N2754" s="101"/>
    </row>
    <row r="2755" spans="7:14" hidden="1" x14ac:dyDescent="0.3">
      <c r="G2755" s="101"/>
      <c r="H2755" s="101"/>
      <c r="I2755" s="101"/>
      <c r="K2755" s="226"/>
      <c r="L2755" s="226"/>
      <c r="M2755" s="101"/>
      <c r="N2755" s="101"/>
    </row>
    <row r="2756" spans="7:14" hidden="1" x14ac:dyDescent="0.3">
      <c r="G2756" s="101"/>
      <c r="H2756" s="101"/>
      <c r="I2756" s="101"/>
      <c r="K2756" s="226"/>
      <c r="L2756" s="226"/>
      <c r="M2756" s="101"/>
      <c r="N2756" s="101"/>
    </row>
    <row r="2757" spans="7:14" hidden="1" x14ac:dyDescent="0.3">
      <c r="G2757" s="101"/>
      <c r="H2757" s="101"/>
      <c r="I2757" s="101"/>
      <c r="K2757" s="226"/>
      <c r="L2757" s="226"/>
      <c r="M2757" s="101"/>
      <c r="N2757" s="101"/>
    </row>
    <row r="2758" spans="7:14" hidden="1" x14ac:dyDescent="0.3">
      <c r="G2758" s="101"/>
      <c r="H2758" s="101"/>
      <c r="I2758" s="101"/>
      <c r="K2758" s="226"/>
      <c r="L2758" s="226"/>
      <c r="M2758" s="101"/>
      <c r="N2758" s="101"/>
    </row>
    <row r="2759" spans="7:14" hidden="1" x14ac:dyDescent="0.3">
      <c r="G2759" s="101"/>
      <c r="H2759" s="101"/>
      <c r="I2759" s="101"/>
      <c r="K2759" s="226"/>
      <c r="L2759" s="226"/>
      <c r="M2759" s="101"/>
      <c r="N2759" s="101"/>
    </row>
    <row r="2760" spans="7:14" hidden="1" x14ac:dyDescent="0.3">
      <c r="G2760" s="101"/>
      <c r="H2760" s="101"/>
      <c r="I2760" s="101"/>
      <c r="K2760" s="226"/>
      <c r="L2760" s="226"/>
      <c r="M2760" s="101"/>
      <c r="N2760" s="101"/>
    </row>
    <row r="2761" spans="7:14" hidden="1" x14ac:dyDescent="0.3">
      <c r="G2761" s="101"/>
      <c r="H2761" s="101"/>
      <c r="I2761" s="101"/>
      <c r="K2761" s="226"/>
      <c r="L2761" s="226"/>
      <c r="M2761" s="101"/>
      <c r="N2761" s="101"/>
    </row>
    <row r="2762" spans="7:14" hidden="1" x14ac:dyDescent="0.3">
      <c r="G2762" s="101"/>
      <c r="H2762" s="101"/>
      <c r="I2762" s="101"/>
      <c r="K2762" s="226"/>
      <c r="L2762" s="226"/>
      <c r="M2762" s="101"/>
      <c r="N2762" s="101"/>
    </row>
    <row r="2763" spans="7:14" hidden="1" x14ac:dyDescent="0.3">
      <c r="G2763" s="101"/>
      <c r="H2763" s="101"/>
      <c r="I2763" s="101"/>
      <c r="K2763" s="226"/>
      <c r="L2763" s="226"/>
      <c r="M2763" s="101"/>
      <c r="N2763" s="101"/>
    </row>
    <row r="2764" spans="7:14" hidden="1" x14ac:dyDescent="0.3">
      <c r="G2764" s="101"/>
      <c r="H2764" s="101"/>
      <c r="I2764" s="101"/>
      <c r="K2764" s="226"/>
      <c r="L2764" s="226"/>
      <c r="M2764" s="101"/>
      <c r="N2764" s="101"/>
    </row>
    <row r="2765" spans="7:14" hidden="1" x14ac:dyDescent="0.3">
      <c r="G2765" s="101"/>
      <c r="H2765" s="101"/>
      <c r="I2765" s="101"/>
      <c r="K2765" s="226"/>
      <c r="L2765" s="226"/>
      <c r="M2765" s="101"/>
      <c r="N2765" s="101"/>
    </row>
    <row r="2766" spans="7:14" hidden="1" x14ac:dyDescent="0.3">
      <c r="G2766" s="101"/>
      <c r="H2766" s="101"/>
      <c r="I2766" s="101"/>
      <c r="K2766" s="226"/>
      <c r="L2766" s="226"/>
      <c r="M2766" s="101"/>
      <c r="N2766" s="101"/>
    </row>
    <row r="2767" spans="7:14" hidden="1" x14ac:dyDescent="0.3">
      <c r="G2767" s="101"/>
      <c r="H2767" s="101"/>
      <c r="I2767" s="101"/>
      <c r="K2767" s="226"/>
      <c r="L2767" s="226"/>
      <c r="M2767" s="101"/>
      <c r="N2767" s="101"/>
    </row>
    <row r="2768" spans="7:14" hidden="1" x14ac:dyDescent="0.3">
      <c r="G2768" s="101"/>
      <c r="H2768" s="101"/>
      <c r="I2768" s="101"/>
      <c r="K2768" s="226"/>
      <c r="L2768" s="226"/>
      <c r="M2768" s="101"/>
      <c r="N2768" s="101"/>
    </row>
    <row r="2769" spans="7:14" hidden="1" x14ac:dyDescent="0.3">
      <c r="G2769" s="101"/>
      <c r="H2769" s="101"/>
      <c r="I2769" s="101"/>
      <c r="K2769" s="226"/>
      <c r="L2769" s="226"/>
      <c r="M2769" s="101"/>
      <c r="N2769" s="101"/>
    </row>
    <row r="2770" spans="7:14" hidden="1" x14ac:dyDescent="0.3">
      <c r="G2770" s="101"/>
      <c r="H2770" s="101"/>
      <c r="I2770" s="101"/>
      <c r="K2770" s="226"/>
      <c r="L2770" s="226"/>
      <c r="M2770" s="101"/>
      <c r="N2770" s="101"/>
    </row>
    <row r="2771" spans="7:14" hidden="1" x14ac:dyDescent="0.3">
      <c r="G2771" s="101"/>
      <c r="H2771" s="101"/>
      <c r="I2771" s="101"/>
      <c r="K2771" s="226"/>
      <c r="L2771" s="226"/>
      <c r="M2771" s="101"/>
      <c r="N2771" s="101"/>
    </row>
    <row r="2772" spans="7:14" hidden="1" x14ac:dyDescent="0.3">
      <c r="G2772" s="101"/>
      <c r="H2772" s="101"/>
      <c r="I2772" s="101"/>
      <c r="K2772" s="226"/>
      <c r="L2772" s="226"/>
      <c r="M2772" s="101"/>
      <c r="N2772" s="101"/>
    </row>
    <row r="2773" spans="7:14" hidden="1" x14ac:dyDescent="0.3">
      <c r="G2773" s="101"/>
      <c r="H2773" s="101"/>
      <c r="I2773" s="101"/>
      <c r="K2773" s="226"/>
      <c r="L2773" s="226"/>
      <c r="M2773" s="101"/>
      <c r="N2773" s="101"/>
    </row>
    <row r="2774" spans="7:14" hidden="1" x14ac:dyDescent="0.3">
      <c r="G2774" s="101"/>
      <c r="H2774" s="101"/>
      <c r="I2774" s="101"/>
      <c r="K2774" s="226"/>
      <c r="L2774" s="226"/>
      <c r="M2774" s="101"/>
      <c r="N2774" s="101"/>
    </row>
    <row r="2775" spans="7:14" hidden="1" x14ac:dyDescent="0.3">
      <c r="G2775" s="101"/>
      <c r="H2775" s="101"/>
      <c r="I2775" s="101"/>
      <c r="K2775" s="226"/>
      <c r="L2775" s="226"/>
      <c r="M2775" s="101"/>
      <c r="N2775" s="101"/>
    </row>
    <row r="2776" spans="7:14" hidden="1" x14ac:dyDescent="0.3">
      <c r="G2776" s="101"/>
      <c r="H2776" s="101"/>
      <c r="I2776" s="101"/>
      <c r="K2776" s="226"/>
      <c r="L2776" s="226"/>
      <c r="M2776" s="101"/>
      <c r="N2776" s="101"/>
    </row>
    <row r="2777" spans="7:14" hidden="1" x14ac:dyDescent="0.3">
      <c r="G2777" s="101"/>
      <c r="H2777" s="101"/>
      <c r="I2777" s="101"/>
      <c r="K2777" s="226"/>
      <c r="L2777" s="226"/>
      <c r="M2777" s="101"/>
      <c r="N2777" s="101"/>
    </row>
    <row r="2778" spans="7:14" hidden="1" x14ac:dyDescent="0.3">
      <c r="G2778" s="101"/>
      <c r="H2778" s="101"/>
      <c r="I2778" s="101"/>
      <c r="K2778" s="226"/>
      <c r="L2778" s="226"/>
      <c r="M2778" s="101"/>
      <c r="N2778" s="101"/>
    </row>
    <row r="2779" spans="7:14" hidden="1" x14ac:dyDescent="0.3">
      <c r="G2779" s="101"/>
      <c r="H2779" s="101"/>
      <c r="I2779" s="101"/>
      <c r="K2779" s="226"/>
      <c r="L2779" s="226"/>
      <c r="M2779" s="101"/>
      <c r="N2779" s="101"/>
    </row>
    <row r="2780" spans="7:14" hidden="1" x14ac:dyDescent="0.3">
      <c r="G2780" s="101"/>
      <c r="H2780" s="101"/>
      <c r="I2780" s="101"/>
      <c r="K2780" s="226"/>
      <c r="L2780" s="226"/>
      <c r="M2780" s="101"/>
      <c r="N2780" s="101"/>
    </row>
    <row r="2781" spans="7:14" hidden="1" x14ac:dyDescent="0.3">
      <c r="G2781" s="101"/>
      <c r="H2781" s="101"/>
      <c r="I2781" s="101"/>
      <c r="K2781" s="226"/>
      <c r="L2781" s="226"/>
      <c r="M2781" s="101"/>
      <c r="N2781" s="101"/>
    </row>
    <row r="2782" spans="7:14" hidden="1" x14ac:dyDescent="0.3">
      <c r="G2782" s="101"/>
      <c r="H2782" s="101"/>
      <c r="I2782" s="101"/>
      <c r="K2782" s="226"/>
      <c r="L2782" s="226"/>
      <c r="M2782" s="101"/>
      <c r="N2782" s="101"/>
    </row>
    <row r="2783" spans="7:14" hidden="1" x14ac:dyDescent="0.3">
      <c r="G2783" s="101"/>
      <c r="H2783" s="101"/>
      <c r="I2783" s="101"/>
      <c r="K2783" s="226"/>
      <c r="L2783" s="226"/>
      <c r="M2783" s="101"/>
      <c r="N2783" s="101"/>
    </row>
    <row r="2784" spans="7:14" hidden="1" x14ac:dyDescent="0.3">
      <c r="G2784" s="101"/>
      <c r="H2784" s="101"/>
      <c r="I2784" s="101"/>
      <c r="K2784" s="226"/>
      <c r="L2784" s="226"/>
      <c r="M2784" s="101"/>
      <c r="N2784" s="101"/>
    </row>
    <row r="2785" spans="7:14" hidden="1" x14ac:dyDescent="0.3">
      <c r="G2785" s="101"/>
      <c r="H2785" s="101"/>
      <c r="I2785" s="101"/>
      <c r="K2785" s="226"/>
      <c r="L2785" s="226"/>
      <c r="M2785" s="101"/>
      <c r="N2785" s="101"/>
    </row>
    <row r="2786" spans="7:14" hidden="1" x14ac:dyDescent="0.3">
      <c r="G2786" s="101"/>
      <c r="H2786" s="101"/>
      <c r="I2786" s="101"/>
      <c r="K2786" s="226"/>
      <c r="L2786" s="226"/>
      <c r="M2786" s="101"/>
      <c r="N2786" s="101"/>
    </row>
    <row r="2787" spans="7:14" hidden="1" x14ac:dyDescent="0.3">
      <c r="G2787" s="101"/>
      <c r="H2787" s="101"/>
      <c r="I2787" s="101"/>
      <c r="K2787" s="226"/>
      <c r="L2787" s="226"/>
      <c r="M2787" s="101"/>
      <c r="N2787" s="101"/>
    </row>
    <row r="2788" spans="7:14" hidden="1" x14ac:dyDescent="0.3">
      <c r="G2788" s="101"/>
      <c r="H2788" s="101"/>
      <c r="I2788" s="101"/>
      <c r="K2788" s="226"/>
      <c r="L2788" s="226"/>
      <c r="M2788" s="101"/>
      <c r="N2788" s="101"/>
    </row>
    <row r="2789" spans="7:14" hidden="1" x14ac:dyDescent="0.3">
      <c r="G2789" s="101"/>
      <c r="H2789" s="101"/>
      <c r="I2789" s="101"/>
      <c r="K2789" s="226"/>
      <c r="L2789" s="226"/>
      <c r="M2789" s="101"/>
      <c r="N2789" s="101"/>
    </row>
    <row r="2790" spans="7:14" hidden="1" x14ac:dyDescent="0.3">
      <c r="G2790" s="101"/>
      <c r="H2790" s="101"/>
      <c r="I2790" s="101"/>
      <c r="K2790" s="226"/>
      <c r="L2790" s="226"/>
      <c r="M2790" s="101"/>
      <c r="N2790" s="101"/>
    </row>
    <row r="2791" spans="7:14" hidden="1" x14ac:dyDescent="0.3">
      <c r="G2791" s="101"/>
      <c r="H2791" s="101"/>
      <c r="I2791" s="101"/>
      <c r="K2791" s="226"/>
      <c r="L2791" s="226"/>
      <c r="M2791" s="101"/>
      <c r="N2791" s="101"/>
    </row>
    <row r="2792" spans="7:14" hidden="1" x14ac:dyDescent="0.3">
      <c r="G2792" s="101"/>
      <c r="H2792" s="101"/>
      <c r="I2792" s="101"/>
      <c r="K2792" s="226"/>
      <c r="L2792" s="226"/>
      <c r="M2792" s="101"/>
      <c r="N2792" s="101"/>
    </row>
    <row r="2793" spans="7:14" hidden="1" x14ac:dyDescent="0.3">
      <c r="G2793" s="101"/>
      <c r="H2793" s="101"/>
      <c r="I2793" s="101"/>
      <c r="K2793" s="226"/>
      <c r="L2793" s="226"/>
      <c r="M2793" s="101"/>
      <c r="N2793" s="101"/>
    </row>
    <row r="2794" spans="7:14" hidden="1" x14ac:dyDescent="0.3">
      <c r="G2794" s="101"/>
      <c r="H2794" s="101"/>
      <c r="I2794" s="101"/>
      <c r="K2794" s="226"/>
      <c r="L2794" s="226"/>
      <c r="M2794" s="101"/>
      <c r="N2794" s="101"/>
    </row>
    <row r="2795" spans="7:14" hidden="1" x14ac:dyDescent="0.3">
      <c r="G2795" s="101"/>
      <c r="H2795" s="101"/>
      <c r="I2795" s="101"/>
      <c r="K2795" s="226"/>
      <c r="L2795" s="226"/>
      <c r="M2795" s="101"/>
      <c r="N2795" s="101"/>
    </row>
    <row r="2796" spans="7:14" hidden="1" x14ac:dyDescent="0.3">
      <c r="G2796" s="101"/>
      <c r="H2796" s="101"/>
      <c r="I2796" s="101"/>
      <c r="K2796" s="226"/>
      <c r="L2796" s="226"/>
      <c r="M2796" s="101"/>
      <c r="N2796" s="101"/>
    </row>
    <row r="2797" spans="7:14" hidden="1" x14ac:dyDescent="0.3">
      <c r="G2797" s="101"/>
      <c r="H2797" s="101"/>
      <c r="I2797" s="101"/>
      <c r="K2797" s="226"/>
      <c r="L2797" s="226"/>
      <c r="M2797" s="101"/>
      <c r="N2797" s="101"/>
    </row>
    <row r="2798" spans="7:14" hidden="1" x14ac:dyDescent="0.3">
      <c r="G2798" s="101"/>
      <c r="H2798" s="101"/>
      <c r="I2798" s="101"/>
      <c r="K2798" s="226"/>
      <c r="L2798" s="226"/>
      <c r="M2798" s="101"/>
      <c r="N2798" s="101"/>
    </row>
    <row r="2799" spans="7:14" hidden="1" x14ac:dyDescent="0.3">
      <c r="G2799" s="101"/>
      <c r="H2799" s="101"/>
      <c r="I2799" s="101"/>
      <c r="K2799" s="226"/>
      <c r="L2799" s="226"/>
      <c r="M2799" s="101"/>
      <c r="N2799" s="101"/>
    </row>
    <row r="2800" spans="7:14" hidden="1" x14ac:dyDescent="0.3">
      <c r="G2800" s="101"/>
      <c r="H2800" s="101"/>
      <c r="I2800" s="101"/>
      <c r="K2800" s="226"/>
      <c r="L2800" s="226"/>
      <c r="M2800" s="101"/>
      <c r="N2800" s="101"/>
    </row>
    <row r="2801" spans="7:14" hidden="1" x14ac:dyDescent="0.3">
      <c r="G2801" s="101"/>
      <c r="H2801" s="101"/>
      <c r="I2801" s="101"/>
      <c r="K2801" s="226"/>
      <c r="L2801" s="226"/>
      <c r="M2801" s="101"/>
      <c r="N2801" s="101"/>
    </row>
    <row r="2802" spans="7:14" hidden="1" x14ac:dyDescent="0.3">
      <c r="G2802" s="101"/>
      <c r="H2802" s="101"/>
      <c r="I2802" s="101"/>
      <c r="K2802" s="226"/>
      <c r="L2802" s="226"/>
      <c r="M2802" s="101"/>
      <c r="N2802" s="101"/>
    </row>
    <row r="2803" spans="7:14" hidden="1" x14ac:dyDescent="0.3">
      <c r="G2803" s="101"/>
      <c r="H2803" s="101"/>
      <c r="I2803" s="101"/>
      <c r="K2803" s="226"/>
      <c r="L2803" s="226"/>
      <c r="M2803" s="101"/>
      <c r="N2803" s="101"/>
    </row>
    <row r="2804" spans="7:14" hidden="1" x14ac:dyDescent="0.3">
      <c r="G2804" s="101"/>
      <c r="H2804" s="101"/>
      <c r="I2804" s="101"/>
      <c r="K2804" s="226"/>
      <c r="L2804" s="226"/>
      <c r="M2804" s="101"/>
      <c r="N2804" s="101"/>
    </row>
    <row r="2805" spans="7:14" hidden="1" x14ac:dyDescent="0.3">
      <c r="G2805" s="101"/>
      <c r="H2805" s="101"/>
      <c r="I2805" s="101"/>
      <c r="K2805" s="226"/>
      <c r="L2805" s="226"/>
      <c r="M2805" s="101"/>
      <c r="N2805" s="101"/>
    </row>
    <row r="2806" spans="7:14" hidden="1" x14ac:dyDescent="0.3">
      <c r="G2806" s="101"/>
      <c r="H2806" s="101"/>
      <c r="I2806" s="101"/>
      <c r="K2806" s="226"/>
      <c r="L2806" s="226"/>
      <c r="M2806" s="101"/>
      <c r="N2806" s="101"/>
    </row>
    <row r="2807" spans="7:14" hidden="1" x14ac:dyDescent="0.3">
      <c r="G2807" s="101"/>
      <c r="H2807" s="101"/>
      <c r="I2807" s="101"/>
      <c r="K2807" s="226"/>
      <c r="L2807" s="226"/>
      <c r="M2807" s="101"/>
      <c r="N2807" s="101"/>
    </row>
    <row r="2808" spans="7:14" hidden="1" x14ac:dyDescent="0.3">
      <c r="G2808" s="101"/>
      <c r="H2808" s="101"/>
      <c r="I2808" s="101"/>
      <c r="K2808" s="226"/>
      <c r="L2808" s="226"/>
      <c r="M2808" s="101"/>
      <c r="N2808" s="101"/>
    </row>
    <row r="2809" spans="7:14" hidden="1" x14ac:dyDescent="0.3">
      <c r="G2809" s="101"/>
      <c r="H2809" s="101"/>
      <c r="I2809" s="101"/>
      <c r="K2809" s="226"/>
      <c r="L2809" s="226"/>
      <c r="M2809" s="101"/>
      <c r="N2809" s="101"/>
    </row>
    <row r="2810" spans="7:14" hidden="1" x14ac:dyDescent="0.3">
      <c r="G2810" s="101"/>
      <c r="H2810" s="101"/>
      <c r="I2810" s="101"/>
      <c r="K2810" s="226"/>
      <c r="L2810" s="226"/>
      <c r="M2810" s="101"/>
      <c r="N2810" s="101"/>
    </row>
    <row r="2811" spans="7:14" hidden="1" x14ac:dyDescent="0.3">
      <c r="G2811" s="101"/>
      <c r="H2811" s="101"/>
      <c r="I2811" s="101"/>
      <c r="K2811" s="226"/>
      <c r="L2811" s="226"/>
      <c r="M2811" s="101"/>
      <c r="N2811" s="101"/>
    </row>
    <row r="2812" spans="7:14" hidden="1" x14ac:dyDescent="0.3">
      <c r="G2812" s="101"/>
      <c r="H2812" s="101"/>
      <c r="I2812" s="101"/>
      <c r="K2812" s="226"/>
      <c r="L2812" s="226"/>
      <c r="M2812" s="101"/>
      <c r="N2812" s="101"/>
    </row>
    <row r="2813" spans="7:14" hidden="1" x14ac:dyDescent="0.3">
      <c r="G2813" s="101"/>
      <c r="H2813" s="101"/>
      <c r="I2813" s="101"/>
      <c r="K2813" s="226"/>
      <c r="L2813" s="226"/>
      <c r="M2813" s="101"/>
      <c r="N2813" s="101"/>
    </row>
    <row r="2814" spans="7:14" hidden="1" x14ac:dyDescent="0.3">
      <c r="G2814" s="101"/>
      <c r="H2814" s="101"/>
      <c r="I2814" s="101"/>
      <c r="K2814" s="226"/>
      <c r="L2814" s="226"/>
      <c r="M2814" s="101"/>
      <c r="N2814" s="101"/>
    </row>
    <row r="2815" spans="7:14" hidden="1" x14ac:dyDescent="0.3">
      <c r="G2815" s="101"/>
      <c r="H2815" s="101"/>
      <c r="I2815" s="101"/>
      <c r="K2815" s="226"/>
      <c r="L2815" s="226"/>
      <c r="M2815" s="101"/>
      <c r="N2815" s="101"/>
    </row>
    <row r="2816" spans="7:14" hidden="1" x14ac:dyDescent="0.3">
      <c r="G2816" s="101"/>
      <c r="H2816" s="101"/>
      <c r="I2816" s="101"/>
      <c r="K2816" s="226"/>
      <c r="L2816" s="226"/>
      <c r="M2816" s="101"/>
      <c r="N2816" s="101"/>
    </row>
    <row r="2817" spans="7:14" hidden="1" x14ac:dyDescent="0.3">
      <c r="G2817" s="101"/>
      <c r="H2817" s="101"/>
      <c r="I2817" s="101"/>
      <c r="K2817" s="226"/>
      <c r="L2817" s="226"/>
      <c r="M2817" s="101"/>
      <c r="N2817" s="101"/>
    </row>
    <row r="2818" spans="7:14" hidden="1" x14ac:dyDescent="0.3">
      <c r="G2818" s="101"/>
      <c r="H2818" s="101"/>
      <c r="I2818" s="101"/>
      <c r="K2818" s="226"/>
      <c r="L2818" s="226"/>
      <c r="M2818" s="101"/>
      <c r="N2818" s="101"/>
    </row>
    <row r="2819" spans="7:14" hidden="1" x14ac:dyDescent="0.3">
      <c r="G2819" s="101"/>
      <c r="H2819" s="101"/>
      <c r="I2819" s="101"/>
      <c r="K2819" s="226"/>
      <c r="L2819" s="226"/>
      <c r="M2819" s="101"/>
      <c r="N2819" s="101"/>
    </row>
    <row r="2820" spans="7:14" hidden="1" x14ac:dyDescent="0.3">
      <c r="G2820" s="101"/>
      <c r="H2820" s="101"/>
      <c r="I2820" s="101"/>
      <c r="K2820" s="226"/>
      <c r="L2820" s="226"/>
      <c r="M2820" s="101"/>
      <c r="N2820" s="101"/>
    </row>
    <row r="2821" spans="7:14" hidden="1" x14ac:dyDescent="0.3">
      <c r="G2821" s="101"/>
      <c r="H2821" s="101"/>
      <c r="I2821" s="101"/>
      <c r="K2821" s="226"/>
      <c r="L2821" s="226"/>
      <c r="M2821" s="101"/>
      <c r="N2821" s="101"/>
    </row>
    <row r="2822" spans="7:14" hidden="1" x14ac:dyDescent="0.3">
      <c r="G2822" s="101"/>
      <c r="H2822" s="101"/>
      <c r="I2822" s="101"/>
      <c r="K2822" s="226"/>
      <c r="L2822" s="226"/>
      <c r="M2822" s="101"/>
      <c r="N2822" s="101"/>
    </row>
    <row r="2823" spans="7:14" hidden="1" x14ac:dyDescent="0.3">
      <c r="G2823" s="101"/>
      <c r="H2823" s="101"/>
      <c r="I2823" s="101"/>
      <c r="K2823" s="226"/>
      <c r="L2823" s="226"/>
      <c r="M2823" s="101"/>
      <c r="N2823" s="101"/>
    </row>
    <row r="2824" spans="7:14" hidden="1" x14ac:dyDescent="0.3">
      <c r="G2824" s="101"/>
      <c r="H2824" s="101"/>
      <c r="I2824" s="101"/>
      <c r="K2824" s="226"/>
      <c r="L2824" s="226"/>
      <c r="M2824" s="101"/>
      <c r="N2824" s="101"/>
    </row>
    <row r="2825" spans="7:14" hidden="1" x14ac:dyDescent="0.3">
      <c r="G2825" s="101"/>
      <c r="H2825" s="101"/>
      <c r="I2825" s="101"/>
      <c r="K2825" s="226"/>
      <c r="L2825" s="226"/>
      <c r="M2825" s="101"/>
      <c r="N2825" s="101"/>
    </row>
    <row r="2826" spans="7:14" hidden="1" x14ac:dyDescent="0.3">
      <c r="G2826" s="101"/>
      <c r="H2826" s="101"/>
      <c r="I2826" s="101"/>
      <c r="K2826" s="226"/>
      <c r="L2826" s="226"/>
      <c r="M2826" s="101"/>
      <c r="N2826" s="101"/>
    </row>
    <row r="2827" spans="7:14" hidden="1" x14ac:dyDescent="0.3">
      <c r="G2827" s="101"/>
      <c r="H2827" s="101"/>
      <c r="I2827" s="101"/>
      <c r="K2827" s="226"/>
      <c r="L2827" s="226"/>
      <c r="M2827" s="101"/>
      <c r="N2827" s="101"/>
    </row>
    <row r="2828" spans="7:14" hidden="1" x14ac:dyDescent="0.3">
      <c r="G2828" s="101"/>
      <c r="H2828" s="101"/>
      <c r="I2828" s="101"/>
      <c r="K2828" s="226"/>
      <c r="L2828" s="226"/>
      <c r="M2828" s="101"/>
      <c r="N2828" s="101"/>
    </row>
    <row r="2829" spans="7:14" hidden="1" x14ac:dyDescent="0.3">
      <c r="G2829" s="101"/>
      <c r="H2829" s="101"/>
      <c r="I2829" s="101"/>
      <c r="K2829" s="226"/>
      <c r="L2829" s="226"/>
      <c r="M2829" s="101"/>
      <c r="N2829" s="101"/>
    </row>
    <row r="2830" spans="7:14" hidden="1" x14ac:dyDescent="0.3">
      <c r="G2830" s="101"/>
      <c r="H2830" s="101"/>
      <c r="I2830" s="101"/>
      <c r="K2830" s="226"/>
      <c r="L2830" s="226"/>
      <c r="M2830" s="101"/>
      <c r="N2830" s="101"/>
    </row>
    <row r="2831" spans="7:14" hidden="1" x14ac:dyDescent="0.3">
      <c r="G2831" s="101"/>
      <c r="H2831" s="101"/>
      <c r="I2831" s="101"/>
      <c r="K2831" s="226"/>
      <c r="L2831" s="226"/>
      <c r="M2831" s="101"/>
      <c r="N2831" s="101"/>
    </row>
    <row r="2832" spans="7:14" hidden="1" x14ac:dyDescent="0.3">
      <c r="G2832" s="101"/>
      <c r="H2832" s="101"/>
      <c r="I2832" s="101"/>
      <c r="K2832" s="226"/>
      <c r="L2832" s="226"/>
      <c r="M2832" s="101"/>
      <c r="N2832" s="101"/>
    </row>
    <row r="2833" spans="7:14" hidden="1" x14ac:dyDescent="0.3">
      <c r="G2833" s="101"/>
      <c r="H2833" s="101"/>
      <c r="I2833" s="101"/>
      <c r="K2833" s="226"/>
      <c r="L2833" s="226"/>
      <c r="M2833" s="101"/>
      <c r="N2833" s="101"/>
    </row>
    <row r="2834" spans="7:14" hidden="1" x14ac:dyDescent="0.3">
      <c r="G2834" s="101"/>
      <c r="H2834" s="101"/>
      <c r="I2834" s="101"/>
      <c r="K2834" s="226"/>
      <c r="L2834" s="226"/>
      <c r="M2834" s="101"/>
      <c r="N2834" s="101"/>
    </row>
    <row r="2835" spans="7:14" hidden="1" x14ac:dyDescent="0.3">
      <c r="G2835" s="101"/>
      <c r="H2835" s="101"/>
      <c r="I2835" s="101"/>
      <c r="K2835" s="226"/>
      <c r="L2835" s="226"/>
      <c r="M2835" s="101"/>
      <c r="N2835" s="101"/>
    </row>
    <row r="2836" spans="7:14" hidden="1" x14ac:dyDescent="0.3">
      <c r="G2836" s="101"/>
      <c r="H2836" s="101"/>
      <c r="I2836" s="101"/>
      <c r="K2836" s="226"/>
      <c r="L2836" s="226"/>
      <c r="M2836" s="101"/>
      <c r="N2836" s="101"/>
    </row>
    <row r="2837" spans="7:14" hidden="1" x14ac:dyDescent="0.3">
      <c r="G2837" s="101"/>
      <c r="H2837" s="101"/>
      <c r="I2837" s="101"/>
      <c r="K2837" s="226"/>
      <c r="L2837" s="226"/>
      <c r="M2837" s="101"/>
      <c r="N2837" s="101"/>
    </row>
    <row r="2838" spans="7:14" hidden="1" x14ac:dyDescent="0.3">
      <c r="G2838" s="101"/>
      <c r="H2838" s="101"/>
      <c r="I2838" s="101"/>
      <c r="K2838" s="226"/>
      <c r="L2838" s="226"/>
      <c r="M2838" s="101"/>
      <c r="N2838" s="101"/>
    </row>
    <row r="2839" spans="7:14" hidden="1" x14ac:dyDescent="0.3">
      <c r="G2839" s="101"/>
      <c r="H2839" s="101"/>
      <c r="I2839" s="101"/>
      <c r="K2839" s="226"/>
      <c r="L2839" s="226"/>
      <c r="M2839" s="101"/>
      <c r="N2839" s="101"/>
    </row>
    <row r="2840" spans="7:14" hidden="1" x14ac:dyDescent="0.3">
      <c r="G2840" s="101"/>
      <c r="H2840" s="101"/>
      <c r="I2840" s="101"/>
      <c r="K2840" s="226"/>
      <c r="L2840" s="226"/>
      <c r="M2840" s="101"/>
      <c r="N2840" s="101"/>
    </row>
    <row r="2841" spans="7:14" hidden="1" x14ac:dyDescent="0.3">
      <c r="G2841" s="101"/>
      <c r="H2841" s="101"/>
      <c r="I2841" s="101"/>
      <c r="K2841" s="226"/>
      <c r="L2841" s="226"/>
      <c r="M2841" s="101"/>
      <c r="N2841" s="101"/>
    </row>
    <row r="2842" spans="7:14" hidden="1" x14ac:dyDescent="0.3">
      <c r="G2842" s="101"/>
      <c r="H2842" s="101"/>
      <c r="I2842" s="101"/>
      <c r="K2842" s="226"/>
      <c r="L2842" s="226"/>
      <c r="M2842" s="101"/>
      <c r="N2842" s="101"/>
    </row>
    <row r="2843" spans="7:14" hidden="1" x14ac:dyDescent="0.3">
      <c r="G2843" s="101"/>
      <c r="H2843" s="101"/>
      <c r="I2843" s="101"/>
      <c r="K2843" s="226"/>
      <c r="L2843" s="226"/>
      <c r="M2843" s="101"/>
      <c r="N2843" s="101"/>
    </row>
    <row r="2844" spans="7:14" hidden="1" x14ac:dyDescent="0.3">
      <c r="G2844" s="101"/>
      <c r="H2844" s="101"/>
      <c r="I2844" s="101"/>
      <c r="K2844" s="226"/>
      <c r="L2844" s="226"/>
      <c r="M2844" s="101"/>
      <c r="N2844" s="101"/>
    </row>
    <row r="2845" spans="7:14" hidden="1" x14ac:dyDescent="0.3">
      <c r="G2845" s="101"/>
      <c r="H2845" s="101"/>
      <c r="I2845" s="101"/>
      <c r="K2845" s="226"/>
      <c r="L2845" s="226"/>
      <c r="M2845" s="101"/>
      <c r="N2845" s="101"/>
    </row>
    <row r="2846" spans="7:14" hidden="1" x14ac:dyDescent="0.3">
      <c r="G2846" s="101"/>
      <c r="H2846" s="101"/>
      <c r="I2846" s="101"/>
      <c r="K2846" s="226"/>
      <c r="L2846" s="226"/>
      <c r="M2846" s="101"/>
      <c r="N2846" s="101"/>
    </row>
    <row r="2847" spans="7:14" hidden="1" x14ac:dyDescent="0.3">
      <c r="G2847" s="101"/>
      <c r="H2847" s="101"/>
      <c r="I2847" s="101"/>
      <c r="K2847" s="226"/>
      <c r="L2847" s="226"/>
      <c r="M2847" s="101"/>
      <c r="N2847" s="101"/>
    </row>
    <row r="2848" spans="7:14" hidden="1" x14ac:dyDescent="0.3">
      <c r="G2848" s="101"/>
      <c r="H2848" s="101"/>
      <c r="I2848" s="101"/>
      <c r="K2848" s="226"/>
      <c r="L2848" s="226"/>
      <c r="M2848" s="101"/>
      <c r="N2848" s="101"/>
    </row>
    <row r="2849" spans="7:14" hidden="1" x14ac:dyDescent="0.3">
      <c r="G2849" s="101"/>
      <c r="H2849" s="101"/>
      <c r="I2849" s="101"/>
      <c r="K2849" s="226"/>
      <c r="L2849" s="226"/>
      <c r="M2849" s="101"/>
      <c r="N2849" s="101"/>
    </row>
    <row r="2850" spans="7:14" hidden="1" x14ac:dyDescent="0.3">
      <c r="G2850" s="101"/>
      <c r="H2850" s="101"/>
      <c r="I2850" s="101"/>
      <c r="K2850" s="226"/>
      <c r="L2850" s="226"/>
      <c r="M2850" s="101"/>
      <c r="N2850" s="101"/>
    </row>
    <row r="2851" spans="7:14" hidden="1" x14ac:dyDescent="0.3">
      <c r="G2851" s="101"/>
      <c r="H2851" s="101"/>
      <c r="I2851" s="101"/>
      <c r="K2851" s="226"/>
      <c r="L2851" s="226"/>
      <c r="M2851" s="101"/>
      <c r="N2851" s="101"/>
    </row>
    <row r="2852" spans="7:14" hidden="1" x14ac:dyDescent="0.3">
      <c r="G2852" s="101"/>
      <c r="H2852" s="101"/>
      <c r="I2852" s="101"/>
      <c r="K2852" s="226"/>
      <c r="L2852" s="226"/>
      <c r="M2852" s="101"/>
      <c r="N2852" s="101"/>
    </row>
    <row r="2853" spans="7:14" hidden="1" x14ac:dyDescent="0.3">
      <c r="G2853" s="101"/>
      <c r="H2853" s="101"/>
      <c r="I2853" s="101"/>
      <c r="K2853" s="226"/>
      <c r="L2853" s="226"/>
      <c r="M2853" s="101"/>
      <c r="N2853" s="101"/>
    </row>
    <row r="2854" spans="7:14" hidden="1" x14ac:dyDescent="0.3">
      <c r="G2854" s="101"/>
      <c r="H2854" s="101"/>
      <c r="I2854" s="101"/>
      <c r="K2854" s="226"/>
      <c r="L2854" s="226"/>
      <c r="M2854" s="101"/>
      <c r="N2854" s="101"/>
    </row>
    <row r="2855" spans="7:14" hidden="1" x14ac:dyDescent="0.3">
      <c r="G2855" s="101"/>
      <c r="H2855" s="101"/>
      <c r="I2855" s="101"/>
      <c r="K2855" s="226"/>
      <c r="L2855" s="226"/>
      <c r="M2855" s="101"/>
      <c r="N2855" s="101"/>
    </row>
    <row r="2856" spans="7:14" hidden="1" x14ac:dyDescent="0.3">
      <c r="G2856" s="101"/>
      <c r="H2856" s="101"/>
      <c r="I2856" s="101"/>
      <c r="K2856" s="226"/>
      <c r="L2856" s="226"/>
      <c r="M2856" s="101"/>
      <c r="N2856" s="101"/>
    </row>
    <row r="2857" spans="7:14" hidden="1" x14ac:dyDescent="0.3">
      <c r="G2857" s="101"/>
      <c r="H2857" s="101"/>
      <c r="I2857" s="101"/>
      <c r="K2857" s="226"/>
      <c r="L2857" s="226"/>
      <c r="M2857" s="101"/>
      <c r="N2857" s="101"/>
    </row>
    <row r="2858" spans="7:14" hidden="1" x14ac:dyDescent="0.3">
      <c r="G2858" s="101"/>
      <c r="H2858" s="101"/>
      <c r="I2858" s="101"/>
      <c r="K2858" s="226"/>
      <c r="L2858" s="226"/>
      <c r="M2858" s="101"/>
      <c r="N2858" s="101"/>
    </row>
    <row r="2859" spans="7:14" hidden="1" x14ac:dyDescent="0.3">
      <c r="G2859" s="101"/>
      <c r="H2859" s="101"/>
      <c r="I2859" s="101"/>
      <c r="K2859" s="226"/>
      <c r="L2859" s="226"/>
      <c r="M2859" s="101"/>
      <c r="N2859" s="101"/>
    </row>
    <row r="2860" spans="7:14" hidden="1" x14ac:dyDescent="0.3">
      <c r="G2860" s="101"/>
      <c r="H2860" s="101"/>
      <c r="I2860" s="101"/>
      <c r="K2860" s="226"/>
      <c r="L2860" s="226"/>
      <c r="M2860" s="101"/>
      <c r="N2860" s="101"/>
    </row>
    <row r="2861" spans="7:14" hidden="1" x14ac:dyDescent="0.3">
      <c r="G2861" s="101"/>
      <c r="H2861" s="101"/>
      <c r="I2861" s="101"/>
      <c r="K2861" s="226"/>
      <c r="L2861" s="226"/>
      <c r="M2861" s="101"/>
      <c r="N2861" s="101"/>
    </row>
    <row r="2862" spans="7:14" hidden="1" x14ac:dyDescent="0.3">
      <c r="G2862" s="101"/>
      <c r="H2862" s="101"/>
      <c r="I2862" s="101"/>
      <c r="K2862" s="226"/>
      <c r="L2862" s="226"/>
      <c r="M2862" s="101"/>
      <c r="N2862" s="101"/>
    </row>
    <row r="2863" spans="7:14" hidden="1" x14ac:dyDescent="0.3">
      <c r="G2863" s="101"/>
      <c r="H2863" s="101"/>
      <c r="I2863" s="101"/>
      <c r="K2863" s="226"/>
      <c r="L2863" s="226"/>
      <c r="M2863" s="101"/>
      <c r="N2863" s="101"/>
    </row>
    <row r="2864" spans="7:14" hidden="1" x14ac:dyDescent="0.3">
      <c r="G2864" s="101"/>
      <c r="H2864" s="101"/>
      <c r="I2864" s="101"/>
      <c r="K2864" s="226"/>
      <c r="L2864" s="226"/>
      <c r="M2864" s="101"/>
      <c r="N2864" s="101"/>
    </row>
    <row r="2865" spans="7:14" hidden="1" x14ac:dyDescent="0.3">
      <c r="G2865" s="101"/>
      <c r="H2865" s="101"/>
      <c r="I2865" s="101"/>
      <c r="K2865" s="226"/>
      <c r="L2865" s="226"/>
      <c r="M2865" s="101"/>
      <c r="N2865" s="101"/>
    </row>
    <row r="2866" spans="7:14" hidden="1" x14ac:dyDescent="0.3">
      <c r="G2866" s="101"/>
      <c r="H2866" s="101"/>
      <c r="I2866" s="101"/>
      <c r="K2866" s="226"/>
      <c r="L2866" s="226"/>
      <c r="M2866" s="101"/>
      <c r="N2866" s="101"/>
    </row>
    <row r="2867" spans="7:14" hidden="1" x14ac:dyDescent="0.3">
      <c r="G2867" s="101"/>
      <c r="H2867" s="101"/>
      <c r="I2867" s="101"/>
      <c r="K2867" s="226"/>
      <c r="L2867" s="226"/>
      <c r="M2867" s="101"/>
      <c r="N2867" s="101"/>
    </row>
    <row r="2868" spans="7:14" hidden="1" x14ac:dyDescent="0.3">
      <c r="G2868" s="101"/>
      <c r="H2868" s="101"/>
      <c r="I2868" s="101"/>
      <c r="K2868" s="226"/>
      <c r="L2868" s="226"/>
      <c r="M2868" s="101"/>
      <c r="N2868" s="101"/>
    </row>
    <row r="2869" spans="7:14" hidden="1" x14ac:dyDescent="0.3">
      <c r="G2869" s="101"/>
      <c r="H2869" s="101"/>
      <c r="I2869" s="101"/>
      <c r="K2869" s="226"/>
      <c r="L2869" s="226"/>
      <c r="M2869" s="101"/>
      <c r="N2869" s="101"/>
    </row>
    <row r="2870" spans="7:14" hidden="1" x14ac:dyDescent="0.3">
      <c r="G2870" s="101"/>
      <c r="H2870" s="101"/>
      <c r="I2870" s="101"/>
      <c r="K2870" s="226"/>
      <c r="L2870" s="226"/>
      <c r="M2870" s="101"/>
      <c r="N2870" s="101"/>
    </row>
    <row r="2871" spans="7:14" hidden="1" x14ac:dyDescent="0.3">
      <c r="G2871" s="101"/>
      <c r="H2871" s="101"/>
      <c r="I2871" s="101"/>
      <c r="K2871" s="226"/>
      <c r="L2871" s="226"/>
      <c r="M2871" s="101"/>
      <c r="N2871" s="101"/>
    </row>
    <row r="2872" spans="7:14" hidden="1" x14ac:dyDescent="0.3">
      <c r="G2872" s="101"/>
      <c r="H2872" s="101"/>
      <c r="I2872" s="101"/>
      <c r="K2872" s="226"/>
      <c r="L2872" s="226"/>
      <c r="M2872" s="101"/>
      <c r="N2872" s="101"/>
    </row>
    <row r="2873" spans="7:14" hidden="1" x14ac:dyDescent="0.3">
      <c r="G2873" s="101"/>
      <c r="H2873" s="101"/>
      <c r="I2873" s="101"/>
      <c r="K2873" s="226"/>
      <c r="L2873" s="226"/>
      <c r="M2873" s="101"/>
      <c r="N2873" s="101"/>
    </row>
    <row r="2874" spans="7:14" hidden="1" x14ac:dyDescent="0.3">
      <c r="G2874" s="101"/>
      <c r="H2874" s="101"/>
      <c r="I2874" s="101"/>
      <c r="K2874" s="226"/>
      <c r="L2874" s="226"/>
      <c r="M2874" s="101"/>
      <c r="N2874" s="101"/>
    </row>
    <row r="2875" spans="7:14" hidden="1" x14ac:dyDescent="0.3">
      <c r="G2875" s="101"/>
      <c r="H2875" s="101"/>
      <c r="I2875" s="101"/>
      <c r="K2875" s="226"/>
      <c r="L2875" s="226"/>
      <c r="M2875" s="101"/>
      <c r="N2875" s="101"/>
    </row>
    <row r="2876" spans="7:14" hidden="1" x14ac:dyDescent="0.3">
      <c r="G2876" s="101"/>
      <c r="H2876" s="101"/>
      <c r="I2876" s="101"/>
      <c r="K2876" s="226"/>
      <c r="L2876" s="226"/>
      <c r="M2876" s="101"/>
      <c r="N2876" s="101"/>
    </row>
    <row r="2877" spans="7:14" hidden="1" x14ac:dyDescent="0.3">
      <c r="G2877" s="101"/>
      <c r="H2877" s="101"/>
      <c r="I2877" s="101"/>
      <c r="K2877" s="226"/>
      <c r="L2877" s="226"/>
      <c r="M2877" s="101"/>
      <c r="N2877" s="101"/>
    </row>
    <row r="2878" spans="7:14" hidden="1" x14ac:dyDescent="0.3">
      <c r="G2878" s="101"/>
      <c r="H2878" s="101"/>
      <c r="I2878" s="101"/>
      <c r="K2878" s="226"/>
      <c r="L2878" s="226"/>
      <c r="M2878" s="101"/>
      <c r="N2878" s="101"/>
    </row>
    <row r="2879" spans="7:14" hidden="1" x14ac:dyDescent="0.3">
      <c r="G2879" s="101"/>
      <c r="H2879" s="101"/>
      <c r="I2879" s="101"/>
      <c r="K2879" s="226"/>
      <c r="L2879" s="226"/>
      <c r="M2879" s="101"/>
      <c r="N2879" s="101"/>
    </row>
    <row r="2880" spans="7:14" hidden="1" x14ac:dyDescent="0.3">
      <c r="G2880" s="101"/>
      <c r="H2880" s="101"/>
      <c r="I2880" s="101"/>
      <c r="K2880" s="226"/>
      <c r="L2880" s="226"/>
      <c r="M2880" s="101"/>
      <c r="N2880" s="101"/>
    </row>
    <row r="2881" spans="7:14" hidden="1" x14ac:dyDescent="0.3">
      <c r="G2881" s="101"/>
      <c r="H2881" s="101"/>
      <c r="I2881" s="101"/>
      <c r="K2881" s="226"/>
      <c r="L2881" s="226"/>
      <c r="M2881" s="101"/>
      <c r="N2881" s="101"/>
    </row>
    <row r="2882" spans="7:14" hidden="1" x14ac:dyDescent="0.3">
      <c r="G2882" s="101"/>
      <c r="H2882" s="101"/>
      <c r="I2882" s="101"/>
      <c r="K2882" s="226"/>
      <c r="L2882" s="226"/>
      <c r="M2882" s="101"/>
      <c r="N2882" s="101"/>
    </row>
    <row r="2883" spans="7:14" hidden="1" x14ac:dyDescent="0.3">
      <c r="G2883" s="101"/>
      <c r="H2883" s="101"/>
      <c r="I2883" s="101"/>
      <c r="K2883" s="226"/>
      <c r="L2883" s="226"/>
      <c r="M2883" s="101"/>
      <c r="N2883" s="101"/>
    </row>
    <row r="2884" spans="7:14" hidden="1" x14ac:dyDescent="0.3">
      <c r="G2884" s="101"/>
      <c r="H2884" s="101"/>
      <c r="I2884" s="101"/>
      <c r="K2884" s="226"/>
      <c r="L2884" s="226"/>
      <c r="M2884" s="101"/>
      <c r="N2884" s="101"/>
    </row>
    <row r="2885" spans="7:14" hidden="1" x14ac:dyDescent="0.3">
      <c r="G2885" s="101"/>
      <c r="H2885" s="101"/>
      <c r="I2885" s="101"/>
      <c r="K2885" s="226"/>
      <c r="L2885" s="226"/>
      <c r="M2885" s="101"/>
      <c r="N2885" s="101"/>
    </row>
    <row r="2886" spans="7:14" hidden="1" x14ac:dyDescent="0.3">
      <c r="G2886" s="101"/>
      <c r="H2886" s="101"/>
      <c r="I2886" s="101"/>
      <c r="K2886" s="226"/>
      <c r="L2886" s="226"/>
      <c r="M2886" s="101"/>
      <c r="N2886" s="101"/>
    </row>
    <row r="2887" spans="7:14" hidden="1" x14ac:dyDescent="0.3">
      <c r="G2887" s="101"/>
      <c r="H2887" s="101"/>
      <c r="I2887" s="101"/>
      <c r="K2887" s="226"/>
      <c r="L2887" s="226"/>
      <c r="M2887" s="101"/>
      <c r="N2887" s="101"/>
    </row>
    <row r="2888" spans="7:14" hidden="1" x14ac:dyDescent="0.3">
      <c r="G2888" s="101"/>
      <c r="H2888" s="101"/>
      <c r="I2888" s="101"/>
      <c r="K2888" s="226"/>
      <c r="L2888" s="226"/>
      <c r="M2888" s="101"/>
      <c r="N2888" s="101"/>
    </row>
    <row r="2889" spans="7:14" hidden="1" x14ac:dyDescent="0.3">
      <c r="G2889" s="101"/>
      <c r="H2889" s="101"/>
      <c r="I2889" s="101"/>
      <c r="K2889" s="226"/>
      <c r="L2889" s="226"/>
      <c r="M2889" s="101"/>
      <c r="N2889" s="101"/>
    </row>
    <row r="2890" spans="7:14" hidden="1" x14ac:dyDescent="0.3">
      <c r="G2890" s="101"/>
      <c r="H2890" s="101"/>
      <c r="I2890" s="101"/>
      <c r="K2890" s="226"/>
      <c r="L2890" s="226"/>
      <c r="M2890" s="101"/>
      <c r="N2890" s="101"/>
    </row>
    <row r="2891" spans="7:14" hidden="1" x14ac:dyDescent="0.3">
      <c r="G2891" s="101"/>
      <c r="H2891" s="101"/>
      <c r="I2891" s="101"/>
      <c r="K2891" s="226"/>
      <c r="L2891" s="226"/>
      <c r="M2891" s="101"/>
      <c r="N2891" s="101"/>
    </row>
    <row r="2892" spans="7:14" hidden="1" x14ac:dyDescent="0.3">
      <c r="G2892" s="101"/>
      <c r="H2892" s="101"/>
      <c r="I2892" s="101"/>
      <c r="K2892" s="226"/>
      <c r="L2892" s="226"/>
      <c r="M2892" s="101"/>
      <c r="N2892" s="101"/>
    </row>
    <row r="2893" spans="7:14" hidden="1" x14ac:dyDescent="0.3">
      <c r="G2893" s="101"/>
      <c r="H2893" s="101"/>
      <c r="I2893" s="101"/>
      <c r="K2893" s="226"/>
      <c r="L2893" s="226"/>
      <c r="M2893" s="101"/>
      <c r="N2893" s="101"/>
    </row>
    <row r="2894" spans="7:14" hidden="1" x14ac:dyDescent="0.3">
      <c r="G2894" s="101"/>
      <c r="H2894" s="101"/>
      <c r="I2894" s="101"/>
      <c r="K2894" s="226"/>
      <c r="L2894" s="226"/>
      <c r="M2894" s="101"/>
      <c r="N2894" s="101"/>
    </row>
    <row r="2895" spans="7:14" hidden="1" x14ac:dyDescent="0.3">
      <c r="G2895" s="101"/>
      <c r="H2895" s="101"/>
      <c r="I2895" s="101"/>
      <c r="K2895" s="226"/>
      <c r="L2895" s="226"/>
      <c r="M2895" s="101"/>
      <c r="N2895" s="101"/>
    </row>
    <row r="2896" spans="7:14" hidden="1" x14ac:dyDescent="0.3">
      <c r="G2896" s="101"/>
      <c r="H2896" s="101"/>
      <c r="I2896" s="101"/>
      <c r="K2896" s="226"/>
      <c r="L2896" s="226"/>
      <c r="M2896" s="101"/>
      <c r="N2896" s="101"/>
    </row>
    <row r="2897" spans="7:14" hidden="1" x14ac:dyDescent="0.3">
      <c r="G2897" s="101"/>
      <c r="H2897" s="101"/>
      <c r="I2897" s="101"/>
      <c r="K2897" s="226"/>
      <c r="L2897" s="226"/>
      <c r="M2897" s="101"/>
      <c r="N2897" s="101"/>
    </row>
    <row r="2898" spans="7:14" hidden="1" x14ac:dyDescent="0.3">
      <c r="G2898" s="101"/>
      <c r="H2898" s="101"/>
      <c r="I2898" s="101"/>
      <c r="K2898" s="226"/>
      <c r="L2898" s="226"/>
      <c r="M2898" s="101"/>
      <c r="N2898" s="101"/>
    </row>
    <row r="2899" spans="7:14" hidden="1" x14ac:dyDescent="0.3">
      <c r="G2899" s="101"/>
      <c r="H2899" s="101"/>
      <c r="I2899" s="101"/>
      <c r="K2899" s="226"/>
      <c r="L2899" s="226"/>
      <c r="M2899" s="101"/>
      <c r="N2899" s="101"/>
    </row>
    <row r="2900" spans="7:14" hidden="1" x14ac:dyDescent="0.3">
      <c r="G2900" s="101"/>
      <c r="H2900" s="101"/>
      <c r="I2900" s="101"/>
      <c r="K2900" s="226"/>
      <c r="L2900" s="226"/>
      <c r="M2900" s="101"/>
      <c r="N2900" s="101"/>
    </row>
    <row r="2901" spans="7:14" hidden="1" x14ac:dyDescent="0.3">
      <c r="G2901" s="101"/>
      <c r="H2901" s="101"/>
      <c r="I2901" s="101"/>
      <c r="K2901" s="226"/>
      <c r="L2901" s="226"/>
      <c r="M2901" s="101"/>
      <c r="N2901" s="101"/>
    </row>
    <row r="2902" spans="7:14" hidden="1" x14ac:dyDescent="0.3">
      <c r="G2902" s="101"/>
      <c r="H2902" s="101"/>
      <c r="I2902" s="101"/>
      <c r="K2902" s="226"/>
      <c r="L2902" s="226"/>
      <c r="M2902" s="101"/>
      <c r="N2902" s="101"/>
    </row>
    <row r="2903" spans="7:14" hidden="1" x14ac:dyDescent="0.3">
      <c r="G2903" s="101"/>
      <c r="H2903" s="101"/>
      <c r="I2903" s="101"/>
      <c r="K2903" s="226"/>
      <c r="L2903" s="226"/>
      <c r="M2903" s="101"/>
      <c r="N2903" s="101"/>
    </row>
    <row r="2904" spans="7:14" hidden="1" x14ac:dyDescent="0.3">
      <c r="G2904" s="101"/>
      <c r="H2904" s="101"/>
      <c r="I2904" s="101"/>
      <c r="K2904" s="226"/>
      <c r="L2904" s="226"/>
      <c r="M2904" s="101"/>
      <c r="N2904" s="101"/>
    </row>
    <row r="2905" spans="7:14" hidden="1" x14ac:dyDescent="0.3">
      <c r="G2905" s="101"/>
      <c r="H2905" s="101"/>
      <c r="I2905" s="101"/>
      <c r="K2905" s="226"/>
      <c r="L2905" s="226"/>
      <c r="M2905" s="101"/>
      <c r="N2905" s="101"/>
    </row>
    <row r="2906" spans="7:14" hidden="1" x14ac:dyDescent="0.3">
      <c r="G2906" s="101"/>
      <c r="H2906" s="101"/>
      <c r="I2906" s="101"/>
      <c r="K2906" s="226"/>
      <c r="L2906" s="226"/>
      <c r="M2906" s="101"/>
      <c r="N2906" s="101"/>
    </row>
    <row r="2907" spans="7:14" hidden="1" x14ac:dyDescent="0.3">
      <c r="G2907" s="101"/>
      <c r="H2907" s="101"/>
      <c r="I2907" s="101"/>
      <c r="K2907" s="226"/>
      <c r="L2907" s="226"/>
      <c r="M2907" s="101"/>
      <c r="N2907" s="101"/>
    </row>
    <row r="2908" spans="7:14" hidden="1" x14ac:dyDescent="0.3">
      <c r="G2908" s="101"/>
      <c r="H2908" s="101"/>
      <c r="I2908" s="101"/>
      <c r="K2908" s="226"/>
      <c r="L2908" s="226"/>
      <c r="M2908" s="101"/>
      <c r="N2908" s="101"/>
    </row>
    <row r="2909" spans="7:14" hidden="1" x14ac:dyDescent="0.3">
      <c r="G2909" s="101"/>
      <c r="H2909" s="101"/>
      <c r="I2909" s="101"/>
      <c r="K2909" s="226"/>
      <c r="L2909" s="226"/>
      <c r="M2909" s="101"/>
      <c r="N2909" s="101"/>
    </row>
    <row r="2910" spans="7:14" hidden="1" x14ac:dyDescent="0.3">
      <c r="G2910" s="101"/>
      <c r="H2910" s="101"/>
      <c r="I2910" s="101"/>
      <c r="K2910" s="226"/>
      <c r="L2910" s="226"/>
      <c r="M2910" s="101"/>
      <c r="N2910" s="101"/>
    </row>
    <row r="2911" spans="7:14" hidden="1" x14ac:dyDescent="0.3">
      <c r="G2911" s="101"/>
      <c r="H2911" s="101"/>
      <c r="I2911" s="101"/>
      <c r="K2911" s="226"/>
      <c r="L2911" s="226"/>
      <c r="M2911" s="101"/>
      <c r="N2911" s="101"/>
    </row>
    <row r="2912" spans="7:14" hidden="1" x14ac:dyDescent="0.3">
      <c r="G2912" s="101"/>
      <c r="H2912" s="101"/>
      <c r="I2912" s="101"/>
      <c r="K2912" s="226"/>
      <c r="L2912" s="226"/>
      <c r="M2912" s="101"/>
      <c r="N2912" s="101"/>
    </row>
    <row r="2913" spans="7:14" hidden="1" x14ac:dyDescent="0.3">
      <c r="G2913" s="101"/>
      <c r="H2913" s="101"/>
      <c r="I2913" s="101"/>
      <c r="K2913" s="226"/>
      <c r="L2913" s="226"/>
      <c r="M2913" s="101"/>
      <c r="N2913" s="101"/>
    </row>
    <row r="2914" spans="7:14" hidden="1" x14ac:dyDescent="0.3">
      <c r="G2914" s="101"/>
      <c r="H2914" s="101"/>
      <c r="I2914" s="101"/>
      <c r="K2914" s="226"/>
      <c r="L2914" s="226"/>
      <c r="M2914" s="101"/>
      <c r="N2914" s="101"/>
    </row>
    <row r="2915" spans="7:14" hidden="1" x14ac:dyDescent="0.3">
      <c r="G2915" s="101"/>
      <c r="H2915" s="101"/>
      <c r="I2915" s="101"/>
      <c r="K2915" s="226"/>
      <c r="L2915" s="226"/>
      <c r="M2915" s="101"/>
      <c r="N2915" s="101"/>
    </row>
    <row r="2916" spans="7:14" hidden="1" x14ac:dyDescent="0.3">
      <c r="G2916" s="101"/>
      <c r="H2916" s="101"/>
      <c r="I2916" s="101"/>
      <c r="K2916" s="226"/>
      <c r="L2916" s="226"/>
      <c r="M2916" s="101"/>
      <c r="N2916" s="101"/>
    </row>
    <row r="2917" spans="7:14" hidden="1" x14ac:dyDescent="0.3">
      <c r="G2917" s="101"/>
      <c r="H2917" s="101"/>
      <c r="I2917" s="101"/>
      <c r="K2917" s="226"/>
      <c r="L2917" s="226"/>
      <c r="M2917" s="101"/>
      <c r="N2917" s="101"/>
    </row>
    <row r="2918" spans="7:14" hidden="1" x14ac:dyDescent="0.3">
      <c r="G2918" s="101"/>
      <c r="H2918" s="101"/>
      <c r="I2918" s="101"/>
      <c r="K2918" s="226"/>
      <c r="L2918" s="226"/>
      <c r="M2918" s="101"/>
      <c r="N2918" s="101"/>
    </row>
    <row r="2919" spans="7:14" hidden="1" x14ac:dyDescent="0.3">
      <c r="G2919" s="101"/>
      <c r="H2919" s="101"/>
      <c r="I2919" s="101"/>
      <c r="K2919" s="226"/>
      <c r="L2919" s="226"/>
      <c r="M2919" s="101"/>
      <c r="N2919" s="101"/>
    </row>
    <row r="2920" spans="7:14" hidden="1" x14ac:dyDescent="0.3">
      <c r="G2920" s="101"/>
      <c r="H2920" s="101"/>
      <c r="I2920" s="101"/>
      <c r="K2920" s="226"/>
      <c r="L2920" s="226"/>
      <c r="M2920" s="101"/>
      <c r="N2920" s="101"/>
    </row>
    <row r="2921" spans="7:14" hidden="1" x14ac:dyDescent="0.3">
      <c r="G2921" s="101"/>
      <c r="H2921" s="101"/>
      <c r="I2921" s="101"/>
      <c r="K2921" s="226"/>
      <c r="L2921" s="226"/>
      <c r="M2921" s="101"/>
      <c r="N2921" s="101"/>
    </row>
    <row r="2922" spans="7:14" hidden="1" x14ac:dyDescent="0.3">
      <c r="G2922" s="101"/>
      <c r="H2922" s="101"/>
      <c r="I2922" s="101"/>
      <c r="K2922" s="226"/>
      <c r="L2922" s="226"/>
      <c r="M2922" s="101"/>
      <c r="N2922" s="101"/>
    </row>
    <row r="2923" spans="7:14" hidden="1" x14ac:dyDescent="0.3">
      <c r="G2923" s="101"/>
      <c r="H2923" s="101"/>
      <c r="I2923" s="101"/>
      <c r="K2923" s="226"/>
      <c r="L2923" s="226"/>
      <c r="M2923" s="101"/>
      <c r="N2923" s="101"/>
    </row>
    <row r="2924" spans="7:14" hidden="1" x14ac:dyDescent="0.3">
      <c r="G2924" s="101"/>
      <c r="H2924" s="101"/>
      <c r="I2924" s="101"/>
      <c r="K2924" s="226"/>
      <c r="L2924" s="226"/>
      <c r="M2924" s="101"/>
      <c r="N2924" s="101"/>
    </row>
    <row r="2925" spans="7:14" hidden="1" x14ac:dyDescent="0.3">
      <c r="G2925" s="101"/>
      <c r="H2925" s="101"/>
      <c r="I2925" s="101"/>
      <c r="K2925" s="226"/>
      <c r="L2925" s="226"/>
      <c r="M2925" s="101"/>
      <c r="N2925" s="101"/>
    </row>
    <row r="2926" spans="7:14" hidden="1" x14ac:dyDescent="0.3">
      <c r="G2926" s="101"/>
      <c r="H2926" s="101"/>
      <c r="I2926" s="101"/>
      <c r="K2926" s="226"/>
      <c r="L2926" s="226"/>
      <c r="M2926" s="101"/>
      <c r="N2926" s="101"/>
    </row>
    <row r="2927" spans="7:14" hidden="1" x14ac:dyDescent="0.3">
      <c r="G2927" s="101"/>
      <c r="H2927" s="101"/>
      <c r="I2927" s="101"/>
      <c r="K2927" s="226"/>
      <c r="L2927" s="226"/>
      <c r="M2927" s="101"/>
      <c r="N2927" s="101"/>
    </row>
    <row r="2928" spans="7:14" hidden="1" x14ac:dyDescent="0.3">
      <c r="G2928" s="101"/>
      <c r="H2928" s="101"/>
      <c r="I2928" s="101"/>
      <c r="K2928" s="226"/>
      <c r="L2928" s="226"/>
      <c r="M2928" s="101"/>
      <c r="N2928" s="101"/>
    </row>
    <row r="2929" spans="7:14" hidden="1" x14ac:dyDescent="0.3">
      <c r="G2929" s="101"/>
      <c r="H2929" s="101"/>
      <c r="I2929" s="101"/>
      <c r="K2929" s="226"/>
      <c r="L2929" s="226"/>
      <c r="M2929" s="101"/>
      <c r="N2929" s="101"/>
    </row>
    <row r="2930" spans="7:14" hidden="1" x14ac:dyDescent="0.3">
      <c r="G2930" s="101"/>
      <c r="H2930" s="101"/>
      <c r="I2930" s="101"/>
      <c r="K2930" s="226"/>
      <c r="L2930" s="226"/>
      <c r="M2930" s="101"/>
      <c r="N2930" s="101"/>
    </row>
    <row r="2931" spans="7:14" hidden="1" x14ac:dyDescent="0.3">
      <c r="G2931" s="101"/>
      <c r="H2931" s="101"/>
      <c r="I2931" s="101"/>
      <c r="K2931" s="226"/>
      <c r="L2931" s="226"/>
      <c r="M2931" s="101"/>
      <c r="N2931" s="101"/>
    </row>
    <row r="2932" spans="7:14" hidden="1" x14ac:dyDescent="0.3">
      <c r="G2932" s="101"/>
      <c r="H2932" s="101"/>
      <c r="I2932" s="101"/>
      <c r="K2932" s="226"/>
      <c r="L2932" s="226"/>
      <c r="M2932" s="101"/>
      <c r="N2932" s="101"/>
    </row>
    <row r="2933" spans="7:14" hidden="1" x14ac:dyDescent="0.3">
      <c r="G2933" s="101"/>
      <c r="H2933" s="101"/>
      <c r="I2933" s="101"/>
      <c r="K2933" s="226"/>
      <c r="L2933" s="226"/>
      <c r="M2933" s="101"/>
      <c r="N2933" s="101"/>
    </row>
    <row r="2934" spans="7:14" hidden="1" x14ac:dyDescent="0.3">
      <c r="G2934" s="101"/>
      <c r="H2934" s="101"/>
      <c r="I2934" s="101"/>
      <c r="K2934" s="226"/>
      <c r="L2934" s="226"/>
      <c r="M2934" s="101"/>
      <c r="N2934" s="101"/>
    </row>
    <row r="2935" spans="7:14" hidden="1" x14ac:dyDescent="0.3">
      <c r="G2935" s="101"/>
      <c r="H2935" s="101"/>
      <c r="I2935" s="101"/>
      <c r="K2935" s="226"/>
      <c r="L2935" s="226"/>
      <c r="M2935" s="101"/>
      <c r="N2935" s="101"/>
    </row>
    <row r="2936" spans="7:14" hidden="1" x14ac:dyDescent="0.3">
      <c r="G2936" s="101"/>
      <c r="H2936" s="101"/>
      <c r="I2936" s="101"/>
      <c r="K2936" s="226"/>
      <c r="L2936" s="226"/>
      <c r="M2936" s="101"/>
      <c r="N2936" s="101"/>
    </row>
    <row r="2937" spans="7:14" hidden="1" x14ac:dyDescent="0.3">
      <c r="G2937" s="101"/>
      <c r="H2937" s="101"/>
      <c r="I2937" s="101"/>
      <c r="K2937" s="226"/>
      <c r="L2937" s="226"/>
      <c r="M2937" s="101"/>
      <c r="N2937" s="101"/>
    </row>
    <row r="2938" spans="7:14" hidden="1" x14ac:dyDescent="0.3">
      <c r="G2938" s="101"/>
      <c r="H2938" s="101"/>
      <c r="I2938" s="101"/>
      <c r="K2938" s="226"/>
      <c r="L2938" s="226"/>
      <c r="M2938" s="101"/>
      <c r="N2938" s="101"/>
    </row>
    <row r="2939" spans="7:14" hidden="1" x14ac:dyDescent="0.3">
      <c r="G2939" s="101"/>
      <c r="H2939" s="101"/>
      <c r="I2939" s="101"/>
      <c r="K2939" s="226"/>
      <c r="L2939" s="226"/>
      <c r="M2939" s="101"/>
      <c r="N2939" s="101"/>
    </row>
    <row r="2940" spans="7:14" hidden="1" x14ac:dyDescent="0.3">
      <c r="G2940" s="101"/>
      <c r="H2940" s="101"/>
      <c r="I2940" s="101"/>
      <c r="K2940" s="226"/>
      <c r="L2940" s="226"/>
      <c r="M2940" s="101"/>
      <c r="N2940" s="101"/>
    </row>
    <row r="2941" spans="7:14" hidden="1" x14ac:dyDescent="0.3">
      <c r="G2941" s="101"/>
      <c r="H2941" s="101"/>
      <c r="I2941" s="101"/>
      <c r="K2941" s="226"/>
      <c r="L2941" s="226"/>
      <c r="M2941" s="101"/>
      <c r="N2941" s="101"/>
    </row>
    <row r="2942" spans="7:14" hidden="1" x14ac:dyDescent="0.3">
      <c r="G2942" s="101"/>
      <c r="H2942" s="101"/>
      <c r="I2942" s="101"/>
      <c r="K2942" s="226"/>
      <c r="L2942" s="226"/>
      <c r="M2942" s="101"/>
      <c r="N2942" s="101"/>
    </row>
    <row r="2943" spans="7:14" hidden="1" x14ac:dyDescent="0.3">
      <c r="G2943" s="101"/>
      <c r="H2943" s="101"/>
      <c r="I2943" s="101"/>
      <c r="K2943" s="226"/>
      <c r="L2943" s="226"/>
      <c r="M2943" s="101"/>
      <c r="N2943" s="101"/>
    </row>
    <row r="2944" spans="7:14" hidden="1" x14ac:dyDescent="0.3">
      <c r="G2944" s="101"/>
      <c r="H2944" s="101"/>
      <c r="I2944" s="101"/>
      <c r="K2944" s="226"/>
      <c r="L2944" s="226"/>
      <c r="M2944" s="101"/>
      <c r="N2944" s="101"/>
    </row>
    <row r="2945" spans="7:14" hidden="1" x14ac:dyDescent="0.3">
      <c r="G2945" s="101"/>
      <c r="H2945" s="101"/>
      <c r="I2945" s="101"/>
      <c r="K2945" s="226"/>
      <c r="L2945" s="226"/>
      <c r="M2945" s="101"/>
      <c r="N2945" s="101"/>
    </row>
    <row r="2946" spans="7:14" hidden="1" x14ac:dyDescent="0.3">
      <c r="G2946" s="101"/>
      <c r="H2946" s="101"/>
      <c r="I2946" s="101"/>
      <c r="K2946" s="226"/>
      <c r="L2946" s="226"/>
      <c r="M2946" s="101"/>
      <c r="N2946" s="101"/>
    </row>
    <row r="2947" spans="7:14" hidden="1" x14ac:dyDescent="0.3">
      <c r="G2947" s="101"/>
      <c r="H2947" s="101"/>
      <c r="I2947" s="101"/>
      <c r="K2947" s="226"/>
      <c r="L2947" s="226"/>
      <c r="M2947" s="101"/>
      <c r="N2947" s="101"/>
    </row>
    <row r="2948" spans="7:14" hidden="1" x14ac:dyDescent="0.3">
      <c r="G2948" s="101"/>
      <c r="H2948" s="101"/>
      <c r="I2948" s="101"/>
      <c r="K2948" s="226"/>
      <c r="L2948" s="226"/>
      <c r="M2948" s="101"/>
      <c r="N2948" s="101"/>
    </row>
    <row r="2949" spans="7:14" hidden="1" x14ac:dyDescent="0.3">
      <c r="G2949" s="101"/>
      <c r="H2949" s="101"/>
      <c r="I2949" s="101"/>
      <c r="K2949" s="226"/>
      <c r="L2949" s="226"/>
      <c r="M2949" s="101"/>
      <c r="N2949" s="101"/>
    </row>
    <row r="2950" spans="7:14" hidden="1" x14ac:dyDescent="0.3">
      <c r="G2950" s="101"/>
      <c r="H2950" s="101"/>
      <c r="I2950" s="101"/>
      <c r="K2950" s="226"/>
      <c r="L2950" s="226"/>
      <c r="M2950" s="101"/>
      <c r="N2950" s="101"/>
    </row>
    <row r="2951" spans="7:14" hidden="1" x14ac:dyDescent="0.3">
      <c r="G2951" s="101"/>
      <c r="H2951" s="101"/>
      <c r="I2951" s="101"/>
      <c r="K2951" s="226"/>
      <c r="L2951" s="226"/>
      <c r="M2951" s="101"/>
      <c r="N2951" s="101"/>
    </row>
    <row r="2952" spans="7:14" hidden="1" x14ac:dyDescent="0.3">
      <c r="G2952" s="101"/>
      <c r="H2952" s="101"/>
      <c r="I2952" s="101"/>
      <c r="K2952" s="226"/>
      <c r="L2952" s="226"/>
      <c r="M2952" s="101"/>
      <c r="N2952" s="101"/>
    </row>
    <row r="2953" spans="7:14" hidden="1" x14ac:dyDescent="0.3">
      <c r="G2953" s="101"/>
      <c r="H2953" s="101"/>
      <c r="I2953" s="101"/>
      <c r="K2953" s="226"/>
      <c r="L2953" s="226"/>
      <c r="M2953" s="101"/>
      <c r="N2953" s="101"/>
    </row>
    <row r="2954" spans="7:14" hidden="1" x14ac:dyDescent="0.3">
      <c r="G2954" s="101"/>
      <c r="H2954" s="101"/>
      <c r="I2954" s="101"/>
      <c r="K2954" s="226"/>
      <c r="L2954" s="226"/>
      <c r="M2954" s="101"/>
      <c r="N2954" s="101"/>
    </row>
    <row r="2955" spans="7:14" hidden="1" x14ac:dyDescent="0.3">
      <c r="G2955" s="101"/>
      <c r="H2955" s="101"/>
      <c r="I2955" s="101"/>
      <c r="K2955" s="226"/>
      <c r="L2955" s="226"/>
      <c r="M2955" s="101"/>
      <c r="N2955" s="101"/>
    </row>
    <row r="2956" spans="7:14" hidden="1" x14ac:dyDescent="0.3">
      <c r="G2956" s="101"/>
      <c r="H2956" s="101"/>
      <c r="I2956" s="101"/>
      <c r="K2956" s="226"/>
      <c r="L2956" s="226"/>
      <c r="M2956" s="101"/>
      <c r="N2956" s="101"/>
    </row>
    <row r="2957" spans="7:14" hidden="1" x14ac:dyDescent="0.3">
      <c r="G2957" s="101"/>
      <c r="H2957" s="101"/>
      <c r="I2957" s="101"/>
      <c r="K2957" s="226"/>
      <c r="L2957" s="226"/>
      <c r="M2957" s="101"/>
      <c r="N2957" s="101"/>
    </row>
    <row r="2958" spans="7:14" hidden="1" x14ac:dyDescent="0.3">
      <c r="G2958" s="101"/>
      <c r="H2958" s="101"/>
      <c r="I2958" s="101"/>
      <c r="K2958" s="226"/>
      <c r="L2958" s="226"/>
      <c r="M2958" s="101"/>
      <c r="N2958" s="101"/>
    </row>
    <row r="2959" spans="7:14" hidden="1" x14ac:dyDescent="0.3">
      <c r="G2959" s="101"/>
      <c r="H2959" s="101"/>
      <c r="I2959" s="101"/>
      <c r="K2959" s="226"/>
      <c r="L2959" s="226"/>
      <c r="M2959" s="101"/>
      <c r="N2959" s="101"/>
    </row>
    <row r="2960" spans="7:14" hidden="1" x14ac:dyDescent="0.3">
      <c r="G2960" s="101"/>
      <c r="H2960" s="101"/>
      <c r="I2960" s="101"/>
      <c r="K2960" s="226"/>
      <c r="L2960" s="226"/>
      <c r="M2960" s="101"/>
      <c r="N2960" s="101"/>
    </row>
    <row r="2961" spans="7:14" hidden="1" x14ac:dyDescent="0.3">
      <c r="G2961" s="101"/>
      <c r="H2961" s="101"/>
      <c r="I2961" s="101"/>
      <c r="K2961" s="226"/>
      <c r="L2961" s="226"/>
      <c r="M2961" s="101"/>
      <c r="N2961" s="101"/>
    </row>
    <row r="2962" spans="7:14" hidden="1" x14ac:dyDescent="0.3">
      <c r="G2962" s="101"/>
      <c r="H2962" s="101"/>
      <c r="I2962" s="101"/>
      <c r="K2962" s="226"/>
      <c r="L2962" s="226"/>
      <c r="M2962" s="101"/>
      <c r="N2962" s="101"/>
    </row>
    <row r="2963" spans="7:14" hidden="1" x14ac:dyDescent="0.3">
      <c r="G2963" s="101"/>
      <c r="H2963" s="101"/>
      <c r="I2963" s="101"/>
      <c r="K2963" s="226"/>
      <c r="L2963" s="226"/>
      <c r="M2963" s="101"/>
      <c r="N2963" s="101"/>
    </row>
    <row r="2964" spans="7:14" hidden="1" x14ac:dyDescent="0.3">
      <c r="G2964" s="101"/>
      <c r="H2964" s="101"/>
      <c r="I2964" s="101"/>
      <c r="K2964" s="226"/>
      <c r="L2964" s="226"/>
      <c r="M2964" s="101"/>
      <c r="N2964" s="101"/>
    </row>
    <row r="2965" spans="7:14" hidden="1" x14ac:dyDescent="0.3">
      <c r="G2965" s="101"/>
      <c r="H2965" s="101"/>
      <c r="I2965" s="101"/>
      <c r="K2965" s="226"/>
      <c r="L2965" s="226"/>
      <c r="M2965" s="101"/>
      <c r="N2965" s="101"/>
    </row>
    <row r="2966" spans="7:14" hidden="1" x14ac:dyDescent="0.3">
      <c r="G2966" s="101"/>
      <c r="H2966" s="101"/>
      <c r="I2966" s="101"/>
      <c r="K2966" s="226"/>
      <c r="L2966" s="226"/>
      <c r="M2966" s="101"/>
      <c r="N2966" s="101"/>
    </row>
    <row r="2967" spans="7:14" hidden="1" x14ac:dyDescent="0.3">
      <c r="G2967" s="101"/>
      <c r="H2967" s="101"/>
      <c r="I2967" s="101"/>
      <c r="K2967" s="226"/>
      <c r="L2967" s="226"/>
      <c r="M2967" s="101"/>
      <c r="N2967" s="101"/>
    </row>
    <row r="2968" spans="7:14" hidden="1" x14ac:dyDescent="0.3">
      <c r="G2968" s="101"/>
      <c r="H2968" s="101"/>
      <c r="I2968" s="101"/>
      <c r="K2968" s="226"/>
      <c r="L2968" s="226"/>
      <c r="M2968" s="101"/>
      <c r="N2968" s="101"/>
    </row>
    <row r="2969" spans="7:14" hidden="1" x14ac:dyDescent="0.3">
      <c r="G2969" s="101"/>
      <c r="H2969" s="101"/>
      <c r="I2969" s="101"/>
      <c r="K2969" s="226"/>
      <c r="L2969" s="226"/>
      <c r="M2969" s="101"/>
      <c r="N2969" s="101"/>
    </row>
    <row r="2970" spans="7:14" hidden="1" x14ac:dyDescent="0.3">
      <c r="G2970" s="101"/>
      <c r="H2970" s="101"/>
      <c r="I2970" s="101"/>
      <c r="K2970" s="226"/>
      <c r="L2970" s="226"/>
      <c r="M2970" s="101"/>
      <c r="N2970" s="101"/>
    </row>
    <row r="2971" spans="7:14" hidden="1" x14ac:dyDescent="0.3">
      <c r="G2971" s="101"/>
      <c r="H2971" s="101"/>
      <c r="I2971" s="101"/>
      <c r="K2971" s="226"/>
      <c r="L2971" s="226"/>
      <c r="M2971" s="101"/>
      <c r="N2971" s="101"/>
    </row>
    <row r="2972" spans="7:14" hidden="1" x14ac:dyDescent="0.3">
      <c r="G2972" s="101"/>
      <c r="H2972" s="101"/>
      <c r="I2972" s="101"/>
      <c r="K2972" s="226"/>
      <c r="L2972" s="226"/>
      <c r="M2972" s="101"/>
      <c r="N2972" s="101"/>
    </row>
    <row r="2973" spans="7:14" hidden="1" x14ac:dyDescent="0.3">
      <c r="G2973" s="101"/>
      <c r="H2973" s="101"/>
      <c r="I2973" s="101"/>
      <c r="K2973" s="226"/>
      <c r="L2973" s="226"/>
      <c r="M2973" s="101"/>
      <c r="N2973" s="101"/>
    </row>
    <row r="2974" spans="7:14" hidden="1" x14ac:dyDescent="0.3">
      <c r="G2974" s="101"/>
      <c r="H2974" s="101"/>
      <c r="I2974" s="101"/>
      <c r="K2974" s="226"/>
      <c r="L2974" s="226"/>
      <c r="M2974" s="101"/>
      <c r="N2974" s="101"/>
    </row>
    <row r="2975" spans="7:14" hidden="1" x14ac:dyDescent="0.3">
      <c r="G2975" s="101"/>
      <c r="H2975" s="101"/>
      <c r="I2975" s="101"/>
      <c r="K2975" s="226"/>
      <c r="L2975" s="226"/>
      <c r="M2975" s="101"/>
      <c r="N2975" s="101"/>
    </row>
    <row r="2976" spans="7:14" hidden="1" x14ac:dyDescent="0.3">
      <c r="G2976" s="101"/>
      <c r="H2976" s="101"/>
      <c r="I2976" s="101"/>
      <c r="K2976" s="226"/>
      <c r="L2976" s="226"/>
      <c r="M2976" s="101"/>
      <c r="N2976" s="101"/>
    </row>
    <row r="2977" spans="7:14" hidden="1" x14ac:dyDescent="0.3">
      <c r="G2977" s="101"/>
      <c r="H2977" s="101"/>
      <c r="I2977" s="101"/>
      <c r="K2977" s="226"/>
      <c r="L2977" s="226"/>
      <c r="M2977" s="101"/>
      <c r="N2977" s="101"/>
    </row>
    <row r="2978" spans="7:14" hidden="1" x14ac:dyDescent="0.3">
      <c r="G2978" s="101"/>
      <c r="H2978" s="101"/>
      <c r="I2978" s="101"/>
      <c r="K2978" s="226"/>
      <c r="L2978" s="226"/>
      <c r="M2978" s="101"/>
      <c r="N2978" s="101"/>
    </row>
    <row r="2979" spans="7:14" hidden="1" x14ac:dyDescent="0.3">
      <c r="G2979" s="101"/>
      <c r="H2979" s="101"/>
      <c r="I2979" s="101"/>
      <c r="K2979" s="226"/>
      <c r="L2979" s="226"/>
      <c r="M2979" s="101"/>
      <c r="N2979" s="101"/>
    </row>
    <row r="2980" spans="7:14" hidden="1" x14ac:dyDescent="0.3">
      <c r="G2980" s="101"/>
      <c r="H2980" s="101"/>
      <c r="I2980" s="101"/>
      <c r="K2980" s="226"/>
      <c r="L2980" s="226"/>
      <c r="M2980" s="101"/>
      <c r="N2980" s="101"/>
    </row>
    <row r="2981" spans="7:14" hidden="1" x14ac:dyDescent="0.3">
      <c r="G2981" s="101"/>
      <c r="H2981" s="101"/>
      <c r="I2981" s="101"/>
      <c r="K2981" s="226"/>
      <c r="L2981" s="226"/>
      <c r="M2981" s="101"/>
      <c r="N2981" s="101"/>
    </row>
    <row r="2982" spans="7:14" hidden="1" x14ac:dyDescent="0.3">
      <c r="G2982" s="101"/>
      <c r="H2982" s="101"/>
      <c r="I2982" s="101"/>
      <c r="K2982" s="226"/>
      <c r="L2982" s="226"/>
      <c r="M2982" s="101"/>
      <c r="N2982" s="101"/>
    </row>
    <row r="2983" spans="7:14" hidden="1" x14ac:dyDescent="0.3">
      <c r="G2983" s="101"/>
      <c r="H2983" s="101"/>
      <c r="I2983" s="101"/>
      <c r="K2983" s="226"/>
      <c r="L2983" s="226"/>
      <c r="M2983" s="101"/>
      <c r="N2983" s="101"/>
    </row>
    <row r="2984" spans="7:14" hidden="1" x14ac:dyDescent="0.3">
      <c r="G2984" s="101"/>
      <c r="H2984" s="101"/>
      <c r="I2984" s="101"/>
      <c r="K2984" s="226"/>
      <c r="L2984" s="226"/>
      <c r="M2984" s="101"/>
      <c r="N2984" s="101"/>
    </row>
    <row r="2985" spans="7:14" hidden="1" x14ac:dyDescent="0.3">
      <c r="G2985" s="101"/>
      <c r="H2985" s="101"/>
      <c r="I2985" s="101"/>
      <c r="K2985" s="226"/>
      <c r="L2985" s="226"/>
      <c r="M2985" s="101"/>
      <c r="N2985" s="101"/>
    </row>
    <row r="2986" spans="7:14" hidden="1" x14ac:dyDescent="0.3">
      <c r="G2986" s="101"/>
      <c r="H2986" s="101"/>
      <c r="I2986" s="101"/>
      <c r="K2986" s="226"/>
      <c r="L2986" s="226"/>
      <c r="M2986" s="101"/>
      <c r="N2986" s="101"/>
    </row>
    <row r="2987" spans="7:14" hidden="1" x14ac:dyDescent="0.3">
      <c r="G2987" s="101"/>
      <c r="H2987" s="101"/>
      <c r="I2987" s="101"/>
      <c r="K2987" s="226"/>
      <c r="L2987" s="226"/>
      <c r="M2987" s="101"/>
      <c r="N2987" s="101"/>
    </row>
    <row r="2988" spans="7:14" hidden="1" x14ac:dyDescent="0.3">
      <c r="G2988" s="101"/>
      <c r="H2988" s="101"/>
      <c r="I2988" s="101"/>
      <c r="K2988" s="226"/>
      <c r="L2988" s="226"/>
      <c r="M2988" s="101"/>
      <c r="N2988" s="101"/>
    </row>
    <row r="2989" spans="7:14" hidden="1" x14ac:dyDescent="0.3">
      <c r="G2989" s="101"/>
      <c r="H2989" s="101"/>
      <c r="I2989" s="101"/>
      <c r="K2989" s="226"/>
      <c r="L2989" s="226"/>
      <c r="M2989" s="101"/>
      <c r="N2989" s="101"/>
    </row>
    <row r="2990" spans="7:14" hidden="1" x14ac:dyDescent="0.3">
      <c r="G2990" s="101"/>
      <c r="H2990" s="101"/>
      <c r="I2990" s="101"/>
      <c r="K2990" s="226"/>
      <c r="L2990" s="226"/>
      <c r="M2990" s="101"/>
      <c r="N2990" s="101"/>
    </row>
    <row r="2991" spans="7:14" hidden="1" x14ac:dyDescent="0.3">
      <c r="G2991" s="101"/>
      <c r="H2991" s="101"/>
      <c r="I2991" s="101"/>
      <c r="K2991" s="226"/>
      <c r="L2991" s="226"/>
      <c r="M2991" s="101"/>
      <c r="N2991" s="101"/>
    </row>
    <row r="2992" spans="7:14" hidden="1" x14ac:dyDescent="0.3">
      <c r="G2992" s="101"/>
      <c r="H2992" s="101"/>
      <c r="I2992" s="101"/>
      <c r="K2992" s="226"/>
      <c r="L2992" s="226"/>
      <c r="M2992" s="101"/>
      <c r="N2992" s="101"/>
    </row>
    <row r="2993" spans="7:14" hidden="1" x14ac:dyDescent="0.3">
      <c r="G2993" s="101"/>
      <c r="H2993" s="101"/>
      <c r="I2993" s="101"/>
      <c r="K2993" s="226"/>
      <c r="L2993" s="226"/>
      <c r="M2993" s="101"/>
      <c r="N2993" s="101"/>
    </row>
    <row r="2994" spans="7:14" hidden="1" x14ac:dyDescent="0.3">
      <c r="G2994" s="101"/>
      <c r="H2994" s="101"/>
      <c r="I2994" s="101"/>
      <c r="K2994" s="226"/>
      <c r="L2994" s="226"/>
      <c r="M2994" s="101"/>
      <c r="N2994" s="101"/>
    </row>
    <row r="2995" spans="7:14" hidden="1" x14ac:dyDescent="0.3">
      <c r="G2995" s="101"/>
      <c r="H2995" s="101"/>
      <c r="I2995" s="101"/>
      <c r="K2995" s="226"/>
      <c r="L2995" s="226"/>
      <c r="M2995" s="101"/>
      <c r="N2995" s="101"/>
    </row>
    <row r="2996" spans="7:14" hidden="1" x14ac:dyDescent="0.3">
      <c r="G2996" s="101"/>
      <c r="H2996" s="101"/>
      <c r="I2996" s="101"/>
      <c r="K2996" s="226"/>
      <c r="L2996" s="226"/>
      <c r="M2996" s="101"/>
      <c r="N2996" s="101"/>
    </row>
    <row r="2997" spans="7:14" hidden="1" x14ac:dyDescent="0.3">
      <c r="G2997" s="101"/>
      <c r="H2997" s="101"/>
      <c r="I2997" s="101"/>
      <c r="K2997" s="226"/>
      <c r="L2997" s="226"/>
      <c r="M2997" s="101"/>
      <c r="N2997" s="101"/>
    </row>
    <row r="2998" spans="7:14" hidden="1" x14ac:dyDescent="0.3">
      <c r="G2998" s="101"/>
      <c r="H2998" s="101"/>
      <c r="I2998" s="101"/>
      <c r="K2998" s="226"/>
      <c r="L2998" s="226"/>
      <c r="M2998" s="101"/>
      <c r="N2998" s="101"/>
    </row>
    <row r="2999" spans="7:14" hidden="1" x14ac:dyDescent="0.3">
      <c r="G2999" s="101"/>
      <c r="H2999" s="101"/>
      <c r="I2999" s="101"/>
      <c r="K2999" s="226"/>
      <c r="L2999" s="226"/>
      <c r="M2999" s="101"/>
      <c r="N2999" s="101"/>
    </row>
    <row r="3000" spans="7:14" hidden="1" x14ac:dyDescent="0.3">
      <c r="G3000" s="101"/>
      <c r="H3000" s="101"/>
      <c r="I3000" s="101"/>
      <c r="K3000" s="226"/>
      <c r="L3000" s="226"/>
      <c r="M3000" s="101"/>
      <c r="N3000" s="101"/>
    </row>
    <row r="3001" spans="7:14" hidden="1" x14ac:dyDescent="0.3">
      <c r="G3001" s="101"/>
      <c r="H3001" s="101"/>
      <c r="I3001" s="101"/>
      <c r="K3001" s="226"/>
      <c r="L3001" s="226"/>
      <c r="M3001" s="101"/>
      <c r="N3001" s="101"/>
    </row>
    <row r="3002" spans="7:14" hidden="1" x14ac:dyDescent="0.3">
      <c r="G3002" s="101"/>
      <c r="H3002" s="101"/>
      <c r="I3002" s="101"/>
      <c r="K3002" s="226"/>
      <c r="L3002" s="226"/>
      <c r="M3002" s="101"/>
      <c r="N3002" s="101"/>
    </row>
    <row r="3003" spans="7:14" hidden="1" x14ac:dyDescent="0.3">
      <c r="G3003" s="101"/>
      <c r="H3003" s="101"/>
      <c r="I3003" s="101"/>
      <c r="K3003" s="226"/>
      <c r="L3003" s="226"/>
      <c r="M3003" s="101"/>
      <c r="N3003" s="101"/>
    </row>
    <row r="3004" spans="7:14" hidden="1" x14ac:dyDescent="0.3">
      <c r="G3004" s="101"/>
      <c r="H3004" s="101"/>
      <c r="I3004" s="101"/>
      <c r="K3004" s="226"/>
      <c r="L3004" s="226"/>
      <c r="M3004" s="101"/>
      <c r="N3004" s="101"/>
    </row>
    <row r="3005" spans="7:14" hidden="1" x14ac:dyDescent="0.3">
      <c r="G3005" s="101"/>
      <c r="H3005" s="101"/>
      <c r="I3005" s="101"/>
      <c r="K3005" s="226"/>
      <c r="L3005" s="226"/>
      <c r="M3005" s="101"/>
      <c r="N3005" s="101"/>
    </row>
    <row r="3006" spans="7:14" hidden="1" x14ac:dyDescent="0.3">
      <c r="G3006" s="101"/>
      <c r="H3006" s="101"/>
      <c r="I3006" s="101"/>
      <c r="K3006" s="226"/>
      <c r="L3006" s="226"/>
      <c r="M3006" s="101"/>
      <c r="N3006" s="101"/>
    </row>
    <row r="3007" spans="7:14" hidden="1" x14ac:dyDescent="0.3">
      <c r="G3007" s="101"/>
      <c r="H3007" s="101"/>
      <c r="I3007" s="101"/>
      <c r="K3007" s="226"/>
      <c r="L3007" s="226"/>
      <c r="M3007" s="101"/>
      <c r="N3007" s="101"/>
    </row>
    <row r="3008" spans="7:14" hidden="1" x14ac:dyDescent="0.3">
      <c r="G3008" s="101"/>
      <c r="H3008" s="101"/>
      <c r="I3008" s="101"/>
      <c r="K3008" s="226"/>
      <c r="L3008" s="226"/>
      <c r="M3008" s="101"/>
      <c r="N3008" s="101"/>
    </row>
    <row r="3009" spans="7:14" hidden="1" x14ac:dyDescent="0.3">
      <c r="G3009" s="101"/>
      <c r="H3009" s="101"/>
      <c r="I3009" s="101"/>
      <c r="K3009" s="226"/>
      <c r="L3009" s="226"/>
      <c r="M3009" s="101"/>
      <c r="N3009" s="101"/>
    </row>
    <row r="3010" spans="7:14" hidden="1" x14ac:dyDescent="0.3">
      <c r="G3010" s="101"/>
      <c r="H3010" s="101"/>
      <c r="I3010" s="101"/>
      <c r="K3010" s="226"/>
      <c r="L3010" s="226"/>
      <c r="M3010" s="101"/>
      <c r="N3010" s="101"/>
    </row>
    <row r="3011" spans="7:14" hidden="1" x14ac:dyDescent="0.3">
      <c r="G3011" s="101"/>
      <c r="H3011" s="101"/>
      <c r="I3011" s="101"/>
      <c r="K3011" s="226"/>
      <c r="L3011" s="226"/>
      <c r="M3011" s="101"/>
      <c r="N3011" s="101"/>
    </row>
    <row r="3012" spans="7:14" hidden="1" x14ac:dyDescent="0.3">
      <c r="G3012" s="101"/>
      <c r="H3012" s="101"/>
      <c r="I3012" s="101"/>
      <c r="K3012" s="226"/>
      <c r="L3012" s="226"/>
      <c r="M3012" s="101"/>
      <c r="N3012" s="101"/>
    </row>
    <row r="3013" spans="7:14" hidden="1" x14ac:dyDescent="0.3">
      <c r="G3013" s="101"/>
      <c r="H3013" s="101"/>
      <c r="I3013" s="101"/>
      <c r="K3013" s="226"/>
      <c r="L3013" s="226"/>
      <c r="M3013" s="101"/>
      <c r="N3013" s="101"/>
    </row>
    <row r="3014" spans="7:14" hidden="1" x14ac:dyDescent="0.3">
      <c r="G3014" s="101"/>
      <c r="H3014" s="101"/>
      <c r="I3014" s="101"/>
      <c r="K3014" s="226"/>
      <c r="L3014" s="226"/>
      <c r="M3014" s="101"/>
      <c r="N3014" s="101"/>
    </row>
    <row r="3015" spans="7:14" hidden="1" x14ac:dyDescent="0.3">
      <c r="G3015" s="101"/>
      <c r="H3015" s="101"/>
      <c r="I3015" s="101"/>
      <c r="K3015" s="226"/>
      <c r="L3015" s="226"/>
      <c r="M3015" s="101"/>
      <c r="N3015" s="101"/>
    </row>
    <row r="3016" spans="7:14" hidden="1" x14ac:dyDescent="0.3">
      <c r="G3016" s="101"/>
      <c r="H3016" s="101"/>
      <c r="I3016" s="101"/>
      <c r="K3016" s="226"/>
      <c r="L3016" s="226"/>
      <c r="M3016" s="101"/>
      <c r="N3016" s="101"/>
    </row>
    <row r="3017" spans="7:14" hidden="1" x14ac:dyDescent="0.3">
      <c r="G3017" s="101"/>
      <c r="H3017" s="101"/>
      <c r="I3017" s="101"/>
      <c r="K3017" s="226"/>
      <c r="L3017" s="226"/>
      <c r="M3017" s="101"/>
      <c r="N3017" s="101"/>
    </row>
    <row r="3018" spans="7:14" hidden="1" x14ac:dyDescent="0.3">
      <c r="G3018" s="101"/>
      <c r="H3018" s="101"/>
      <c r="I3018" s="101"/>
      <c r="K3018" s="226"/>
      <c r="L3018" s="226"/>
      <c r="M3018" s="101"/>
      <c r="N3018" s="101"/>
    </row>
    <row r="3019" spans="7:14" hidden="1" x14ac:dyDescent="0.3">
      <c r="G3019" s="101"/>
      <c r="H3019" s="101"/>
      <c r="I3019" s="101"/>
      <c r="K3019" s="226"/>
      <c r="L3019" s="226"/>
      <c r="M3019" s="101"/>
      <c r="N3019" s="101"/>
    </row>
    <row r="3020" spans="7:14" hidden="1" x14ac:dyDescent="0.3">
      <c r="G3020" s="101"/>
      <c r="H3020" s="101"/>
      <c r="I3020" s="101"/>
      <c r="K3020" s="226"/>
      <c r="L3020" s="226"/>
      <c r="M3020" s="101"/>
      <c r="N3020" s="101"/>
    </row>
    <row r="3021" spans="7:14" hidden="1" x14ac:dyDescent="0.3">
      <c r="G3021" s="101"/>
      <c r="H3021" s="101"/>
      <c r="I3021" s="101"/>
      <c r="K3021" s="226"/>
      <c r="L3021" s="226"/>
      <c r="M3021" s="101"/>
      <c r="N3021" s="101"/>
    </row>
    <row r="3022" spans="7:14" hidden="1" x14ac:dyDescent="0.3">
      <c r="G3022" s="101"/>
      <c r="H3022" s="101"/>
      <c r="I3022" s="101"/>
      <c r="K3022" s="226"/>
      <c r="L3022" s="226"/>
      <c r="M3022" s="101"/>
      <c r="N3022" s="101"/>
    </row>
    <row r="3023" spans="7:14" hidden="1" x14ac:dyDescent="0.3">
      <c r="G3023" s="101"/>
      <c r="H3023" s="101"/>
      <c r="I3023" s="101"/>
      <c r="K3023" s="226"/>
      <c r="L3023" s="226"/>
      <c r="M3023" s="101"/>
      <c r="N3023" s="101"/>
    </row>
    <row r="3024" spans="7:14" hidden="1" x14ac:dyDescent="0.3">
      <c r="G3024" s="101"/>
      <c r="H3024" s="101"/>
      <c r="I3024" s="101"/>
      <c r="K3024" s="226"/>
      <c r="L3024" s="226"/>
      <c r="M3024" s="101"/>
      <c r="N3024" s="101"/>
    </row>
    <row r="3025" spans="7:14" hidden="1" x14ac:dyDescent="0.3">
      <c r="G3025" s="101"/>
      <c r="H3025" s="101"/>
      <c r="I3025" s="101"/>
      <c r="K3025" s="226"/>
      <c r="L3025" s="226"/>
      <c r="M3025" s="101"/>
      <c r="N3025" s="101"/>
    </row>
    <row r="3026" spans="7:14" hidden="1" x14ac:dyDescent="0.3">
      <c r="G3026" s="101"/>
      <c r="H3026" s="101"/>
      <c r="I3026" s="101"/>
      <c r="K3026" s="226"/>
      <c r="L3026" s="226"/>
      <c r="M3026" s="101"/>
      <c r="N3026" s="101"/>
    </row>
    <row r="3027" spans="7:14" hidden="1" x14ac:dyDescent="0.3">
      <c r="G3027" s="101"/>
      <c r="H3027" s="101"/>
      <c r="I3027" s="101"/>
      <c r="K3027" s="226"/>
      <c r="L3027" s="226"/>
      <c r="M3027" s="101"/>
      <c r="N3027" s="101"/>
    </row>
    <row r="3028" spans="7:14" hidden="1" x14ac:dyDescent="0.3">
      <c r="G3028" s="101"/>
      <c r="H3028" s="101"/>
      <c r="I3028" s="101"/>
      <c r="K3028" s="226"/>
      <c r="L3028" s="226"/>
      <c r="M3028" s="101"/>
      <c r="N3028" s="101"/>
    </row>
    <row r="3029" spans="7:14" hidden="1" x14ac:dyDescent="0.3">
      <c r="G3029" s="101"/>
      <c r="H3029" s="101"/>
      <c r="I3029" s="101"/>
      <c r="K3029" s="226"/>
      <c r="L3029" s="226"/>
      <c r="M3029" s="101"/>
      <c r="N3029" s="101"/>
    </row>
    <row r="3030" spans="7:14" hidden="1" x14ac:dyDescent="0.3">
      <c r="G3030" s="101"/>
      <c r="H3030" s="101"/>
      <c r="I3030" s="101"/>
      <c r="K3030" s="226"/>
      <c r="L3030" s="226"/>
      <c r="M3030" s="101"/>
      <c r="N3030" s="101"/>
    </row>
    <row r="3031" spans="7:14" hidden="1" x14ac:dyDescent="0.3">
      <c r="G3031" s="101"/>
      <c r="H3031" s="101"/>
      <c r="I3031" s="101"/>
      <c r="K3031" s="226"/>
      <c r="L3031" s="226"/>
      <c r="M3031" s="101"/>
      <c r="N3031" s="101"/>
    </row>
    <row r="3032" spans="7:14" hidden="1" x14ac:dyDescent="0.3">
      <c r="G3032" s="101"/>
      <c r="H3032" s="101"/>
      <c r="I3032" s="101"/>
      <c r="K3032" s="226"/>
      <c r="L3032" s="226"/>
      <c r="M3032" s="101"/>
      <c r="N3032" s="101"/>
    </row>
    <row r="3033" spans="7:14" hidden="1" x14ac:dyDescent="0.3">
      <c r="G3033" s="101"/>
      <c r="H3033" s="101"/>
      <c r="I3033" s="101"/>
      <c r="K3033" s="226"/>
      <c r="L3033" s="226"/>
      <c r="M3033" s="101"/>
      <c r="N3033" s="101"/>
    </row>
    <row r="3034" spans="7:14" hidden="1" x14ac:dyDescent="0.3">
      <c r="G3034" s="101"/>
      <c r="H3034" s="101"/>
      <c r="I3034" s="101"/>
      <c r="K3034" s="226"/>
      <c r="L3034" s="226"/>
      <c r="M3034" s="101"/>
      <c r="N3034" s="101"/>
    </row>
    <row r="3035" spans="7:14" hidden="1" x14ac:dyDescent="0.3">
      <c r="G3035" s="101"/>
      <c r="H3035" s="101"/>
      <c r="I3035" s="101"/>
      <c r="K3035" s="226"/>
      <c r="L3035" s="226"/>
      <c r="M3035" s="101"/>
      <c r="N3035" s="101"/>
    </row>
    <row r="3036" spans="7:14" hidden="1" x14ac:dyDescent="0.3">
      <c r="G3036" s="101"/>
      <c r="H3036" s="101"/>
      <c r="I3036" s="101"/>
      <c r="K3036" s="226"/>
      <c r="L3036" s="226"/>
      <c r="M3036" s="101"/>
      <c r="N3036" s="101"/>
    </row>
    <row r="3037" spans="7:14" hidden="1" x14ac:dyDescent="0.3">
      <c r="G3037" s="101"/>
      <c r="H3037" s="101"/>
      <c r="I3037" s="101"/>
      <c r="K3037" s="226"/>
      <c r="L3037" s="226"/>
      <c r="M3037" s="101"/>
      <c r="N3037" s="101"/>
    </row>
    <row r="3038" spans="7:14" hidden="1" x14ac:dyDescent="0.3">
      <c r="G3038" s="101"/>
      <c r="H3038" s="101"/>
      <c r="I3038" s="101"/>
      <c r="K3038" s="226"/>
      <c r="L3038" s="226"/>
      <c r="M3038" s="101"/>
      <c r="N3038" s="101"/>
    </row>
    <row r="3039" spans="7:14" hidden="1" x14ac:dyDescent="0.3">
      <c r="G3039" s="101"/>
      <c r="H3039" s="101"/>
      <c r="I3039" s="101"/>
      <c r="K3039" s="226"/>
      <c r="L3039" s="226"/>
      <c r="M3039" s="101"/>
      <c r="N3039" s="101"/>
    </row>
    <row r="3040" spans="7:14" hidden="1" x14ac:dyDescent="0.3">
      <c r="G3040" s="101"/>
      <c r="H3040" s="101"/>
      <c r="I3040" s="101"/>
      <c r="K3040" s="226"/>
      <c r="L3040" s="226"/>
      <c r="M3040" s="101"/>
      <c r="N3040" s="101"/>
    </row>
    <row r="3041" spans="7:14" hidden="1" x14ac:dyDescent="0.3">
      <c r="G3041" s="101"/>
      <c r="H3041" s="101"/>
      <c r="I3041" s="101"/>
      <c r="K3041" s="226"/>
      <c r="L3041" s="226"/>
      <c r="M3041" s="101"/>
      <c r="N3041" s="101"/>
    </row>
    <row r="3042" spans="7:14" hidden="1" x14ac:dyDescent="0.3">
      <c r="G3042" s="101"/>
      <c r="H3042" s="101"/>
      <c r="I3042" s="101"/>
      <c r="K3042" s="226"/>
      <c r="L3042" s="226"/>
      <c r="M3042" s="101"/>
      <c r="N3042" s="101"/>
    </row>
    <row r="3043" spans="7:14" hidden="1" x14ac:dyDescent="0.3">
      <c r="G3043" s="101"/>
      <c r="H3043" s="101"/>
      <c r="I3043" s="101"/>
      <c r="K3043" s="226"/>
      <c r="L3043" s="226"/>
      <c r="M3043" s="101"/>
      <c r="N3043" s="101"/>
    </row>
    <row r="3044" spans="7:14" hidden="1" x14ac:dyDescent="0.3">
      <c r="G3044" s="101"/>
      <c r="H3044" s="101"/>
      <c r="I3044" s="101"/>
      <c r="K3044" s="226"/>
      <c r="L3044" s="226"/>
      <c r="M3044" s="101"/>
      <c r="N3044" s="101"/>
    </row>
    <row r="3045" spans="7:14" hidden="1" x14ac:dyDescent="0.3">
      <c r="G3045" s="101"/>
      <c r="H3045" s="101"/>
      <c r="I3045" s="101"/>
      <c r="K3045" s="226"/>
      <c r="L3045" s="226"/>
      <c r="M3045" s="101"/>
      <c r="N3045" s="101"/>
    </row>
    <row r="3046" spans="7:14" hidden="1" x14ac:dyDescent="0.3">
      <c r="G3046" s="101"/>
      <c r="H3046" s="101"/>
      <c r="I3046" s="101"/>
      <c r="K3046" s="226"/>
      <c r="L3046" s="226"/>
      <c r="M3046" s="101"/>
      <c r="N3046" s="101"/>
    </row>
    <row r="3047" spans="7:14" hidden="1" x14ac:dyDescent="0.3">
      <c r="G3047" s="101"/>
      <c r="H3047" s="101"/>
      <c r="I3047" s="101"/>
      <c r="K3047" s="226"/>
      <c r="L3047" s="226"/>
      <c r="M3047" s="101"/>
      <c r="N3047" s="101"/>
    </row>
    <row r="3048" spans="7:14" hidden="1" x14ac:dyDescent="0.3">
      <c r="G3048" s="101"/>
      <c r="H3048" s="101"/>
      <c r="I3048" s="101"/>
      <c r="K3048" s="226"/>
      <c r="L3048" s="226"/>
      <c r="M3048" s="101"/>
      <c r="N3048" s="101"/>
    </row>
    <row r="3049" spans="7:14" hidden="1" x14ac:dyDescent="0.3">
      <c r="G3049" s="101"/>
      <c r="H3049" s="101"/>
      <c r="I3049" s="101"/>
      <c r="K3049" s="226"/>
      <c r="L3049" s="226"/>
      <c r="M3049" s="101"/>
      <c r="N3049" s="101"/>
    </row>
    <row r="3050" spans="7:14" hidden="1" x14ac:dyDescent="0.3">
      <c r="G3050" s="101"/>
      <c r="H3050" s="101"/>
      <c r="I3050" s="101"/>
      <c r="K3050" s="226"/>
      <c r="L3050" s="226"/>
      <c r="M3050" s="101"/>
      <c r="N3050" s="101"/>
    </row>
    <row r="3051" spans="7:14" hidden="1" x14ac:dyDescent="0.3">
      <c r="G3051" s="101"/>
      <c r="H3051" s="101"/>
      <c r="I3051" s="101"/>
      <c r="K3051" s="226"/>
      <c r="L3051" s="226"/>
      <c r="M3051" s="101"/>
      <c r="N3051" s="101"/>
    </row>
    <row r="3052" spans="7:14" hidden="1" x14ac:dyDescent="0.3">
      <c r="G3052" s="101"/>
      <c r="H3052" s="101"/>
      <c r="I3052" s="101"/>
      <c r="K3052" s="226"/>
      <c r="L3052" s="226"/>
      <c r="M3052" s="101"/>
      <c r="N3052" s="101"/>
    </row>
    <row r="3053" spans="7:14" hidden="1" x14ac:dyDescent="0.3">
      <c r="G3053" s="101"/>
      <c r="H3053" s="101"/>
      <c r="I3053" s="101"/>
      <c r="K3053" s="226"/>
      <c r="L3053" s="226"/>
      <c r="M3053" s="101"/>
      <c r="N3053" s="101"/>
    </row>
    <row r="3054" spans="7:14" hidden="1" x14ac:dyDescent="0.3">
      <c r="G3054" s="101"/>
      <c r="H3054" s="101"/>
      <c r="I3054" s="101"/>
      <c r="K3054" s="226"/>
      <c r="L3054" s="226"/>
      <c r="M3054" s="101"/>
      <c r="N3054" s="101"/>
    </row>
    <row r="3055" spans="7:14" hidden="1" x14ac:dyDescent="0.3">
      <c r="G3055" s="101"/>
      <c r="H3055" s="101"/>
      <c r="I3055" s="101"/>
      <c r="K3055" s="226"/>
      <c r="L3055" s="226"/>
      <c r="M3055" s="101"/>
      <c r="N3055" s="101"/>
    </row>
    <row r="3056" spans="7:14" hidden="1" x14ac:dyDescent="0.3">
      <c r="G3056" s="101"/>
      <c r="H3056" s="101"/>
      <c r="I3056" s="101"/>
      <c r="K3056" s="226"/>
      <c r="L3056" s="226"/>
      <c r="M3056" s="101"/>
      <c r="N3056" s="101"/>
    </row>
    <row r="3057" spans="7:14" hidden="1" x14ac:dyDescent="0.3">
      <c r="G3057" s="101"/>
      <c r="H3057" s="101"/>
      <c r="I3057" s="101"/>
      <c r="K3057" s="226"/>
      <c r="L3057" s="226"/>
      <c r="M3057" s="101"/>
      <c r="N3057" s="101"/>
    </row>
    <row r="3058" spans="7:14" hidden="1" x14ac:dyDescent="0.3">
      <c r="G3058" s="101"/>
      <c r="H3058" s="101"/>
      <c r="I3058" s="101"/>
      <c r="K3058" s="226"/>
      <c r="L3058" s="226"/>
      <c r="M3058" s="101"/>
      <c r="N3058" s="101"/>
    </row>
    <row r="3059" spans="7:14" hidden="1" x14ac:dyDescent="0.3">
      <c r="G3059" s="101"/>
      <c r="H3059" s="101"/>
      <c r="I3059" s="101"/>
      <c r="K3059" s="226"/>
      <c r="L3059" s="226"/>
      <c r="M3059" s="101"/>
      <c r="N3059" s="101"/>
    </row>
    <row r="3060" spans="7:14" hidden="1" x14ac:dyDescent="0.3">
      <c r="G3060" s="101"/>
      <c r="H3060" s="101"/>
      <c r="I3060" s="101"/>
      <c r="K3060" s="226"/>
      <c r="L3060" s="226"/>
      <c r="M3060" s="101"/>
      <c r="N3060" s="101"/>
    </row>
    <row r="3061" spans="7:14" hidden="1" x14ac:dyDescent="0.3">
      <c r="G3061" s="101"/>
      <c r="H3061" s="101"/>
      <c r="I3061" s="101"/>
      <c r="K3061" s="226"/>
      <c r="L3061" s="226"/>
      <c r="M3061" s="101"/>
      <c r="N3061" s="101"/>
    </row>
    <row r="3062" spans="7:14" hidden="1" x14ac:dyDescent="0.3">
      <c r="G3062" s="101"/>
      <c r="H3062" s="101"/>
      <c r="I3062" s="101"/>
      <c r="K3062" s="226"/>
      <c r="L3062" s="226"/>
      <c r="M3062" s="101"/>
      <c r="N3062" s="101"/>
    </row>
    <row r="3063" spans="7:14" hidden="1" x14ac:dyDescent="0.3">
      <c r="G3063" s="101"/>
      <c r="H3063" s="101"/>
      <c r="I3063" s="101"/>
      <c r="K3063" s="226"/>
      <c r="L3063" s="226"/>
      <c r="M3063" s="101"/>
      <c r="N3063" s="101"/>
    </row>
    <row r="3064" spans="7:14" hidden="1" x14ac:dyDescent="0.3">
      <c r="G3064" s="101"/>
      <c r="H3064" s="101"/>
      <c r="I3064" s="101"/>
      <c r="K3064" s="226"/>
      <c r="L3064" s="226"/>
      <c r="M3064" s="101"/>
      <c r="N3064" s="101"/>
    </row>
    <row r="3065" spans="7:14" hidden="1" x14ac:dyDescent="0.3">
      <c r="G3065" s="101"/>
      <c r="H3065" s="101"/>
      <c r="I3065" s="101"/>
      <c r="K3065" s="226"/>
      <c r="L3065" s="226"/>
      <c r="M3065" s="101"/>
      <c r="N3065" s="101"/>
    </row>
    <row r="3066" spans="7:14" hidden="1" x14ac:dyDescent="0.3">
      <c r="G3066" s="101"/>
      <c r="H3066" s="101"/>
      <c r="I3066" s="101"/>
      <c r="K3066" s="226"/>
      <c r="L3066" s="226"/>
      <c r="M3066" s="101"/>
      <c r="N3066" s="101"/>
    </row>
    <row r="3067" spans="7:14" hidden="1" x14ac:dyDescent="0.3">
      <c r="G3067" s="101"/>
      <c r="H3067" s="101"/>
      <c r="I3067" s="101"/>
      <c r="K3067" s="226"/>
      <c r="L3067" s="226"/>
      <c r="M3067" s="101"/>
      <c r="N3067" s="101"/>
    </row>
    <row r="3068" spans="7:14" hidden="1" x14ac:dyDescent="0.3">
      <c r="G3068" s="101"/>
      <c r="H3068" s="101"/>
      <c r="I3068" s="101"/>
      <c r="K3068" s="226"/>
      <c r="L3068" s="226"/>
      <c r="M3068" s="101"/>
      <c r="N3068" s="101"/>
    </row>
    <row r="3069" spans="7:14" hidden="1" x14ac:dyDescent="0.3">
      <c r="G3069" s="101"/>
      <c r="H3069" s="101"/>
      <c r="I3069" s="101"/>
      <c r="K3069" s="226"/>
      <c r="L3069" s="226"/>
      <c r="M3069" s="101"/>
      <c r="N3069" s="101"/>
    </row>
    <row r="3070" spans="7:14" hidden="1" x14ac:dyDescent="0.3">
      <c r="G3070" s="101"/>
      <c r="H3070" s="101"/>
      <c r="I3070" s="101"/>
      <c r="K3070" s="226"/>
      <c r="L3070" s="226"/>
      <c r="M3070" s="101"/>
      <c r="N3070" s="101"/>
    </row>
    <row r="3071" spans="7:14" hidden="1" x14ac:dyDescent="0.3">
      <c r="G3071" s="101"/>
      <c r="H3071" s="101"/>
      <c r="I3071" s="101"/>
      <c r="K3071" s="226"/>
      <c r="L3071" s="226"/>
      <c r="M3071" s="101"/>
      <c r="N3071" s="101"/>
    </row>
    <row r="3072" spans="7:14" hidden="1" x14ac:dyDescent="0.3">
      <c r="G3072" s="101"/>
      <c r="H3072" s="101"/>
      <c r="I3072" s="101"/>
      <c r="K3072" s="226"/>
      <c r="L3072" s="226"/>
      <c r="M3072" s="101"/>
      <c r="N3072" s="101"/>
    </row>
    <row r="3073" spans="7:14" hidden="1" x14ac:dyDescent="0.3">
      <c r="G3073" s="101"/>
      <c r="H3073" s="101"/>
      <c r="I3073" s="101"/>
      <c r="K3073" s="226"/>
      <c r="L3073" s="226"/>
      <c r="M3073" s="101"/>
      <c r="N3073" s="101"/>
    </row>
    <row r="3074" spans="7:14" hidden="1" x14ac:dyDescent="0.3">
      <c r="G3074" s="101"/>
      <c r="H3074" s="101"/>
      <c r="I3074" s="101"/>
      <c r="K3074" s="226"/>
      <c r="L3074" s="226"/>
      <c r="M3074" s="101"/>
      <c r="N3074" s="101"/>
    </row>
    <row r="3075" spans="7:14" hidden="1" x14ac:dyDescent="0.3">
      <c r="G3075" s="101"/>
      <c r="H3075" s="101"/>
      <c r="I3075" s="101"/>
      <c r="K3075" s="226"/>
      <c r="L3075" s="226"/>
      <c r="M3075" s="101"/>
      <c r="N3075" s="101"/>
    </row>
    <row r="3076" spans="7:14" hidden="1" x14ac:dyDescent="0.3">
      <c r="G3076" s="101"/>
      <c r="H3076" s="101"/>
      <c r="I3076" s="101"/>
      <c r="K3076" s="226"/>
      <c r="L3076" s="226"/>
      <c r="M3076" s="101"/>
      <c r="N3076" s="101"/>
    </row>
    <row r="3077" spans="7:14" hidden="1" x14ac:dyDescent="0.3">
      <c r="G3077" s="101"/>
      <c r="H3077" s="101"/>
      <c r="I3077" s="101"/>
      <c r="K3077" s="226"/>
      <c r="L3077" s="226"/>
      <c r="M3077" s="101"/>
      <c r="N3077" s="101"/>
    </row>
    <row r="3078" spans="7:14" hidden="1" x14ac:dyDescent="0.3">
      <c r="G3078" s="101"/>
      <c r="H3078" s="101"/>
      <c r="I3078" s="101"/>
      <c r="K3078" s="226"/>
      <c r="L3078" s="226"/>
      <c r="M3078" s="101"/>
      <c r="N3078" s="101"/>
    </row>
    <row r="3079" spans="7:14" hidden="1" x14ac:dyDescent="0.3">
      <c r="G3079" s="101"/>
      <c r="H3079" s="101"/>
      <c r="I3079" s="101"/>
      <c r="K3079" s="226"/>
      <c r="L3079" s="226"/>
      <c r="M3079" s="101"/>
      <c r="N3079" s="101"/>
    </row>
    <row r="3080" spans="7:14" hidden="1" x14ac:dyDescent="0.3">
      <c r="G3080" s="101"/>
      <c r="H3080" s="101"/>
      <c r="I3080" s="101"/>
      <c r="K3080" s="226"/>
      <c r="L3080" s="226"/>
      <c r="M3080" s="101"/>
      <c r="N3080" s="101"/>
    </row>
    <row r="3081" spans="7:14" hidden="1" x14ac:dyDescent="0.3">
      <c r="G3081" s="101"/>
      <c r="H3081" s="101"/>
      <c r="I3081" s="101"/>
      <c r="K3081" s="226"/>
      <c r="L3081" s="226"/>
      <c r="M3081" s="101"/>
      <c r="N3081" s="101"/>
    </row>
    <row r="3082" spans="7:14" hidden="1" x14ac:dyDescent="0.3">
      <c r="G3082" s="101"/>
      <c r="H3082" s="101"/>
      <c r="I3082" s="101"/>
      <c r="K3082" s="226"/>
      <c r="L3082" s="226"/>
      <c r="M3082" s="101"/>
      <c r="N3082" s="101"/>
    </row>
    <row r="3083" spans="7:14" hidden="1" x14ac:dyDescent="0.3">
      <c r="G3083" s="101"/>
      <c r="H3083" s="101"/>
      <c r="I3083" s="101"/>
      <c r="K3083" s="226"/>
      <c r="L3083" s="226"/>
      <c r="M3083" s="101"/>
      <c r="N3083" s="101"/>
    </row>
    <row r="3084" spans="7:14" hidden="1" x14ac:dyDescent="0.3">
      <c r="G3084" s="101"/>
      <c r="H3084" s="101"/>
      <c r="I3084" s="101"/>
      <c r="K3084" s="226"/>
      <c r="L3084" s="226"/>
      <c r="M3084" s="101"/>
      <c r="N3084" s="101"/>
    </row>
    <row r="3085" spans="7:14" hidden="1" x14ac:dyDescent="0.3">
      <c r="G3085" s="101"/>
      <c r="H3085" s="101"/>
      <c r="I3085" s="101"/>
      <c r="K3085" s="226"/>
      <c r="L3085" s="226"/>
      <c r="M3085" s="101"/>
      <c r="N3085" s="101"/>
    </row>
    <row r="3086" spans="7:14" hidden="1" x14ac:dyDescent="0.3">
      <c r="G3086" s="101"/>
      <c r="H3086" s="101"/>
      <c r="I3086" s="101"/>
      <c r="K3086" s="226"/>
      <c r="L3086" s="226"/>
      <c r="M3086" s="101"/>
      <c r="N3086" s="101"/>
    </row>
    <row r="3087" spans="7:14" hidden="1" x14ac:dyDescent="0.3">
      <c r="G3087" s="101"/>
      <c r="H3087" s="101"/>
      <c r="I3087" s="101"/>
      <c r="K3087" s="226"/>
      <c r="L3087" s="226"/>
      <c r="M3087" s="101"/>
      <c r="N3087" s="101"/>
    </row>
    <row r="3088" spans="7:14" hidden="1" x14ac:dyDescent="0.3">
      <c r="G3088" s="101"/>
      <c r="H3088" s="101"/>
      <c r="I3088" s="101"/>
      <c r="K3088" s="226"/>
      <c r="L3088" s="226"/>
      <c r="M3088" s="101"/>
      <c r="N3088" s="101"/>
    </row>
    <row r="3089" spans="7:14" hidden="1" x14ac:dyDescent="0.3">
      <c r="G3089" s="101"/>
      <c r="H3089" s="101"/>
      <c r="I3089" s="101"/>
      <c r="K3089" s="226"/>
      <c r="L3089" s="226"/>
      <c r="M3089" s="101"/>
      <c r="N3089" s="101"/>
    </row>
    <row r="3090" spans="7:14" hidden="1" x14ac:dyDescent="0.3">
      <c r="G3090" s="101"/>
      <c r="H3090" s="101"/>
      <c r="I3090" s="101"/>
      <c r="K3090" s="226"/>
      <c r="L3090" s="226"/>
      <c r="M3090" s="101"/>
      <c r="N3090" s="101"/>
    </row>
    <row r="3091" spans="7:14" hidden="1" x14ac:dyDescent="0.3">
      <c r="G3091" s="101"/>
      <c r="H3091" s="101"/>
      <c r="I3091" s="101"/>
      <c r="K3091" s="226"/>
      <c r="L3091" s="226"/>
      <c r="M3091" s="101"/>
      <c r="N3091" s="101"/>
    </row>
    <row r="3092" spans="7:14" hidden="1" x14ac:dyDescent="0.3">
      <c r="G3092" s="101"/>
      <c r="H3092" s="101"/>
      <c r="I3092" s="101"/>
      <c r="K3092" s="226"/>
      <c r="L3092" s="226"/>
      <c r="M3092" s="101"/>
      <c r="N3092" s="101"/>
    </row>
    <row r="3093" spans="7:14" hidden="1" x14ac:dyDescent="0.3">
      <c r="G3093" s="101"/>
      <c r="H3093" s="101"/>
      <c r="I3093" s="101"/>
      <c r="K3093" s="226"/>
      <c r="L3093" s="226"/>
      <c r="M3093" s="101"/>
      <c r="N3093" s="101"/>
    </row>
    <row r="3094" spans="7:14" hidden="1" x14ac:dyDescent="0.3">
      <c r="G3094" s="101"/>
      <c r="H3094" s="101"/>
      <c r="I3094" s="101"/>
      <c r="K3094" s="226"/>
      <c r="L3094" s="226"/>
      <c r="M3094" s="101"/>
      <c r="N3094" s="101"/>
    </row>
    <row r="3095" spans="7:14" hidden="1" x14ac:dyDescent="0.3">
      <c r="G3095" s="101"/>
      <c r="H3095" s="101"/>
      <c r="I3095" s="101"/>
      <c r="K3095" s="226"/>
      <c r="L3095" s="226"/>
      <c r="M3095" s="101"/>
      <c r="N3095" s="101"/>
    </row>
    <row r="3096" spans="7:14" hidden="1" x14ac:dyDescent="0.3">
      <c r="G3096" s="101"/>
      <c r="H3096" s="101"/>
      <c r="I3096" s="101"/>
      <c r="K3096" s="226"/>
      <c r="L3096" s="226"/>
      <c r="M3096" s="101"/>
      <c r="N3096" s="101"/>
    </row>
    <row r="3097" spans="7:14" hidden="1" x14ac:dyDescent="0.3">
      <c r="G3097" s="101"/>
      <c r="H3097" s="101"/>
      <c r="I3097" s="101"/>
      <c r="K3097" s="226"/>
      <c r="L3097" s="226"/>
      <c r="M3097" s="101"/>
      <c r="N3097" s="101"/>
    </row>
    <row r="3098" spans="7:14" hidden="1" x14ac:dyDescent="0.3">
      <c r="G3098" s="101"/>
      <c r="H3098" s="101"/>
      <c r="I3098" s="101"/>
      <c r="K3098" s="226"/>
      <c r="L3098" s="226"/>
      <c r="M3098" s="101"/>
      <c r="N3098" s="101"/>
    </row>
    <row r="3099" spans="7:14" hidden="1" x14ac:dyDescent="0.3">
      <c r="G3099" s="101"/>
      <c r="H3099" s="101"/>
      <c r="I3099" s="101"/>
      <c r="K3099" s="226"/>
      <c r="L3099" s="226"/>
      <c r="M3099" s="101"/>
      <c r="N3099" s="101"/>
    </row>
    <row r="3100" spans="7:14" hidden="1" x14ac:dyDescent="0.3">
      <c r="G3100" s="101"/>
      <c r="H3100" s="101"/>
      <c r="I3100" s="101"/>
      <c r="K3100" s="226"/>
      <c r="L3100" s="226"/>
      <c r="M3100" s="101"/>
      <c r="N3100" s="101"/>
    </row>
    <row r="3101" spans="7:14" hidden="1" x14ac:dyDescent="0.3">
      <c r="G3101" s="101"/>
      <c r="H3101" s="101"/>
      <c r="I3101" s="101"/>
      <c r="K3101" s="226"/>
      <c r="L3101" s="226"/>
      <c r="M3101" s="101"/>
      <c r="N3101" s="101"/>
    </row>
    <row r="3102" spans="7:14" hidden="1" x14ac:dyDescent="0.3">
      <c r="G3102" s="101"/>
      <c r="H3102" s="101"/>
      <c r="I3102" s="101"/>
      <c r="K3102" s="226"/>
      <c r="L3102" s="226"/>
      <c r="M3102" s="101"/>
      <c r="N3102" s="101"/>
    </row>
    <row r="3103" spans="7:14" hidden="1" x14ac:dyDescent="0.3">
      <c r="G3103" s="101"/>
      <c r="H3103" s="101"/>
      <c r="I3103" s="101"/>
      <c r="K3103" s="226"/>
      <c r="L3103" s="226"/>
      <c r="M3103" s="101"/>
      <c r="N3103" s="101"/>
    </row>
    <row r="3104" spans="7:14" hidden="1" x14ac:dyDescent="0.3">
      <c r="G3104" s="101"/>
      <c r="H3104" s="101"/>
      <c r="I3104" s="101"/>
      <c r="K3104" s="226"/>
      <c r="L3104" s="226"/>
      <c r="M3104" s="101"/>
      <c r="N3104" s="101"/>
    </row>
    <row r="3105" spans="7:14" hidden="1" x14ac:dyDescent="0.3">
      <c r="G3105" s="101"/>
      <c r="H3105" s="101"/>
      <c r="I3105" s="101"/>
      <c r="K3105" s="226"/>
      <c r="L3105" s="226"/>
      <c r="M3105" s="101"/>
      <c r="N3105" s="101"/>
    </row>
    <row r="3106" spans="7:14" hidden="1" x14ac:dyDescent="0.3">
      <c r="G3106" s="101"/>
      <c r="H3106" s="101"/>
      <c r="I3106" s="101"/>
      <c r="K3106" s="226"/>
      <c r="L3106" s="226"/>
      <c r="M3106" s="101"/>
      <c r="N3106" s="101"/>
    </row>
    <row r="3107" spans="7:14" hidden="1" x14ac:dyDescent="0.3">
      <c r="G3107" s="101"/>
      <c r="H3107" s="101"/>
      <c r="I3107" s="101"/>
      <c r="K3107" s="226"/>
      <c r="L3107" s="226"/>
      <c r="M3107" s="101"/>
      <c r="N3107" s="101"/>
    </row>
    <row r="3108" spans="7:14" hidden="1" x14ac:dyDescent="0.3">
      <c r="G3108" s="101"/>
      <c r="H3108" s="101"/>
      <c r="I3108" s="101"/>
      <c r="K3108" s="226"/>
      <c r="L3108" s="226"/>
      <c r="M3108" s="101"/>
      <c r="N3108" s="101"/>
    </row>
    <row r="3109" spans="7:14" hidden="1" x14ac:dyDescent="0.3">
      <c r="G3109" s="101"/>
      <c r="H3109" s="101"/>
      <c r="I3109" s="101"/>
      <c r="K3109" s="226"/>
      <c r="L3109" s="226"/>
      <c r="M3109" s="101"/>
      <c r="N3109" s="101"/>
    </row>
    <row r="3110" spans="7:14" hidden="1" x14ac:dyDescent="0.3">
      <c r="G3110" s="101"/>
      <c r="H3110" s="101"/>
      <c r="I3110" s="101"/>
      <c r="K3110" s="226"/>
      <c r="L3110" s="226"/>
      <c r="M3110" s="101"/>
      <c r="N3110" s="101"/>
    </row>
    <row r="3111" spans="7:14" hidden="1" x14ac:dyDescent="0.3">
      <c r="G3111" s="101"/>
      <c r="H3111" s="101"/>
      <c r="I3111" s="101"/>
      <c r="K3111" s="226"/>
      <c r="L3111" s="226"/>
      <c r="M3111" s="101"/>
      <c r="N3111" s="101"/>
    </row>
    <row r="3112" spans="7:14" hidden="1" x14ac:dyDescent="0.3">
      <c r="G3112" s="101"/>
      <c r="H3112" s="101"/>
      <c r="I3112" s="101"/>
      <c r="K3112" s="226"/>
      <c r="L3112" s="226"/>
      <c r="M3112" s="101"/>
      <c r="N3112" s="101"/>
    </row>
    <row r="3113" spans="7:14" hidden="1" x14ac:dyDescent="0.3">
      <c r="G3113" s="101"/>
      <c r="H3113" s="101"/>
      <c r="I3113" s="101"/>
      <c r="K3113" s="226"/>
      <c r="L3113" s="226"/>
      <c r="M3113" s="101"/>
      <c r="N3113" s="101"/>
    </row>
    <row r="3114" spans="7:14" hidden="1" x14ac:dyDescent="0.3">
      <c r="G3114" s="101"/>
      <c r="H3114" s="101"/>
      <c r="I3114" s="101"/>
      <c r="K3114" s="226"/>
      <c r="L3114" s="226"/>
      <c r="M3114" s="101"/>
      <c r="N3114" s="101"/>
    </row>
    <row r="3115" spans="7:14" hidden="1" x14ac:dyDescent="0.3">
      <c r="G3115" s="101"/>
      <c r="H3115" s="101"/>
      <c r="I3115" s="101"/>
      <c r="K3115" s="226"/>
      <c r="L3115" s="226"/>
      <c r="M3115" s="101"/>
      <c r="N3115" s="101"/>
    </row>
    <row r="3116" spans="7:14" hidden="1" x14ac:dyDescent="0.3">
      <c r="G3116" s="101"/>
      <c r="H3116" s="101"/>
      <c r="I3116" s="101"/>
      <c r="K3116" s="226"/>
      <c r="L3116" s="226"/>
      <c r="M3116" s="101"/>
      <c r="N3116" s="101"/>
    </row>
    <row r="3117" spans="7:14" hidden="1" x14ac:dyDescent="0.3">
      <c r="G3117" s="101"/>
      <c r="H3117" s="101"/>
      <c r="I3117" s="101"/>
      <c r="K3117" s="226"/>
      <c r="L3117" s="226"/>
      <c r="M3117" s="101"/>
      <c r="N3117" s="101"/>
    </row>
    <row r="3118" spans="7:14" hidden="1" x14ac:dyDescent="0.3">
      <c r="G3118" s="101"/>
      <c r="H3118" s="101"/>
      <c r="I3118" s="101"/>
      <c r="K3118" s="226"/>
      <c r="L3118" s="226"/>
      <c r="M3118" s="101"/>
      <c r="N3118" s="101"/>
    </row>
    <row r="3119" spans="7:14" hidden="1" x14ac:dyDescent="0.3">
      <c r="G3119" s="101"/>
      <c r="H3119" s="101"/>
      <c r="I3119" s="101"/>
      <c r="K3119" s="226"/>
      <c r="L3119" s="226"/>
      <c r="M3119" s="101"/>
      <c r="N3119" s="101"/>
    </row>
    <row r="3120" spans="7:14" hidden="1" x14ac:dyDescent="0.3">
      <c r="G3120" s="101"/>
      <c r="H3120" s="101"/>
      <c r="I3120" s="101"/>
      <c r="K3120" s="226"/>
      <c r="L3120" s="226"/>
      <c r="M3120" s="101"/>
      <c r="N3120" s="101"/>
    </row>
    <row r="3121" spans="7:14" hidden="1" x14ac:dyDescent="0.3">
      <c r="G3121" s="101"/>
      <c r="H3121" s="101"/>
      <c r="I3121" s="101"/>
      <c r="K3121" s="226"/>
      <c r="L3121" s="226"/>
      <c r="M3121" s="101"/>
      <c r="N3121" s="101"/>
    </row>
    <row r="3122" spans="7:14" hidden="1" x14ac:dyDescent="0.3">
      <c r="G3122" s="101"/>
      <c r="H3122" s="101"/>
      <c r="I3122" s="101"/>
      <c r="K3122" s="226"/>
      <c r="L3122" s="226"/>
      <c r="M3122" s="101"/>
      <c r="N3122" s="101"/>
    </row>
    <row r="3123" spans="7:14" hidden="1" x14ac:dyDescent="0.3">
      <c r="G3123" s="101"/>
      <c r="H3123" s="101"/>
      <c r="I3123" s="101"/>
      <c r="K3123" s="226"/>
      <c r="L3123" s="226"/>
      <c r="M3123" s="101"/>
      <c r="N3123" s="101"/>
    </row>
    <row r="3124" spans="7:14" hidden="1" x14ac:dyDescent="0.3">
      <c r="G3124" s="101"/>
      <c r="H3124" s="101"/>
      <c r="I3124" s="101"/>
      <c r="K3124" s="226"/>
      <c r="L3124" s="226"/>
      <c r="M3124" s="101"/>
      <c r="N3124" s="101"/>
    </row>
    <row r="3125" spans="7:14" hidden="1" x14ac:dyDescent="0.3">
      <c r="G3125" s="101"/>
      <c r="H3125" s="101"/>
      <c r="I3125" s="101"/>
      <c r="K3125" s="226"/>
      <c r="L3125" s="226"/>
      <c r="M3125" s="101"/>
      <c r="N3125" s="101"/>
    </row>
    <row r="3126" spans="7:14" hidden="1" x14ac:dyDescent="0.3">
      <c r="G3126" s="101"/>
      <c r="H3126" s="101"/>
      <c r="I3126" s="101"/>
      <c r="K3126" s="226"/>
      <c r="L3126" s="226"/>
      <c r="M3126" s="101"/>
      <c r="N3126" s="101"/>
    </row>
    <row r="3127" spans="7:14" hidden="1" x14ac:dyDescent="0.3">
      <c r="G3127" s="101"/>
      <c r="H3127" s="101"/>
      <c r="I3127" s="101"/>
      <c r="K3127" s="226"/>
      <c r="L3127" s="226"/>
      <c r="M3127" s="101"/>
      <c r="N3127" s="101"/>
    </row>
    <row r="3128" spans="7:14" hidden="1" x14ac:dyDescent="0.3">
      <c r="G3128" s="101"/>
      <c r="H3128" s="101"/>
      <c r="I3128" s="101"/>
      <c r="K3128" s="226"/>
      <c r="L3128" s="226"/>
      <c r="M3128" s="101"/>
      <c r="N3128" s="101"/>
    </row>
    <row r="3129" spans="7:14" hidden="1" x14ac:dyDescent="0.3">
      <c r="G3129" s="101"/>
      <c r="H3129" s="101"/>
      <c r="I3129" s="101"/>
      <c r="K3129" s="226"/>
      <c r="L3129" s="226"/>
      <c r="M3129" s="101"/>
      <c r="N3129" s="101"/>
    </row>
    <row r="3130" spans="7:14" hidden="1" x14ac:dyDescent="0.3">
      <c r="G3130" s="101"/>
      <c r="H3130" s="101"/>
      <c r="I3130" s="101"/>
      <c r="K3130" s="226"/>
      <c r="L3130" s="226"/>
      <c r="M3130" s="101"/>
      <c r="N3130" s="101"/>
    </row>
    <row r="3131" spans="7:14" hidden="1" x14ac:dyDescent="0.3">
      <c r="G3131" s="101"/>
      <c r="H3131" s="101"/>
      <c r="I3131" s="101"/>
      <c r="K3131" s="226"/>
      <c r="L3131" s="226"/>
      <c r="M3131" s="101"/>
      <c r="N3131" s="101"/>
    </row>
    <row r="3132" spans="7:14" hidden="1" x14ac:dyDescent="0.3">
      <c r="G3132" s="101"/>
      <c r="H3132" s="101"/>
      <c r="I3132" s="101"/>
      <c r="K3132" s="226"/>
      <c r="L3132" s="226"/>
      <c r="M3132" s="101"/>
      <c r="N3132" s="101"/>
    </row>
    <row r="3133" spans="7:14" hidden="1" x14ac:dyDescent="0.3">
      <c r="G3133" s="101"/>
      <c r="H3133" s="101"/>
      <c r="I3133" s="101"/>
      <c r="K3133" s="226"/>
      <c r="L3133" s="226"/>
      <c r="M3133" s="101"/>
      <c r="N3133" s="101"/>
    </row>
    <row r="3134" spans="7:14" hidden="1" x14ac:dyDescent="0.3">
      <c r="G3134" s="101"/>
      <c r="H3134" s="101"/>
      <c r="I3134" s="101"/>
      <c r="K3134" s="226"/>
      <c r="L3134" s="226"/>
      <c r="M3134" s="101"/>
      <c r="N3134" s="101"/>
    </row>
    <row r="3135" spans="7:14" hidden="1" x14ac:dyDescent="0.3">
      <c r="G3135" s="101"/>
      <c r="H3135" s="101"/>
      <c r="I3135" s="101"/>
      <c r="K3135" s="226"/>
      <c r="L3135" s="226"/>
      <c r="M3135" s="101"/>
      <c r="N3135" s="101"/>
    </row>
    <row r="3136" spans="7:14" hidden="1" x14ac:dyDescent="0.3">
      <c r="G3136" s="101"/>
      <c r="H3136" s="101"/>
      <c r="I3136" s="101"/>
      <c r="K3136" s="226"/>
      <c r="L3136" s="226"/>
      <c r="M3136" s="101"/>
      <c r="N3136" s="101"/>
    </row>
    <row r="3137" spans="7:14" hidden="1" x14ac:dyDescent="0.3">
      <c r="G3137" s="101"/>
      <c r="H3137" s="101"/>
      <c r="I3137" s="101"/>
      <c r="K3137" s="226"/>
      <c r="L3137" s="226"/>
      <c r="M3137" s="101"/>
      <c r="N3137" s="101"/>
    </row>
    <row r="3138" spans="7:14" hidden="1" x14ac:dyDescent="0.3">
      <c r="G3138" s="101"/>
      <c r="H3138" s="101"/>
      <c r="I3138" s="101"/>
      <c r="K3138" s="226"/>
      <c r="L3138" s="226"/>
      <c r="M3138" s="101"/>
      <c r="N3138" s="101"/>
    </row>
    <row r="3139" spans="7:14" hidden="1" x14ac:dyDescent="0.3">
      <c r="G3139" s="101"/>
      <c r="H3139" s="101"/>
      <c r="I3139" s="101"/>
      <c r="K3139" s="226"/>
      <c r="L3139" s="226"/>
      <c r="M3139" s="101"/>
      <c r="N3139" s="101"/>
    </row>
    <row r="3140" spans="7:14" hidden="1" x14ac:dyDescent="0.3">
      <c r="G3140" s="101"/>
      <c r="H3140" s="101"/>
      <c r="I3140" s="101"/>
      <c r="K3140" s="226"/>
      <c r="L3140" s="226"/>
      <c r="M3140" s="101"/>
      <c r="N3140" s="101"/>
    </row>
    <row r="3141" spans="7:14" hidden="1" x14ac:dyDescent="0.3">
      <c r="G3141" s="101"/>
      <c r="H3141" s="101"/>
      <c r="I3141" s="101"/>
      <c r="K3141" s="226"/>
      <c r="L3141" s="226"/>
      <c r="M3141" s="101"/>
      <c r="N3141" s="101"/>
    </row>
    <row r="3142" spans="7:14" hidden="1" x14ac:dyDescent="0.3">
      <c r="G3142" s="101"/>
      <c r="H3142" s="101"/>
      <c r="I3142" s="101"/>
      <c r="K3142" s="226"/>
      <c r="L3142" s="226"/>
      <c r="M3142" s="101"/>
      <c r="N3142" s="101"/>
    </row>
    <row r="3143" spans="7:14" hidden="1" x14ac:dyDescent="0.3">
      <c r="G3143" s="101"/>
      <c r="H3143" s="101"/>
      <c r="I3143" s="101"/>
      <c r="K3143" s="226"/>
      <c r="L3143" s="226"/>
      <c r="M3143" s="101"/>
      <c r="N3143" s="101"/>
    </row>
    <row r="3144" spans="7:14" hidden="1" x14ac:dyDescent="0.3">
      <c r="G3144" s="101"/>
      <c r="H3144" s="101"/>
      <c r="I3144" s="101"/>
      <c r="K3144" s="226"/>
      <c r="L3144" s="226"/>
      <c r="M3144" s="101"/>
      <c r="N3144" s="101"/>
    </row>
    <row r="3145" spans="7:14" hidden="1" x14ac:dyDescent="0.3">
      <c r="G3145" s="101"/>
      <c r="H3145" s="101"/>
      <c r="I3145" s="101"/>
      <c r="K3145" s="226"/>
      <c r="L3145" s="226"/>
      <c r="M3145" s="101"/>
      <c r="N3145" s="101"/>
    </row>
    <row r="3146" spans="7:14" hidden="1" x14ac:dyDescent="0.3">
      <c r="G3146" s="101"/>
      <c r="H3146" s="101"/>
      <c r="I3146" s="101"/>
      <c r="K3146" s="226"/>
      <c r="L3146" s="226"/>
      <c r="M3146" s="101"/>
      <c r="N3146" s="101"/>
    </row>
    <row r="3147" spans="7:14" hidden="1" x14ac:dyDescent="0.3">
      <c r="G3147" s="101"/>
      <c r="H3147" s="101"/>
      <c r="I3147" s="101"/>
      <c r="K3147" s="226"/>
      <c r="L3147" s="226"/>
      <c r="M3147" s="101"/>
      <c r="N3147" s="101"/>
    </row>
    <row r="3148" spans="7:14" hidden="1" x14ac:dyDescent="0.3">
      <c r="G3148" s="101"/>
      <c r="H3148" s="101"/>
      <c r="I3148" s="101"/>
      <c r="K3148" s="226"/>
      <c r="L3148" s="226"/>
      <c r="M3148" s="101"/>
      <c r="N3148" s="101"/>
    </row>
    <row r="3149" spans="7:14" hidden="1" x14ac:dyDescent="0.3">
      <c r="G3149" s="101"/>
      <c r="H3149" s="101"/>
      <c r="I3149" s="101"/>
      <c r="K3149" s="226"/>
      <c r="L3149" s="226"/>
      <c r="M3149" s="101"/>
      <c r="N3149" s="101"/>
    </row>
    <row r="3150" spans="7:14" hidden="1" x14ac:dyDescent="0.3">
      <c r="G3150" s="101"/>
      <c r="H3150" s="101"/>
      <c r="I3150" s="101"/>
      <c r="K3150" s="226"/>
      <c r="L3150" s="226"/>
      <c r="M3150" s="101"/>
      <c r="N3150" s="101"/>
    </row>
    <row r="3151" spans="7:14" hidden="1" x14ac:dyDescent="0.3">
      <c r="G3151" s="101"/>
      <c r="H3151" s="101"/>
      <c r="I3151" s="101"/>
      <c r="K3151" s="226"/>
      <c r="L3151" s="226"/>
      <c r="M3151" s="101"/>
      <c r="N3151" s="101"/>
    </row>
    <row r="3152" spans="7:14" hidden="1" x14ac:dyDescent="0.3">
      <c r="G3152" s="101"/>
      <c r="H3152" s="101"/>
      <c r="I3152" s="101"/>
      <c r="K3152" s="226"/>
      <c r="L3152" s="226"/>
      <c r="M3152" s="101"/>
      <c r="N3152" s="101"/>
    </row>
    <row r="3153" spans="7:14" hidden="1" x14ac:dyDescent="0.3">
      <c r="G3153" s="101"/>
      <c r="H3153" s="101"/>
      <c r="I3153" s="101"/>
      <c r="K3153" s="226"/>
      <c r="L3153" s="226"/>
      <c r="M3153" s="101"/>
      <c r="N3153" s="101"/>
    </row>
    <row r="3154" spans="7:14" hidden="1" x14ac:dyDescent="0.3">
      <c r="G3154" s="101"/>
      <c r="H3154" s="101"/>
      <c r="I3154" s="101"/>
      <c r="K3154" s="226"/>
      <c r="L3154" s="226"/>
      <c r="M3154" s="101"/>
      <c r="N3154" s="101"/>
    </row>
    <row r="3155" spans="7:14" hidden="1" x14ac:dyDescent="0.3">
      <c r="G3155" s="101"/>
      <c r="H3155" s="101"/>
      <c r="I3155" s="101"/>
      <c r="K3155" s="226"/>
      <c r="L3155" s="226"/>
      <c r="M3155" s="101"/>
      <c r="N3155" s="101"/>
    </row>
    <row r="3156" spans="7:14" hidden="1" x14ac:dyDescent="0.3">
      <c r="G3156" s="101"/>
      <c r="H3156" s="101"/>
      <c r="I3156" s="101"/>
      <c r="K3156" s="226"/>
      <c r="L3156" s="226"/>
      <c r="M3156" s="101"/>
      <c r="N3156" s="101"/>
    </row>
    <row r="3157" spans="7:14" hidden="1" x14ac:dyDescent="0.3">
      <c r="G3157" s="101"/>
      <c r="H3157" s="101"/>
      <c r="I3157" s="101"/>
      <c r="K3157" s="226"/>
      <c r="L3157" s="226"/>
      <c r="M3157" s="101"/>
      <c r="N3157" s="101"/>
    </row>
    <row r="3158" spans="7:14" hidden="1" x14ac:dyDescent="0.3">
      <c r="G3158" s="101"/>
      <c r="H3158" s="101"/>
      <c r="I3158" s="101"/>
      <c r="K3158" s="226"/>
      <c r="L3158" s="226"/>
      <c r="M3158" s="101"/>
      <c r="N3158" s="101"/>
    </row>
    <row r="3159" spans="7:14" hidden="1" x14ac:dyDescent="0.3">
      <c r="G3159" s="101"/>
      <c r="H3159" s="101"/>
      <c r="I3159" s="101"/>
      <c r="K3159" s="226"/>
      <c r="L3159" s="226"/>
      <c r="M3159" s="101"/>
      <c r="N3159" s="101"/>
    </row>
    <row r="3160" spans="7:14" hidden="1" x14ac:dyDescent="0.3">
      <c r="G3160" s="101"/>
      <c r="H3160" s="101"/>
      <c r="I3160" s="101"/>
      <c r="K3160" s="226"/>
      <c r="L3160" s="226"/>
      <c r="M3160" s="101"/>
      <c r="N3160" s="101"/>
    </row>
    <row r="3161" spans="7:14" hidden="1" x14ac:dyDescent="0.3">
      <c r="G3161" s="101"/>
      <c r="H3161" s="101"/>
      <c r="I3161" s="101"/>
      <c r="K3161" s="226"/>
      <c r="L3161" s="226"/>
      <c r="M3161" s="101"/>
      <c r="N3161" s="101"/>
    </row>
    <row r="3162" spans="7:14" hidden="1" x14ac:dyDescent="0.3">
      <c r="G3162" s="101"/>
      <c r="H3162" s="101"/>
      <c r="I3162" s="101"/>
      <c r="K3162" s="226"/>
      <c r="L3162" s="226"/>
      <c r="M3162" s="101"/>
      <c r="N3162" s="101"/>
    </row>
    <row r="3163" spans="7:14" hidden="1" x14ac:dyDescent="0.3">
      <c r="G3163" s="101"/>
      <c r="H3163" s="101"/>
      <c r="I3163" s="101"/>
      <c r="K3163" s="226"/>
      <c r="L3163" s="226"/>
      <c r="M3163" s="101"/>
      <c r="N3163" s="101"/>
    </row>
    <row r="3164" spans="7:14" hidden="1" x14ac:dyDescent="0.3">
      <c r="G3164" s="101"/>
      <c r="H3164" s="101"/>
      <c r="I3164" s="101"/>
      <c r="K3164" s="226"/>
      <c r="L3164" s="226"/>
      <c r="M3164" s="101"/>
      <c r="N3164" s="101"/>
    </row>
    <row r="3165" spans="7:14" hidden="1" x14ac:dyDescent="0.3">
      <c r="G3165" s="101"/>
      <c r="H3165" s="101"/>
      <c r="I3165" s="101"/>
      <c r="K3165" s="226"/>
      <c r="L3165" s="226"/>
      <c r="M3165" s="101"/>
      <c r="N3165" s="101"/>
    </row>
    <row r="3166" spans="7:14" hidden="1" x14ac:dyDescent="0.3">
      <c r="G3166" s="101"/>
      <c r="H3166" s="101"/>
      <c r="I3166" s="101"/>
      <c r="K3166" s="226"/>
      <c r="L3166" s="226"/>
      <c r="M3166" s="101"/>
      <c r="N3166" s="101"/>
    </row>
    <row r="3167" spans="7:14" hidden="1" x14ac:dyDescent="0.3">
      <c r="G3167" s="101"/>
      <c r="H3167" s="101"/>
      <c r="I3167" s="101"/>
      <c r="K3167" s="226"/>
      <c r="L3167" s="226"/>
      <c r="M3167" s="101"/>
      <c r="N3167" s="101"/>
    </row>
    <row r="3168" spans="7:14" hidden="1" x14ac:dyDescent="0.3">
      <c r="G3168" s="101"/>
      <c r="H3168" s="101"/>
      <c r="I3168" s="101"/>
      <c r="K3168" s="226"/>
      <c r="L3168" s="226"/>
      <c r="M3168" s="101"/>
      <c r="N3168" s="101"/>
    </row>
    <row r="3169" spans="7:14" hidden="1" x14ac:dyDescent="0.3">
      <c r="G3169" s="101"/>
      <c r="H3169" s="101"/>
      <c r="I3169" s="101"/>
      <c r="K3169" s="226"/>
      <c r="L3169" s="226"/>
      <c r="M3169" s="101"/>
      <c r="N3169" s="101"/>
    </row>
    <row r="3170" spans="7:14" hidden="1" x14ac:dyDescent="0.3">
      <c r="G3170" s="101"/>
      <c r="H3170" s="101"/>
      <c r="I3170" s="101"/>
      <c r="K3170" s="226"/>
      <c r="L3170" s="226"/>
      <c r="M3170" s="101"/>
      <c r="N3170" s="101"/>
    </row>
    <row r="3171" spans="7:14" hidden="1" x14ac:dyDescent="0.3">
      <c r="G3171" s="101"/>
      <c r="H3171" s="101"/>
      <c r="I3171" s="101"/>
      <c r="K3171" s="226"/>
      <c r="L3171" s="226"/>
      <c r="M3171" s="101"/>
      <c r="N3171" s="101"/>
    </row>
    <row r="3172" spans="7:14" hidden="1" x14ac:dyDescent="0.3">
      <c r="G3172" s="101"/>
      <c r="H3172" s="101"/>
      <c r="I3172" s="101"/>
      <c r="K3172" s="226"/>
      <c r="L3172" s="226"/>
      <c r="M3172" s="101"/>
      <c r="N3172" s="101"/>
    </row>
    <row r="3173" spans="7:14" hidden="1" x14ac:dyDescent="0.3">
      <c r="G3173" s="101"/>
      <c r="H3173" s="101"/>
      <c r="I3173" s="101"/>
      <c r="K3173" s="226"/>
      <c r="L3173" s="226"/>
      <c r="M3173" s="101"/>
      <c r="N3173" s="101"/>
    </row>
    <row r="3174" spans="7:14" hidden="1" x14ac:dyDescent="0.3">
      <c r="G3174" s="101"/>
      <c r="H3174" s="101"/>
      <c r="I3174" s="101"/>
      <c r="K3174" s="226"/>
      <c r="L3174" s="226"/>
      <c r="M3174" s="101"/>
      <c r="N3174" s="101"/>
    </row>
    <row r="3175" spans="7:14" hidden="1" x14ac:dyDescent="0.3">
      <c r="G3175" s="101"/>
      <c r="H3175" s="101"/>
      <c r="I3175" s="101"/>
      <c r="K3175" s="226"/>
      <c r="L3175" s="226"/>
      <c r="M3175" s="101"/>
      <c r="N3175" s="101"/>
    </row>
    <row r="3176" spans="7:14" hidden="1" x14ac:dyDescent="0.3">
      <c r="G3176" s="101"/>
      <c r="H3176" s="101"/>
      <c r="I3176" s="101"/>
      <c r="K3176" s="226"/>
      <c r="L3176" s="226"/>
      <c r="M3176" s="101"/>
      <c r="N3176" s="101"/>
    </row>
    <row r="3177" spans="7:14" hidden="1" x14ac:dyDescent="0.3">
      <c r="G3177" s="101"/>
      <c r="H3177" s="101"/>
      <c r="I3177" s="101"/>
      <c r="K3177" s="226"/>
      <c r="L3177" s="226"/>
      <c r="M3177" s="101"/>
      <c r="N3177" s="101"/>
    </row>
    <row r="3178" spans="7:14" hidden="1" x14ac:dyDescent="0.3">
      <c r="G3178" s="101"/>
      <c r="H3178" s="101"/>
      <c r="I3178" s="101"/>
      <c r="K3178" s="226"/>
      <c r="L3178" s="226"/>
      <c r="M3178" s="101"/>
      <c r="N3178" s="101"/>
    </row>
    <row r="3179" spans="7:14" hidden="1" x14ac:dyDescent="0.3">
      <c r="G3179" s="101"/>
      <c r="H3179" s="101"/>
      <c r="I3179" s="101"/>
      <c r="K3179" s="226"/>
      <c r="L3179" s="226"/>
      <c r="M3179" s="101"/>
      <c r="N3179" s="101"/>
    </row>
    <row r="3180" spans="7:14" hidden="1" x14ac:dyDescent="0.3">
      <c r="G3180" s="101"/>
      <c r="H3180" s="101"/>
      <c r="I3180" s="101"/>
      <c r="K3180" s="226"/>
      <c r="L3180" s="226"/>
      <c r="M3180" s="101"/>
      <c r="N3180" s="101"/>
    </row>
    <row r="3181" spans="7:14" hidden="1" x14ac:dyDescent="0.3">
      <c r="G3181" s="101"/>
      <c r="H3181" s="101"/>
      <c r="I3181" s="101"/>
      <c r="K3181" s="226"/>
      <c r="L3181" s="226"/>
      <c r="M3181" s="101"/>
      <c r="N3181" s="101"/>
    </row>
    <row r="3182" spans="7:14" hidden="1" x14ac:dyDescent="0.3">
      <c r="G3182" s="101"/>
      <c r="H3182" s="101"/>
      <c r="I3182" s="101"/>
      <c r="K3182" s="226"/>
      <c r="L3182" s="226"/>
      <c r="M3182" s="101"/>
      <c r="N3182" s="101"/>
    </row>
    <row r="3183" spans="7:14" hidden="1" x14ac:dyDescent="0.3">
      <c r="G3183" s="101"/>
      <c r="H3183" s="101"/>
      <c r="I3183" s="101"/>
      <c r="K3183" s="226"/>
      <c r="L3183" s="226"/>
      <c r="M3183" s="101"/>
      <c r="N3183" s="101"/>
    </row>
    <row r="3184" spans="7:14" hidden="1" x14ac:dyDescent="0.3">
      <c r="G3184" s="101"/>
      <c r="H3184" s="101"/>
      <c r="I3184" s="101"/>
      <c r="K3184" s="226"/>
      <c r="L3184" s="226"/>
      <c r="M3184" s="101"/>
      <c r="N3184" s="101"/>
    </row>
    <row r="3185" spans="7:14" hidden="1" x14ac:dyDescent="0.3">
      <c r="G3185" s="101"/>
      <c r="H3185" s="101"/>
      <c r="I3185" s="101"/>
      <c r="K3185" s="226"/>
      <c r="L3185" s="226"/>
      <c r="M3185" s="101"/>
      <c r="N3185" s="101"/>
    </row>
    <row r="3186" spans="7:14" hidden="1" x14ac:dyDescent="0.3">
      <c r="G3186" s="101"/>
      <c r="H3186" s="101"/>
      <c r="I3186" s="101"/>
      <c r="K3186" s="226"/>
      <c r="L3186" s="226"/>
      <c r="M3186" s="101"/>
      <c r="N3186" s="101"/>
    </row>
    <row r="3187" spans="7:14" hidden="1" x14ac:dyDescent="0.3">
      <c r="G3187" s="101"/>
      <c r="H3187" s="101"/>
      <c r="I3187" s="101"/>
      <c r="K3187" s="226"/>
      <c r="L3187" s="226"/>
      <c r="M3187" s="101"/>
      <c r="N3187" s="101"/>
    </row>
    <row r="3188" spans="7:14" hidden="1" x14ac:dyDescent="0.3">
      <c r="G3188" s="101"/>
      <c r="H3188" s="101"/>
      <c r="I3188" s="101"/>
      <c r="K3188" s="226"/>
      <c r="L3188" s="226"/>
      <c r="M3188" s="101"/>
      <c r="N3188" s="101"/>
    </row>
    <row r="3189" spans="7:14" hidden="1" x14ac:dyDescent="0.3">
      <c r="G3189" s="101"/>
      <c r="H3189" s="101"/>
      <c r="I3189" s="101"/>
      <c r="K3189" s="226"/>
      <c r="L3189" s="226"/>
      <c r="M3189" s="101"/>
      <c r="N3189" s="101"/>
    </row>
    <row r="3190" spans="7:14" hidden="1" x14ac:dyDescent="0.3">
      <c r="G3190" s="101"/>
      <c r="H3190" s="101"/>
      <c r="I3190" s="101"/>
      <c r="K3190" s="226"/>
      <c r="L3190" s="226"/>
      <c r="M3190" s="101"/>
      <c r="N3190" s="101"/>
    </row>
    <row r="3191" spans="7:14" hidden="1" x14ac:dyDescent="0.3">
      <c r="G3191" s="101"/>
      <c r="H3191" s="101"/>
      <c r="I3191" s="101"/>
      <c r="K3191" s="226"/>
      <c r="L3191" s="226"/>
      <c r="M3191" s="101"/>
      <c r="N3191" s="101"/>
    </row>
    <row r="3192" spans="7:14" hidden="1" x14ac:dyDescent="0.3">
      <c r="G3192" s="101"/>
      <c r="H3192" s="101"/>
      <c r="I3192" s="101"/>
      <c r="K3192" s="226"/>
      <c r="L3192" s="226"/>
      <c r="M3192" s="101"/>
      <c r="N3192" s="101"/>
    </row>
    <row r="3193" spans="7:14" hidden="1" x14ac:dyDescent="0.3">
      <c r="G3193" s="101"/>
      <c r="H3193" s="101"/>
      <c r="I3193" s="101"/>
      <c r="K3193" s="226"/>
      <c r="L3193" s="226"/>
      <c r="M3193" s="101"/>
      <c r="N3193" s="101"/>
    </row>
    <row r="3194" spans="7:14" hidden="1" x14ac:dyDescent="0.3">
      <c r="G3194" s="101"/>
      <c r="H3194" s="101"/>
      <c r="I3194" s="101"/>
      <c r="K3194" s="226"/>
      <c r="L3194" s="226"/>
      <c r="M3194" s="101"/>
      <c r="N3194" s="101"/>
    </row>
    <row r="3195" spans="7:14" hidden="1" x14ac:dyDescent="0.3">
      <c r="G3195" s="101"/>
      <c r="H3195" s="101"/>
      <c r="I3195" s="101"/>
      <c r="K3195" s="226"/>
      <c r="L3195" s="226"/>
      <c r="M3195" s="101"/>
      <c r="N3195" s="101"/>
    </row>
    <row r="3196" spans="7:14" hidden="1" x14ac:dyDescent="0.3">
      <c r="G3196" s="101"/>
      <c r="H3196" s="101"/>
      <c r="I3196" s="101"/>
      <c r="K3196" s="226"/>
      <c r="L3196" s="226"/>
      <c r="M3196" s="101"/>
      <c r="N3196" s="101"/>
    </row>
    <row r="3197" spans="7:14" hidden="1" x14ac:dyDescent="0.3">
      <c r="G3197" s="101"/>
      <c r="H3197" s="101"/>
      <c r="I3197" s="101"/>
      <c r="K3197" s="226"/>
      <c r="L3197" s="226"/>
      <c r="M3197" s="101"/>
      <c r="N3197" s="101"/>
    </row>
    <row r="3198" spans="7:14" hidden="1" x14ac:dyDescent="0.3">
      <c r="G3198" s="101"/>
      <c r="H3198" s="101"/>
      <c r="I3198" s="101"/>
      <c r="K3198" s="226"/>
      <c r="L3198" s="226"/>
      <c r="M3198" s="101"/>
      <c r="N3198" s="101"/>
    </row>
    <row r="3199" spans="7:14" hidden="1" x14ac:dyDescent="0.3">
      <c r="G3199" s="101"/>
      <c r="H3199" s="101"/>
      <c r="I3199" s="101"/>
      <c r="K3199" s="226"/>
      <c r="L3199" s="226"/>
      <c r="M3199" s="101"/>
      <c r="N3199" s="101"/>
    </row>
    <row r="3200" spans="7:14" hidden="1" x14ac:dyDescent="0.3">
      <c r="G3200" s="101"/>
      <c r="H3200" s="101"/>
      <c r="I3200" s="101"/>
      <c r="K3200" s="226"/>
      <c r="L3200" s="226"/>
      <c r="M3200" s="101"/>
      <c r="N3200" s="101"/>
    </row>
    <row r="3201" spans="7:14" hidden="1" x14ac:dyDescent="0.3">
      <c r="G3201" s="101"/>
      <c r="H3201" s="101"/>
      <c r="I3201" s="101"/>
      <c r="K3201" s="226"/>
      <c r="L3201" s="226"/>
      <c r="M3201" s="101"/>
      <c r="N3201" s="101"/>
    </row>
    <row r="3202" spans="7:14" hidden="1" x14ac:dyDescent="0.3">
      <c r="G3202" s="101"/>
      <c r="H3202" s="101"/>
      <c r="I3202" s="101"/>
      <c r="K3202" s="226"/>
      <c r="L3202" s="226"/>
      <c r="M3202" s="101"/>
      <c r="N3202" s="101"/>
    </row>
    <row r="3203" spans="7:14" hidden="1" x14ac:dyDescent="0.3">
      <c r="G3203" s="101"/>
      <c r="H3203" s="101"/>
      <c r="I3203" s="101"/>
      <c r="K3203" s="226"/>
      <c r="L3203" s="226"/>
      <c r="M3203" s="101"/>
      <c r="N3203" s="101"/>
    </row>
    <row r="3204" spans="7:14" hidden="1" x14ac:dyDescent="0.3">
      <c r="G3204" s="101"/>
      <c r="H3204" s="101"/>
      <c r="I3204" s="101"/>
      <c r="K3204" s="226"/>
      <c r="L3204" s="226"/>
      <c r="M3204" s="101"/>
      <c r="N3204" s="101"/>
    </row>
    <row r="3205" spans="7:14" hidden="1" x14ac:dyDescent="0.3">
      <c r="G3205" s="101"/>
      <c r="H3205" s="101"/>
      <c r="I3205" s="101"/>
      <c r="K3205" s="226"/>
      <c r="L3205" s="226"/>
      <c r="M3205" s="101"/>
      <c r="N3205" s="101"/>
    </row>
    <row r="3206" spans="7:14" hidden="1" x14ac:dyDescent="0.3">
      <c r="G3206" s="101"/>
      <c r="H3206" s="101"/>
      <c r="I3206" s="101"/>
      <c r="K3206" s="226"/>
      <c r="L3206" s="226"/>
      <c r="M3206" s="101"/>
      <c r="N3206" s="101"/>
    </row>
    <row r="3207" spans="7:14" hidden="1" x14ac:dyDescent="0.3">
      <c r="G3207" s="101"/>
      <c r="H3207" s="101"/>
      <c r="I3207" s="101"/>
      <c r="K3207" s="226"/>
      <c r="L3207" s="226"/>
      <c r="M3207" s="101"/>
      <c r="N3207" s="101"/>
    </row>
    <row r="3208" spans="7:14" hidden="1" x14ac:dyDescent="0.3">
      <c r="G3208" s="101"/>
      <c r="H3208" s="101"/>
      <c r="I3208" s="101"/>
      <c r="K3208" s="226"/>
      <c r="L3208" s="226"/>
      <c r="M3208" s="101"/>
      <c r="N3208" s="101"/>
    </row>
    <row r="3209" spans="7:14" hidden="1" x14ac:dyDescent="0.3">
      <c r="G3209" s="101"/>
      <c r="H3209" s="101"/>
      <c r="I3209" s="101"/>
      <c r="K3209" s="226"/>
      <c r="L3209" s="226"/>
      <c r="M3209" s="101"/>
      <c r="N3209" s="101"/>
    </row>
    <row r="3210" spans="7:14" hidden="1" x14ac:dyDescent="0.3">
      <c r="G3210" s="101"/>
      <c r="H3210" s="101"/>
      <c r="I3210" s="101"/>
      <c r="K3210" s="226"/>
      <c r="L3210" s="226"/>
      <c r="M3210" s="101"/>
      <c r="N3210" s="101"/>
    </row>
    <row r="3211" spans="7:14" hidden="1" x14ac:dyDescent="0.3">
      <c r="G3211" s="101"/>
      <c r="H3211" s="101"/>
      <c r="I3211" s="101"/>
      <c r="K3211" s="226"/>
      <c r="L3211" s="226"/>
      <c r="M3211" s="101"/>
      <c r="N3211" s="101"/>
    </row>
    <row r="3212" spans="7:14" hidden="1" x14ac:dyDescent="0.3">
      <c r="G3212" s="101"/>
      <c r="H3212" s="101"/>
      <c r="I3212" s="101"/>
      <c r="K3212" s="226"/>
      <c r="L3212" s="226"/>
      <c r="M3212" s="101"/>
      <c r="N3212" s="101"/>
    </row>
    <row r="3213" spans="7:14" hidden="1" x14ac:dyDescent="0.3">
      <c r="G3213" s="101"/>
      <c r="H3213" s="101"/>
      <c r="I3213" s="101"/>
      <c r="K3213" s="226"/>
      <c r="L3213" s="226"/>
      <c r="M3213" s="101"/>
      <c r="N3213" s="101"/>
    </row>
    <row r="3214" spans="7:14" hidden="1" x14ac:dyDescent="0.3">
      <c r="G3214" s="101"/>
      <c r="H3214" s="101"/>
      <c r="I3214" s="101"/>
      <c r="K3214" s="226"/>
      <c r="L3214" s="226"/>
      <c r="M3214" s="101"/>
      <c r="N3214" s="101"/>
    </row>
    <row r="3215" spans="7:14" hidden="1" x14ac:dyDescent="0.3">
      <c r="G3215" s="101"/>
      <c r="H3215" s="101"/>
      <c r="I3215" s="101"/>
      <c r="K3215" s="226"/>
      <c r="L3215" s="226"/>
      <c r="M3215" s="101"/>
      <c r="N3215" s="101"/>
    </row>
    <row r="3216" spans="7:14" hidden="1" x14ac:dyDescent="0.3">
      <c r="G3216" s="101"/>
      <c r="H3216" s="101"/>
      <c r="I3216" s="101"/>
      <c r="K3216" s="226"/>
      <c r="L3216" s="226"/>
      <c r="M3216" s="101"/>
      <c r="N3216" s="101"/>
    </row>
    <row r="3217" spans="7:14" hidden="1" x14ac:dyDescent="0.3">
      <c r="G3217" s="101"/>
      <c r="H3217" s="101"/>
      <c r="I3217" s="101"/>
      <c r="K3217" s="226"/>
      <c r="L3217" s="226"/>
      <c r="M3217" s="101"/>
      <c r="N3217" s="101"/>
    </row>
    <row r="3218" spans="7:14" hidden="1" x14ac:dyDescent="0.3">
      <c r="G3218" s="101"/>
      <c r="H3218" s="101"/>
      <c r="I3218" s="101"/>
      <c r="K3218" s="226"/>
      <c r="L3218" s="226"/>
      <c r="M3218" s="101"/>
      <c r="N3218" s="101"/>
    </row>
    <row r="3219" spans="7:14" hidden="1" x14ac:dyDescent="0.3">
      <c r="G3219" s="101"/>
      <c r="H3219" s="101"/>
      <c r="I3219" s="101"/>
      <c r="K3219" s="226"/>
      <c r="L3219" s="226"/>
      <c r="M3219" s="101"/>
      <c r="N3219" s="101"/>
    </row>
    <row r="3220" spans="7:14" hidden="1" x14ac:dyDescent="0.3">
      <c r="G3220" s="101"/>
      <c r="H3220" s="101"/>
      <c r="I3220" s="101"/>
      <c r="K3220" s="226"/>
      <c r="L3220" s="226"/>
      <c r="M3220" s="101"/>
      <c r="N3220" s="101"/>
    </row>
    <row r="3221" spans="7:14" hidden="1" x14ac:dyDescent="0.3">
      <c r="G3221" s="101"/>
      <c r="H3221" s="101"/>
      <c r="I3221" s="101"/>
      <c r="K3221" s="226"/>
      <c r="L3221" s="226"/>
      <c r="M3221" s="101"/>
      <c r="N3221" s="101"/>
    </row>
    <row r="3222" spans="7:14" hidden="1" x14ac:dyDescent="0.3">
      <c r="G3222" s="101"/>
      <c r="H3222" s="101"/>
      <c r="I3222" s="101"/>
      <c r="K3222" s="226"/>
      <c r="L3222" s="226"/>
      <c r="M3222" s="101"/>
      <c r="N3222" s="101"/>
    </row>
    <row r="3223" spans="7:14" hidden="1" x14ac:dyDescent="0.3">
      <c r="G3223" s="101"/>
      <c r="H3223" s="101"/>
      <c r="I3223" s="101"/>
      <c r="K3223" s="226"/>
      <c r="L3223" s="226"/>
      <c r="M3223" s="101"/>
      <c r="N3223" s="101"/>
    </row>
    <row r="3224" spans="7:14" hidden="1" x14ac:dyDescent="0.3">
      <c r="G3224" s="101"/>
      <c r="H3224" s="101"/>
      <c r="I3224" s="101"/>
      <c r="K3224" s="226"/>
      <c r="L3224" s="226"/>
      <c r="M3224" s="101"/>
      <c r="N3224" s="101"/>
    </row>
    <row r="3225" spans="7:14" hidden="1" x14ac:dyDescent="0.3">
      <c r="G3225" s="101"/>
      <c r="H3225" s="101"/>
      <c r="I3225" s="101"/>
      <c r="K3225" s="226"/>
      <c r="L3225" s="226"/>
      <c r="M3225" s="101"/>
      <c r="N3225" s="101"/>
    </row>
    <row r="3226" spans="7:14" hidden="1" x14ac:dyDescent="0.3">
      <c r="G3226" s="101"/>
      <c r="H3226" s="101"/>
      <c r="I3226" s="101"/>
      <c r="K3226" s="226"/>
      <c r="L3226" s="226"/>
      <c r="M3226" s="101"/>
      <c r="N3226" s="101"/>
    </row>
    <row r="3227" spans="7:14" hidden="1" x14ac:dyDescent="0.3">
      <c r="G3227" s="101"/>
      <c r="H3227" s="101"/>
      <c r="I3227" s="101"/>
      <c r="K3227" s="226"/>
      <c r="L3227" s="226"/>
      <c r="M3227" s="101"/>
      <c r="N3227" s="101"/>
    </row>
    <row r="3228" spans="7:14" hidden="1" x14ac:dyDescent="0.3">
      <c r="G3228" s="101"/>
      <c r="H3228" s="101"/>
      <c r="I3228" s="101"/>
      <c r="K3228" s="226"/>
      <c r="L3228" s="226"/>
      <c r="M3228" s="101"/>
      <c r="N3228" s="101"/>
    </row>
    <row r="3229" spans="7:14" hidden="1" x14ac:dyDescent="0.3">
      <c r="G3229" s="101"/>
      <c r="H3229" s="101"/>
      <c r="I3229" s="101"/>
      <c r="K3229" s="226"/>
      <c r="L3229" s="226"/>
      <c r="M3229" s="101"/>
      <c r="N3229" s="101"/>
    </row>
    <row r="3230" spans="7:14" hidden="1" x14ac:dyDescent="0.3">
      <c r="G3230" s="101"/>
      <c r="H3230" s="101"/>
      <c r="I3230" s="101"/>
      <c r="K3230" s="226"/>
      <c r="L3230" s="226"/>
      <c r="M3230" s="101"/>
      <c r="N3230" s="101"/>
    </row>
    <row r="3231" spans="7:14" hidden="1" x14ac:dyDescent="0.3">
      <c r="G3231" s="101"/>
      <c r="H3231" s="101"/>
      <c r="I3231" s="101"/>
      <c r="K3231" s="226"/>
      <c r="L3231" s="226"/>
      <c r="M3231" s="101"/>
      <c r="N3231" s="101"/>
    </row>
    <row r="3232" spans="7:14" hidden="1" x14ac:dyDescent="0.3">
      <c r="G3232" s="101"/>
      <c r="H3232" s="101"/>
      <c r="I3232" s="101"/>
      <c r="K3232" s="226"/>
      <c r="L3232" s="226"/>
      <c r="M3232" s="101"/>
      <c r="N3232" s="101"/>
    </row>
    <row r="3233" spans="7:14" hidden="1" x14ac:dyDescent="0.3">
      <c r="G3233" s="101"/>
      <c r="H3233" s="101"/>
      <c r="I3233" s="101"/>
      <c r="K3233" s="226"/>
      <c r="L3233" s="226"/>
      <c r="M3233" s="101"/>
      <c r="N3233" s="101"/>
    </row>
    <row r="3234" spans="7:14" hidden="1" x14ac:dyDescent="0.3">
      <c r="G3234" s="101"/>
      <c r="H3234" s="101"/>
      <c r="I3234" s="101"/>
      <c r="K3234" s="226"/>
      <c r="L3234" s="226"/>
      <c r="M3234" s="101"/>
      <c r="N3234" s="101"/>
    </row>
    <row r="3235" spans="7:14" hidden="1" x14ac:dyDescent="0.3">
      <c r="G3235" s="101"/>
      <c r="H3235" s="101"/>
      <c r="I3235" s="101"/>
      <c r="K3235" s="226"/>
      <c r="L3235" s="226"/>
      <c r="M3235" s="101"/>
      <c r="N3235" s="101"/>
    </row>
    <row r="3236" spans="7:14" hidden="1" x14ac:dyDescent="0.3">
      <c r="G3236" s="101"/>
      <c r="H3236" s="101"/>
      <c r="I3236" s="101"/>
      <c r="K3236" s="226"/>
      <c r="L3236" s="226"/>
      <c r="M3236" s="101"/>
      <c r="N3236" s="101"/>
    </row>
    <row r="3237" spans="7:14" hidden="1" x14ac:dyDescent="0.3">
      <c r="G3237" s="101"/>
      <c r="H3237" s="101"/>
      <c r="I3237" s="101"/>
      <c r="K3237" s="226"/>
      <c r="L3237" s="226"/>
      <c r="M3237" s="101"/>
      <c r="N3237" s="101"/>
    </row>
    <row r="3238" spans="7:14" hidden="1" x14ac:dyDescent="0.3">
      <c r="G3238" s="101"/>
      <c r="H3238" s="101"/>
      <c r="I3238" s="101"/>
      <c r="K3238" s="226"/>
      <c r="L3238" s="226"/>
      <c r="M3238" s="101"/>
      <c r="N3238" s="101"/>
    </row>
    <row r="3239" spans="7:14" hidden="1" x14ac:dyDescent="0.3">
      <c r="G3239" s="101"/>
      <c r="H3239" s="101"/>
      <c r="I3239" s="101"/>
      <c r="K3239" s="226"/>
      <c r="L3239" s="226"/>
      <c r="M3239" s="101"/>
      <c r="N3239" s="101"/>
    </row>
    <row r="3240" spans="7:14" hidden="1" x14ac:dyDescent="0.3">
      <c r="G3240" s="101"/>
      <c r="H3240" s="101"/>
      <c r="I3240" s="101"/>
      <c r="K3240" s="226"/>
      <c r="L3240" s="226"/>
      <c r="M3240" s="101"/>
      <c r="N3240" s="101"/>
    </row>
    <row r="3241" spans="7:14" hidden="1" x14ac:dyDescent="0.3">
      <c r="G3241" s="101"/>
      <c r="H3241" s="101"/>
      <c r="I3241" s="101"/>
      <c r="K3241" s="226"/>
      <c r="L3241" s="226"/>
      <c r="M3241" s="101"/>
      <c r="N3241" s="101"/>
    </row>
    <row r="3242" spans="7:14" hidden="1" x14ac:dyDescent="0.3">
      <c r="G3242" s="101"/>
      <c r="H3242" s="101"/>
      <c r="I3242" s="101"/>
      <c r="K3242" s="226"/>
      <c r="L3242" s="226"/>
      <c r="M3242" s="101"/>
      <c r="N3242" s="101"/>
    </row>
    <row r="3243" spans="7:14" hidden="1" x14ac:dyDescent="0.3">
      <c r="G3243" s="101"/>
      <c r="H3243" s="101"/>
      <c r="I3243" s="101"/>
      <c r="K3243" s="226"/>
      <c r="L3243" s="226"/>
      <c r="M3243" s="101"/>
      <c r="N3243" s="101"/>
    </row>
    <row r="3244" spans="7:14" hidden="1" x14ac:dyDescent="0.3">
      <c r="G3244" s="101"/>
      <c r="H3244" s="101"/>
      <c r="I3244" s="101"/>
      <c r="K3244" s="226"/>
      <c r="L3244" s="226"/>
      <c r="M3244" s="101"/>
      <c r="N3244" s="101"/>
    </row>
    <row r="3245" spans="7:14" hidden="1" x14ac:dyDescent="0.3">
      <c r="G3245" s="101"/>
      <c r="H3245" s="101"/>
      <c r="I3245" s="101"/>
      <c r="K3245" s="226"/>
      <c r="L3245" s="226"/>
      <c r="M3245" s="101"/>
      <c r="N3245" s="101"/>
    </row>
    <row r="3246" spans="7:14" hidden="1" x14ac:dyDescent="0.3">
      <c r="G3246" s="101"/>
      <c r="H3246" s="101"/>
      <c r="I3246" s="101"/>
      <c r="K3246" s="226"/>
      <c r="L3246" s="226"/>
      <c r="M3246" s="101"/>
      <c r="N3246" s="101"/>
    </row>
    <row r="3247" spans="7:14" hidden="1" x14ac:dyDescent="0.3">
      <c r="G3247" s="101"/>
      <c r="H3247" s="101"/>
      <c r="I3247" s="101"/>
      <c r="K3247" s="226"/>
      <c r="L3247" s="226"/>
      <c r="M3247" s="101"/>
      <c r="N3247" s="101"/>
    </row>
    <row r="3248" spans="7:14" hidden="1" x14ac:dyDescent="0.3">
      <c r="G3248" s="101"/>
      <c r="H3248" s="101"/>
      <c r="I3248" s="101"/>
      <c r="K3248" s="226"/>
      <c r="L3248" s="226"/>
      <c r="M3248" s="101"/>
      <c r="N3248" s="101"/>
    </row>
    <row r="3249" spans="7:14" hidden="1" x14ac:dyDescent="0.3">
      <c r="G3249" s="101"/>
      <c r="H3249" s="101"/>
      <c r="I3249" s="101"/>
      <c r="K3249" s="226"/>
      <c r="L3249" s="226"/>
      <c r="M3249" s="101"/>
      <c r="N3249" s="101"/>
    </row>
    <row r="3250" spans="7:14" hidden="1" x14ac:dyDescent="0.3">
      <c r="G3250" s="101"/>
      <c r="H3250" s="101"/>
      <c r="I3250" s="101"/>
      <c r="K3250" s="226"/>
      <c r="L3250" s="226"/>
      <c r="M3250" s="101"/>
      <c r="N3250" s="101"/>
    </row>
    <row r="3251" spans="7:14" hidden="1" x14ac:dyDescent="0.3">
      <c r="G3251" s="101"/>
      <c r="H3251" s="101"/>
      <c r="I3251" s="101"/>
      <c r="K3251" s="226"/>
      <c r="L3251" s="226"/>
      <c r="M3251" s="101"/>
      <c r="N3251" s="101"/>
    </row>
    <row r="3252" spans="7:14" hidden="1" x14ac:dyDescent="0.3">
      <c r="G3252" s="101"/>
      <c r="H3252" s="101"/>
      <c r="I3252" s="101"/>
      <c r="K3252" s="226"/>
      <c r="L3252" s="226"/>
      <c r="M3252" s="101"/>
      <c r="N3252" s="101"/>
    </row>
    <row r="3253" spans="7:14" hidden="1" x14ac:dyDescent="0.3">
      <c r="G3253" s="101"/>
      <c r="H3253" s="101"/>
      <c r="I3253" s="101"/>
      <c r="K3253" s="226"/>
      <c r="L3253" s="226"/>
      <c r="M3253" s="101"/>
      <c r="N3253" s="101"/>
    </row>
    <row r="3254" spans="7:14" hidden="1" x14ac:dyDescent="0.3">
      <c r="G3254" s="101"/>
      <c r="H3254" s="101"/>
      <c r="I3254" s="101"/>
      <c r="K3254" s="226"/>
      <c r="L3254" s="226"/>
      <c r="M3254" s="101"/>
      <c r="N3254" s="101"/>
    </row>
    <row r="3255" spans="7:14" hidden="1" x14ac:dyDescent="0.3">
      <c r="G3255" s="101"/>
      <c r="H3255" s="101"/>
      <c r="I3255" s="101"/>
      <c r="K3255" s="226"/>
      <c r="L3255" s="226"/>
      <c r="M3255" s="101"/>
      <c r="N3255" s="101"/>
    </row>
    <row r="3256" spans="7:14" hidden="1" x14ac:dyDescent="0.3">
      <c r="G3256" s="101"/>
      <c r="H3256" s="101"/>
      <c r="I3256" s="101"/>
      <c r="K3256" s="226"/>
      <c r="L3256" s="226"/>
      <c r="M3256" s="101"/>
      <c r="N3256" s="101"/>
    </row>
    <row r="3257" spans="7:14" hidden="1" x14ac:dyDescent="0.3">
      <c r="G3257" s="101"/>
      <c r="H3257" s="101"/>
      <c r="I3257" s="101"/>
      <c r="K3257" s="226"/>
      <c r="L3257" s="226"/>
      <c r="M3257" s="101"/>
      <c r="N3257" s="101"/>
    </row>
    <row r="3258" spans="7:14" hidden="1" x14ac:dyDescent="0.3">
      <c r="G3258" s="101"/>
      <c r="H3258" s="101"/>
      <c r="I3258" s="101"/>
      <c r="K3258" s="226"/>
      <c r="L3258" s="226"/>
      <c r="M3258" s="101"/>
      <c r="N3258" s="101"/>
    </row>
    <row r="3259" spans="7:14" hidden="1" x14ac:dyDescent="0.3">
      <c r="G3259" s="101"/>
      <c r="H3259" s="101"/>
      <c r="I3259" s="101"/>
      <c r="K3259" s="226"/>
      <c r="L3259" s="226"/>
      <c r="M3259" s="101"/>
      <c r="N3259" s="101"/>
    </row>
    <row r="3260" spans="7:14" hidden="1" x14ac:dyDescent="0.3">
      <c r="G3260" s="101"/>
      <c r="H3260" s="101"/>
      <c r="I3260" s="101"/>
      <c r="K3260" s="226"/>
      <c r="L3260" s="226"/>
      <c r="M3260" s="101"/>
      <c r="N3260" s="101"/>
    </row>
    <row r="3261" spans="7:14" hidden="1" x14ac:dyDescent="0.3">
      <c r="G3261" s="101"/>
      <c r="H3261" s="101"/>
      <c r="I3261" s="101"/>
      <c r="K3261" s="226"/>
      <c r="L3261" s="226"/>
      <c r="M3261" s="101"/>
      <c r="N3261" s="101"/>
    </row>
    <row r="3262" spans="7:14" hidden="1" x14ac:dyDescent="0.3">
      <c r="G3262" s="101"/>
      <c r="H3262" s="101"/>
      <c r="I3262" s="101"/>
      <c r="K3262" s="226"/>
      <c r="L3262" s="226"/>
      <c r="M3262" s="101"/>
      <c r="N3262" s="101"/>
    </row>
    <row r="3263" spans="7:14" hidden="1" x14ac:dyDescent="0.3">
      <c r="G3263" s="101"/>
      <c r="H3263" s="101"/>
      <c r="I3263" s="101"/>
      <c r="K3263" s="226"/>
      <c r="L3263" s="226"/>
      <c r="M3263" s="101"/>
      <c r="N3263" s="101"/>
    </row>
    <row r="3264" spans="7:14" hidden="1" x14ac:dyDescent="0.3">
      <c r="G3264" s="101"/>
      <c r="H3264" s="101"/>
      <c r="I3264" s="101"/>
      <c r="K3264" s="226"/>
      <c r="L3264" s="226"/>
      <c r="M3264" s="101"/>
      <c r="N3264" s="101"/>
    </row>
    <row r="3265" spans="7:14" hidden="1" x14ac:dyDescent="0.3">
      <c r="G3265" s="101"/>
      <c r="H3265" s="101"/>
      <c r="I3265" s="101"/>
      <c r="K3265" s="226"/>
      <c r="L3265" s="226"/>
      <c r="M3265" s="101"/>
      <c r="N3265" s="101"/>
    </row>
    <row r="3266" spans="7:14" hidden="1" x14ac:dyDescent="0.3">
      <c r="G3266" s="101"/>
      <c r="H3266" s="101"/>
      <c r="I3266" s="101"/>
      <c r="K3266" s="226"/>
      <c r="L3266" s="226"/>
      <c r="M3266" s="101"/>
      <c r="N3266" s="101"/>
    </row>
    <row r="3267" spans="7:14" hidden="1" x14ac:dyDescent="0.3">
      <c r="G3267" s="101"/>
      <c r="H3267" s="101"/>
      <c r="I3267" s="101"/>
      <c r="K3267" s="226"/>
      <c r="L3267" s="226"/>
      <c r="M3267" s="101"/>
      <c r="N3267" s="101"/>
    </row>
    <row r="3268" spans="7:14" hidden="1" x14ac:dyDescent="0.3">
      <c r="G3268" s="101"/>
      <c r="H3268" s="101"/>
      <c r="I3268" s="101"/>
      <c r="K3268" s="226"/>
      <c r="L3268" s="226"/>
      <c r="M3268" s="101"/>
      <c r="N3268" s="101"/>
    </row>
    <row r="3269" spans="7:14" hidden="1" x14ac:dyDescent="0.3">
      <c r="G3269" s="101"/>
      <c r="H3269" s="101"/>
      <c r="I3269" s="101"/>
      <c r="K3269" s="226"/>
      <c r="L3269" s="226"/>
      <c r="M3269" s="101"/>
      <c r="N3269" s="101"/>
    </row>
    <row r="3270" spans="7:14" hidden="1" x14ac:dyDescent="0.3">
      <c r="G3270" s="101"/>
      <c r="H3270" s="101"/>
      <c r="I3270" s="101"/>
      <c r="K3270" s="226"/>
      <c r="L3270" s="226"/>
      <c r="M3270" s="101"/>
      <c r="N3270" s="101"/>
    </row>
    <row r="3271" spans="7:14" hidden="1" x14ac:dyDescent="0.3">
      <c r="G3271" s="101"/>
      <c r="H3271" s="101"/>
      <c r="I3271" s="101"/>
      <c r="K3271" s="226"/>
      <c r="L3271" s="226"/>
      <c r="M3271" s="101"/>
      <c r="N3271" s="101"/>
    </row>
    <row r="3272" spans="7:14" hidden="1" x14ac:dyDescent="0.3">
      <c r="G3272" s="101"/>
      <c r="H3272" s="101"/>
      <c r="I3272" s="101"/>
      <c r="K3272" s="226"/>
      <c r="L3272" s="226"/>
      <c r="M3272" s="101"/>
      <c r="N3272" s="101"/>
    </row>
    <row r="3273" spans="7:14" hidden="1" x14ac:dyDescent="0.3">
      <c r="G3273" s="101"/>
      <c r="H3273" s="101"/>
      <c r="I3273" s="101"/>
      <c r="K3273" s="226"/>
      <c r="L3273" s="226"/>
      <c r="M3273" s="101"/>
      <c r="N3273" s="101"/>
    </row>
    <row r="3274" spans="7:14" hidden="1" x14ac:dyDescent="0.3">
      <c r="G3274" s="101"/>
      <c r="H3274" s="101"/>
      <c r="I3274" s="101"/>
      <c r="K3274" s="226"/>
      <c r="L3274" s="226"/>
      <c r="M3274" s="101"/>
      <c r="N3274" s="101"/>
    </row>
    <row r="3275" spans="7:14" hidden="1" x14ac:dyDescent="0.3">
      <c r="G3275" s="101"/>
      <c r="H3275" s="101"/>
      <c r="I3275" s="101"/>
      <c r="K3275" s="226"/>
      <c r="L3275" s="226"/>
      <c r="M3275" s="101"/>
      <c r="N3275" s="101"/>
    </row>
    <row r="3276" spans="7:14" hidden="1" x14ac:dyDescent="0.3">
      <c r="G3276" s="101"/>
      <c r="H3276" s="101"/>
      <c r="I3276" s="101"/>
      <c r="K3276" s="226"/>
      <c r="L3276" s="226"/>
      <c r="M3276" s="101"/>
      <c r="N3276" s="101"/>
    </row>
    <row r="3277" spans="7:14" hidden="1" x14ac:dyDescent="0.3">
      <c r="G3277" s="101"/>
      <c r="H3277" s="101"/>
      <c r="I3277" s="101"/>
      <c r="K3277" s="226"/>
      <c r="L3277" s="226"/>
      <c r="M3277" s="101"/>
      <c r="N3277" s="101"/>
    </row>
    <row r="3278" spans="7:14" hidden="1" x14ac:dyDescent="0.3">
      <c r="G3278" s="101"/>
      <c r="H3278" s="101"/>
      <c r="I3278" s="101"/>
      <c r="K3278" s="226"/>
      <c r="L3278" s="226"/>
      <c r="M3278" s="101"/>
      <c r="N3278" s="101"/>
    </row>
    <row r="3279" spans="7:14" hidden="1" x14ac:dyDescent="0.3">
      <c r="G3279" s="101"/>
      <c r="H3279" s="101"/>
      <c r="I3279" s="101"/>
      <c r="K3279" s="226"/>
      <c r="L3279" s="226"/>
      <c r="M3279" s="101"/>
      <c r="N3279" s="101"/>
    </row>
    <row r="3280" spans="7:14" hidden="1" x14ac:dyDescent="0.3">
      <c r="G3280" s="101"/>
      <c r="H3280" s="101"/>
      <c r="I3280" s="101"/>
      <c r="K3280" s="226"/>
      <c r="L3280" s="226"/>
      <c r="M3280" s="101"/>
      <c r="N3280" s="101"/>
    </row>
    <row r="3281" spans="7:14" hidden="1" x14ac:dyDescent="0.3">
      <c r="G3281" s="101"/>
      <c r="H3281" s="101"/>
      <c r="I3281" s="101"/>
      <c r="K3281" s="226"/>
      <c r="L3281" s="226"/>
      <c r="M3281" s="101"/>
      <c r="N3281" s="101"/>
    </row>
    <row r="3282" spans="7:14" hidden="1" x14ac:dyDescent="0.3">
      <c r="G3282" s="101"/>
      <c r="H3282" s="101"/>
      <c r="I3282" s="101"/>
      <c r="K3282" s="226"/>
      <c r="L3282" s="226"/>
      <c r="M3282" s="101"/>
      <c r="N3282" s="101"/>
    </row>
    <row r="3283" spans="7:14" hidden="1" x14ac:dyDescent="0.3">
      <c r="G3283" s="101"/>
      <c r="H3283" s="101"/>
      <c r="I3283" s="101"/>
      <c r="K3283" s="226"/>
      <c r="L3283" s="226"/>
      <c r="M3283" s="101"/>
      <c r="N3283" s="101"/>
    </row>
    <row r="3284" spans="7:14" hidden="1" x14ac:dyDescent="0.3">
      <c r="G3284" s="101"/>
      <c r="H3284" s="101"/>
      <c r="I3284" s="101"/>
      <c r="K3284" s="226"/>
      <c r="L3284" s="226"/>
      <c r="M3284" s="101"/>
      <c r="N3284" s="101"/>
    </row>
    <row r="3285" spans="7:14" hidden="1" x14ac:dyDescent="0.3">
      <c r="G3285" s="101"/>
      <c r="H3285" s="101"/>
      <c r="I3285" s="101"/>
      <c r="K3285" s="226"/>
      <c r="L3285" s="226"/>
      <c r="M3285" s="101"/>
      <c r="N3285" s="101"/>
    </row>
    <row r="3286" spans="7:14" hidden="1" x14ac:dyDescent="0.3">
      <c r="G3286" s="101"/>
      <c r="H3286" s="101"/>
      <c r="I3286" s="101"/>
      <c r="K3286" s="226"/>
      <c r="L3286" s="226"/>
      <c r="M3286" s="101"/>
      <c r="N3286" s="101"/>
    </row>
    <row r="3287" spans="7:14" hidden="1" x14ac:dyDescent="0.3">
      <c r="G3287" s="101"/>
      <c r="H3287" s="101"/>
      <c r="I3287" s="101"/>
      <c r="K3287" s="226"/>
      <c r="L3287" s="226"/>
      <c r="M3287" s="101"/>
      <c r="N3287" s="101"/>
    </row>
    <row r="3288" spans="7:14" hidden="1" x14ac:dyDescent="0.3">
      <c r="G3288" s="101"/>
      <c r="H3288" s="101"/>
      <c r="I3288" s="101"/>
      <c r="K3288" s="226"/>
      <c r="L3288" s="226"/>
      <c r="M3288" s="101"/>
      <c r="N3288" s="101"/>
    </row>
    <row r="3289" spans="7:14" hidden="1" x14ac:dyDescent="0.3">
      <c r="G3289" s="101"/>
      <c r="H3289" s="101"/>
      <c r="I3289" s="101"/>
      <c r="K3289" s="226"/>
      <c r="L3289" s="226"/>
      <c r="M3289" s="101"/>
      <c r="N3289" s="101"/>
    </row>
    <row r="3290" spans="7:14" hidden="1" x14ac:dyDescent="0.3">
      <c r="G3290" s="101"/>
      <c r="H3290" s="101"/>
      <c r="I3290" s="101"/>
      <c r="K3290" s="226"/>
      <c r="L3290" s="226"/>
      <c r="M3290" s="101"/>
      <c r="N3290" s="101"/>
    </row>
    <row r="3291" spans="7:14" hidden="1" x14ac:dyDescent="0.3">
      <c r="G3291" s="101"/>
      <c r="H3291" s="101"/>
      <c r="I3291" s="101"/>
      <c r="K3291" s="226"/>
      <c r="L3291" s="226"/>
      <c r="M3291" s="101"/>
      <c r="N3291" s="101"/>
    </row>
    <row r="3292" spans="7:14" hidden="1" x14ac:dyDescent="0.3">
      <c r="G3292" s="101"/>
      <c r="H3292" s="101"/>
      <c r="I3292" s="101"/>
      <c r="K3292" s="226"/>
      <c r="L3292" s="226"/>
      <c r="M3292" s="101"/>
      <c r="N3292" s="101"/>
    </row>
    <row r="3293" spans="7:14" hidden="1" x14ac:dyDescent="0.3">
      <c r="G3293" s="101"/>
      <c r="H3293" s="101"/>
      <c r="I3293" s="101"/>
      <c r="K3293" s="226"/>
      <c r="L3293" s="226"/>
      <c r="M3293" s="101"/>
      <c r="N3293" s="101"/>
    </row>
    <row r="3294" spans="7:14" hidden="1" x14ac:dyDescent="0.3">
      <c r="G3294" s="101"/>
      <c r="H3294" s="101"/>
      <c r="I3294" s="101"/>
      <c r="K3294" s="226"/>
      <c r="L3294" s="226"/>
      <c r="M3294" s="101"/>
      <c r="N3294" s="101"/>
    </row>
    <row r="3295" spans="7:14" hidden="1" x14ac:dyDescent="0.3">
      <c r="G3295" s="101"/>
      <c r="H3295" s="101"/>
      <c r="I3295" s="101"/>
      <c r="K3295" s="226"/>
      <c r="L3295" s="226"/>
      <c r="M3295" s="101"/>
      <c r="N3295" s="101"/>
    </row>
    <row r="3296" spans="7:14" hidden="1" x14ac:dyDescent="0.3">
      <c r="G3296" s="101"/>
      <c r="H3296" s="101"/>
      <c r="I3296" s="101"/>
      <c r="K3296" s="226"/>
      <c r="L3296" s="226"/>
      <c r="M3296" s="101"/>
      <c r="N3296" s="101"/>
    </row>
    <row r="3297" spans="7:14" hidden="1" x14ac:dyDescent="0.3">
      <c r="G3297" s="101"/>
      <c r="H3297" s="101"/>
      <c r="I3297" s="101"/>
      <c r="K3297" s="226"/>
      <c r="L3297" s="226"/>
      <c r="M3297" s="101"/>
      <c r="N3297" s="101"/>
    </row>
    <row r="3298" spans="7:14" hidden="1" x14ac:dyDescent="0.3">
      <c r="G3298" s="101"/>
      <c r="H3298" s="101"/>
      <c r="I3298" s="101"/>
      <c r="K3298" s="226"/>
      <c r="L3298" s="226"/>
      <c r="M3298" s="101"/>
      <c r="N3298" s="101"/>
    </row>
    <row r="3299" spans="7:14" hidden="1" x14ac:dyDescent="0.3">
      <c r="G3299" s="101"/>
      <c r="H3299" s="101"/>
      <c r="I3299" s="101"/>
      <c r="K3299" s="226"/>
      <c r="L3299" s="226"/>
      <c r="M3299" s="101"/>
      <c r="N3299" s="101"/>
    </row>
    <row r="3300" spans="7:14" hidden="1" x14ac:dyDescent="0.3">
      <c r="G3300" s="101"/>
      <c r="H3300" s="101"/>
      <c r="I3300" s="101"/>
      <c r="K3300" s="226"/>
      <c r="L3300" s="226"/>
      <c r="M3300" s="101"/>
      <c r="N3300" s="101"/>
    </row>
    <row r="3301" spans="7:14" hidden="1" x14ac:dyDescent="0.3">
      <c r="G3301" s="101"/>
      <c r="H3301" s="101"/>
      <c r="I3301" s="101"/>
      <c r="K3301" s="226"/>
      <c r="L3301" s="226"/>
      <c r="M3301" s="101"/>
      <c r="N3301" s="101"/>
    </row>
    <row r="3302" spans="7:14" hidden="1" x14ac:dyDescent="0.3">
      <c r="G3302" s="101"/>
      <c r="H3302" s="101"/>
      <c r="I3302" s="101"/>
      <c r="K3302" s="226"/>
      <c r="L3302" s="226"/>
      <c r="M3302" s="101"/>
      <c r="N3302" s="101"/>
    </row>
    <row r="3303" spans="7:14" hidden="1" x14ac:dyDescent="0.3">
      <c r="G3303" s="101"/>
      <c r="H3303" s="101"/>
      <c r="I3303" s="101"/>
      <c r="K3303" s="226"/>
      <c r="L3303" s="226"/>
      <c r="M3303" s="101"/>
      <c r="N3303" s="101"/>
    </row>
    <row r="3304" spans="7:14" hidden="1" x14ac:dyDescent="0.3">
      <c r="G3304" s="101"/>
      <c r="H3304" s="101"/>
      <c r="I3304" s="101"/>
      <c r="K3304" s="226"/>
      <c r="L3304" s="226"/>
      <c r="M3304" s="101"/>
      <c r="N3304" s="101"/>
    </row>
    <row r="3305" spans="7:14" hidden="1" x14ac:dyDescent="0.3">
      <c r="G3305" s="101"/>
      <c r="H3305" s="101"/>
      <c r="I3305" s="101"/>
      <c r="K3305" s="226"/>
      <c r="L3305" s="226"/>
      <c r="M3305" s="101"/>
      <c r="N3305" s="101"/>
    </row>
    <row r="3306" spans="7:14" hidden="1" x14ac:dyDescent="0.3">
      <c r="G3306" s="101"/>
      <c r="H3306" s="101"/>
      <c r="I3306" s="101"/>
      <c r="K3306" s="226"/>
      <c r="L3306" s="226"/>
      <c r="M3306" s="101"/>
      <c r="N3306" s="101"/>
    </row>
    <row r="3307" spans="7:14" hidden="1" x14ac:dyDescent="0.3">
      <c r="G3307" s="101"/>
      <c r="H3307" s="101"/>
      <c r="I3307" s="101"/>
      <c r="K3307" s="226"/>
      <c r="L3307" s="226"/>
      <c r="M3307" s="101"/>
      <c r="N3307" s="101"/>
    </row>
    <row r="3308" spans="7:14" hidden="1" x14ac:dyDescent="0.3">
      <c r="G3308" s="101"/>
      <c r="H3308" s="101"/>
      <c r="I3308" s="101"/>
      <c r="K3308" s="226"/>
      <c r="L3308" s="226"/>
      <c r="M3308" s="101"/>
      <c r="N3308" s="101"/>
    </row>
    <row r="3309" spans="7:14" hidden="1" x14ac:dyDescent="0.3">
      <c r="G3309" s="101"/>
      <c r="H3309" s="101"/>
      <c r="I3309" s="101"/>
      <c r="K3309" s="226"/>
      <c r="L3309" s="226"/>
      <c r="M3309" s="101"/>
      <c r="N3309" s="101"/>
    </row>
    <row r="3310" spans="7:14" hidden="1" x14ac:dyDescent="0.3">
      <c r="G3310" s="101"/>
      <c r="H3310" s="101"/>
      <c r="I3310" s="101"/>
      <c r="K3310" s="226"/>
      <c r="L3310" s="226"/>
      <c r="M3310" s="101"/>
      <c r="N3310" s="101"/>
    </row>
    <row r="3311" spans="7:14" hidden="1" x14ac:dyDescent="0.3">
      <c r="G3311" s="101"/>
      <c r="H3311" s="101"/>
      <c r="I3311" s="101"/>
      <c r="K3311" s="226"/>
      <c r="L3311" s="226"/>
      <c r="M3311" s="101"/>
      <c r="N3311" s="101"/>
    </row>
    <row r="3312" spans="7:14" hidden="1" x14ac:dyDescent="0.3">
      <c r="G3312" s="101"/>
      <c r="H3312" s="101"/>
      <c r="I3312" s="101"/>
      <c r="K3312" s="226"/>
      <c r="L3312" s="226"/>
      <c r="M3312" s="101"/>
      <c r="N3312" s="101"/>
    </row>
    <row r="3313" spans="7:14" hidden="1" x14ac:dyDescent="0.3">
      <c r="G3313" s="101"/>
      <c r="H3313" s="101"/>
      <c r="I3313" s="101"/>
      <c r="K3313" s="226"/>
      <c r="L3313" s="226"/>
      <c r="M3313" s="101"/>
      <c r="N3313" s="101"/>
    </row>
    <row r="3314" spans="7:14" hidden="1" x14ac:dyDescent="0.3">
      <c r="G3314" s="101"/>
      <c r="H3314" s="101"/>
      <c r="I3314" s="101"/>
      <c r="K3314" s="226"/>
      <c r="L3314" s="226"/>
      <c r="M3314" s="101"/>
      <c r="N3314" s="101"/>
    </row>
    <row r="3315" spans="7:14" hidden="1" x14ac:dyDescent="0.3">
      <c r="G3315" s="101"/>
      <c r="H3315" s="101"/>
      <c r="I3315" s="101"/>
      <c r="K3315" s="226"/>
      <c r="L3315" s="226"/>
      <c r="M3315" s="101"/>
      <c r="N3315" s="101"/>
    </row>
    <row r="3316" spans="7:14" hidden="1" x14ac:dyDescent="0.3">
      <c r="G3316" s="101"/>
      <c r="H3316" s="101"/>
      <c r="I3316" s="101"/>
      <c r="K3316" s="226"/>
      <c r="L3316" s="226"/>
      <c r="M3316" s="101"/>
      <c r="N3316" s="101"/>
    </row>
    <row r="3317" spans="7:14" hidden="1" x14ac:dyDescent="0.3">
      <c r="G3317" s="101"/>
      <c r="H3317" s="101"/>
      <c r="I3317" s="101"/>
      <c r="K3317" s="226"/>
      <c r="L3317" s="226"/>
      <c r="M3317" s="101"/>
      <c r="N3317" s="101"/>
    </row>
    <row r="3318" spans="7:14" hidden="1" x14ac:dyDescent="0.3">
      <c r="G3318" s="101"/>
      <c r="H3318" s="101"/>
      <c r="I3318" s="101"/>
      <c r="K3318" s="226"/>
      <c r="L3318" s="226"/>
      <c r="M3318" s="101"/>
      <c r="N3318" s="101"/>
    </row>
    <row r="3319" spans="7:14" hidden="1" x14ac:dyDescent="0.3">
      <c r="G3319" s="101"/>
      <c r="H3319" s="101"/>
      <c r="I3319" s="101"/>
      <c r="K3319" s="226"/>
      <c r="L3319" s="226"/>
      <c r="M3319" s="101"/>
      <c r="N3319" s="101"/>
    </row>
    <row r="3320" spans="7:14" hidden="1" x14ac:dyDescent="0.3">
      <c r="G3320" s="101"/>
      <c r="H3320" s="101"/>
      <c r="I3320" s="101"/>
      <c r="K3320" s="226"/>
      <c r="L3320" s="226"/>
      <c r="M3320" s="101"/>
      <c r="N3320" s="101"/>
    </row>
    <row r="3321" spans="7:14" hidden="1" x14ac:dyDescent="0.3">
      <c r="G3321" s="101"/>
      <c r="H3321" s="101"/>
      <c r="I3321" s="101"/>
      <c r="K3321" s="226"/>
      <c r="L3321" s="226"/>
      <c r="M3321" s="101"/>
      <c r="N3321" s="101"/>
    </row>
    <row r="3322" spans="7:14" hidden="1" x14ac:dyDescent="0.3">
      <c r="G3322" s="101"/>
      <c r="H3322" s="101"/>
      <c r="I3322" s="101"/>
      <c r="K3322" s="226"/>
      <c r="L3322" s="226"/>
      <c r="M3322" s="101"/>
      <c r="N3322" s="101"/>
    </row>
    <row r="3323" spans="7:14" hidden="1" x14ac:dyDescent="0.3">
      <c r="G3323" s="101"/>
      <c r="H3323" s="101"/>
      <c r="I3323" s="101"/>
      <c r="K3323" s="226"/>
      <c r="L3323" s="226"/>
      <c r="M3323" s="101"/>
      <c r="N3323" s="101"/>
    </row>
    <row r="3324" spans="7:14" hidden="1" x14ac:dyDescent="0.3">
      <c r="G3324" s="101"/>
      <c r="H3324" s="101"/>
      <c r="I3324" s="101"/>
      <c r="K3324" s="226"/>
      <c r="L3324" s="226"/>
      <c r="M3324" s="101"/>
      <c r="N3324" s="101"/>
    </row>
    <row r="3325" spans="7:14" hidden="1" x14ac:dyDescent="0.3">
      <c r="G3325" s="101"/>
      <c r="H3325" s="101"/>
      <c r="I3325" s="101"/>
      <c r="K3325" s="226"/>
      <c r="L3325" s="226"/>
      <c r="M3325" s="101"/>
      <c r="N3325" s="101"/>
    </row>
    <row r="3326" spans="7:14" hidden="1" x14ac:dyDescent="0.3">
      <c r="G3326" s="101"/>
      <c r="H3326" s="101"/>
      <c r="I3326" s="101"/>
      <c r="K3326" s="226"/>
      <c r="L3326" s="226"/>
      <c r="M3326" s="101"/>
      <c r="N3326" s="101"/>
    </row>
    <row r="3327" spans="7:14" hidden="1" x14ac:dyDescent="0.3">
      <c r="G3327" s="101"/>
      <c r="H3327" s="101"/>
      <c r="I3327" s="101"/>
      <c r="K3327" s="226"/>
      <c r="L3327" s="226"/>
      <c r="M3327" s="101"/>
      <c r="N3327" s="101"/>
    </row>
    <row r="3328" spans="7:14" hidden="1" x14ac:dyDescent="0.3">
      <c r="G3328" s="101"/>
      <c r="H3328" s="101"/>
      <c r="I3328" s="101"/>
      <c r="K3328" s="226"/>
      <c r="L3328" s="226"/>
      <c r="M3328" s="101"/>
      <c r="N3328" s="101"/>
    </row>
    <row r="3329" spans="7:14" hidden="1" x14ac:dyDescent="0.3">
      <c r="G3329" s="101"/>
      <c r="H3329" s="101"/>
      <c r="I3329" s="101"/>
      <c r="K3329" s="226"/>
      <c r="L3329" s="226"/>
      <c r="M3329" s="101"/>
      <c r="N3329" s="101"/>
    </row>
    <row r="3330" spans="7:14" hidden="1" x14ac:dyDescent="0.3">
      <c r="G3330" s="101"/>
      <c r="H3330" s="101"/>
      <c r="I3330" s="101"/>
      <c r="K3330" s="226"/>
      <c r="L3330" s="226"/>
      <c r="M3330" s="101"/>
      <c r="N3330" s="101"/>
    </row>
    <row r="3331" spans="7:14" hidden="1" x14ac:dyDescent="0.3">
      <c r="G3331" s="101"/>
      <c r="H3331" s="101"/>
      <c r="I3331" s="101"/>
      <c r="K3331" s="226"/>
      <c r="L3331" s="226"/>
      <c r="M3331" s="101"/>
      <c r="N3331" s="101"/>
    </row>
    <row r="3332" spans="7:14" hidden="1" x14ac:dyDescent="0.3">
      <c r="G3332" s="101"/>
      <c r="H3332" s="101"/>
      <c r="I3332" s="101"/>
      <c r="K3332" s="226"/>
      <c r="L3332" s="226"/>
      <c r="M3332" s="101"/>
      <c r="N3332" s="101"/>
    </row>
    <row r="3333" spans="7:14" hidden="1" x14ac:dyDescent="0.3">
      <c r="G3333" s="101"/>
      <c r="H3333" s="101"/>
      <c r="I3333" s="101"/>
      <c r="K3333" s="226"/>
      <c r="L3333" s="226"/>
      <c r="M3333" s="101"/>
      <c r="N3333" s="101"/>
    </row>
    <row r="3334" spans="7:14" hidden="1" x14ac:dyDescent="0.3">
      <c r="G3334" s="101"/>
      <c r="H3334" s="101"/>
      <c r="I3334" s="101"/>
      <c r="K3334" s="226"/>
      <c r="L3334" s="226"/>
      <c r="M3334" s="101"/>
      <c r="N3334" s="101"/>
    </row>
    <row r="3335" spans="7:14" hidden="1" x14ac:dyDescent="0.3">
      <c r="G3335" s="101"/>
      <c r="H3335" s="101"/>
      <c r="I3335" s="101"/>
      <c r="K3335" s="226"/>
      <c r="L3335" s="226"/>
      <c r="M3335" s="101"/>
      <c r="N3335" s="101"/>
    </row>
    <row r="3336" spans="7:14" hidden="1" x14ac:dyDescent="0.3">
      <c r="G3336" s="101"/>
      <c r="H3336" s="101"/>
      <c r="I3336" s="101"/>
      <c r="K3336" s="226"/>
      <c r="L3336" s="226"/>
      <c r="M3336" s="101"/>
      <c r="N3336" s="101"/>
    </row>
    <row r="3337" spans="7:14" hidden="1" x14ac:dyDescent="0.3">
      <c r="G3337" s="101"/>
      <c r="H3337" s="101"/>
      <c r="I3337" s="101"/>
      <c r="K3337" s="226"/>
      <c r="L3337" s="226"/>
      <c r="M3337" s="101"/>
      <c r="N3337" s="101"/>
    </row>
    <row r="3338" spans="7:14" hidden="1" x14ac:dyDescent="0.3">
      <c r="G3338" s="101"/>
      <c r="H3338" s="101"/>
      <c r="I3338" s="101"/>
      <c r="K3338" s="226"/>
      <c r="L3338" s="226"/>
      <c r="M3338" s="101"/>
      <c r="N3338" s="101"/>
    </row>
    <row r="3339" spans="7:14" hidden="1" x14ac:dyDescent="0.3">
      <c r="G3339" s="101"/>
      <c r="H3339" s="101"/>
      <c r="I3339" s="101"/>
      <c r="K3339" s="226"/>
      <c r="L3339" s="226"/>
      <c r="M3339" s="101"/>
      <c r="N3339" s="101"/>
    </row>
    <row r="3340" spans="7:14" hidden="1" x14ac:dyDescent="0.3">
      <c r="G3340" s="101"/>
      <c r="H3340" s="101"/>
      <c r="I3340" s="101"/>
      <c r="K3340" s="226"/>
      <c r="L3340" s="226"/>
      <c r="M3340" s="101"/>
      <c r="N3340" s="101"/>
    </row>
    <row r="3341" spans="7:14" hidden="1" x14ac:dyDescent="0.3">
      <c r="G3341" s="101"/>
      <c r="H3341" s="101"/>
      <c r="I3341" s="101"/>
      <c r="K3341" s="226"/>
      <c r="L3341" s="226"/>
      <c r="M3341" s="101"/>
      <c r="N3341" s="101"/>
    </row>
    <row r="3342" spans="7:14" hidden="1" x14ac:dyDescent="0.3">
      <c r="G3342" s="101"/>
      <c r="H3342" s="101"/>
      <c r="I3342" s="101"/>
      <c r="K3342" s="226"/>
      <c r="L3342" s="226"/>
      <c r="M3342" s="101"/>
      <c r="N3342" s="101"/>
    </row>
    <row r="3343" spans="7:14" hidden="1" x14ac:dyDescent="0.3">
      <c r="G3343" s="101"/>
      <c r="H3343" s="101"/>
      <c r="I3343" s="101"/>
      <c r="K3343" s="226"/>
      <c r="L3343" s="226"/>
      <c r="M3343" s="101"/>
      <c r="N3343" s="101"/>
    </row>
    <row r="3344" spans="7:14" hidden="1" x14ac:dyDescent="0.3">
      <c r="G3344" s="101"/>
      <c r="H3344" s="101"/>
      <c r="I3344" s="101"/>
      <c r="K3344" s="226"/>
      <c r="L3344" s="226"/>
      <c r="M3344" s="101"/>
      <c r="N3344" s="101"/>
    </row>
    <row r="3345" spans="7:14" hidden="1" x14ac:dyDescent="0.3">
      <c r="G3345" s="101"/>
      <c r="H3345" s="101"/>
      <c r="I3345" s="101"/>
      <c r="K3345" s="226"/>
      <c r="L3345" s="226"/>
      <c r="M3345" s="101"/>
      <c r="N3345" s="101"/>
    </row>
    <row r="3346" spans="7:14" hidden="1" x14ac:dyDescent="0.3">
      <c r="G3346" s="101"/>
      <c r="H3346" s="101"/>
      <c r="I3346" s="101"/>
      <c r="K3346" s="226"/>
      <c r="L3346" s="226"/>
      <c r="M3346" s="101"/>
      <c r="N3346" s="101"/>
    </row>
    <row r="3347" spans="7:14" hidden="1" x14ac:dyDescent="0.3">
      <c r="G3347" s="101"/>
      <c r="H3347" s="101"/>
      <c r="I3347" s="101"/>
      <c r="K3347" s="226"/>
      <c r="L3347" s="226"/>
      <c r="M3347" s="101"/>
      <c r="N3347" s="101"/>
    </row>
    <row r="3348" spans="7:14" hidden="1" x14ac:dyDescent="0.3">
      <c r="G3348" s="101"/>
      <c r="H3348" s="101"/>
      <c r="I3348" s="101"/>
      <c r="K3348" s="226"/>
      <c r="L3348" s="226"/>
      <c r="M3348" s="101"/>
      <c r="N3348" s="101"/>
    </row>
    <row r="3349" spans="7:14" hidden="1" x14ac:dyDescent="0.3">
      <c r="G3349" s="101"/>
      <c r="H3349" s="101"/>
      <c r="I3349" s="101"/>
      <c r="K3349" s="226"/>
      <c r="L3349" s="226"/>
      <c r="M3349" s="101"/>
      <c r="N3349" s="101"/>
    </row>
    <row r="3350" spans="7:14" hidden="1" x14ac:dyDescent="0.3">
      <c r="G3350" s="101"/>
      <c r="H3350" s="101"/>
      <c r="I3350" s="101"/>
      <c r="K3350" s="226"/>
      <c r="L3350" s="226"/>
      <c r="M3350" s="101"/>
      <c r="N3350" s="101"/>
    </row>
    <row r="3351" spans="7:14" hidden="1" x14ac:dyDescent="0.3">
      <c r="G3351" s="101"/>
      <c r="H3351" s="101"/>
      <c r="I3351" s="101"/>
      <c r="K3351" s="226"/>
      <c r="L3351" s="226"/>
      <c r="M3351" s="101"/>
      <c r="N3351" s="101"/>
    </row>
    <row r="3352" spans="7:14" hidden="1" x14ac:dyDescent="0.3">
      <c r="G3352" s="101"/>
      <c r="H3352" s="101"/>
      <c r="I3352" s="101"/>
      <c r="K3352" s="226"/>
      <c r="L3352" s="226"/>
      <c r="M3352" s="101"/>
      <c r="N3352" s="101"/>
    </row>
    <row r="3353" spans="7:14" hidden="1" x14ac:dyDescent="0.3">
      <c r="G3353" s="101"/>
      <c r="H3353" s="101"/>
      <c r="I3353" s="101"/>
      <c r="K3353" s="226"/>
      <c r="L3353" s="226"/>
      <c r="M3353" s="101"/>
      <c r="N3353" s="101"/>
    </row>
    <row r="3354" spans="7:14" hidden="1" x14ac:dyDescent="0.3">
      <c r="G3354" s="101"/>
      <c r="H3354" s="101"/>
      <c r="I3354" s="101"/>
      <c r="K3354" s="226"/>
      <c r="L3354" s="226"/>
      <c r="M3354" s="101"/>
      <c r="N3354" s="101"/>
    </row>
    <row r="3355" spans="7:14" hidden="1" x14ac:dyDescent="0.3">
      <c r="G3355" s="101"/>
      <c r="H3355" s="101"/>
      <c r="I3355" s="101"/>
      <c r="K3355" s="226"/>
      <c r="L3355" s="226"/>
      <c r="M3355" s="101"/>
      <c r="N3355" s="101"/>
    </row>
    <row r="3356" spans="7:14" hidden="1" x14ac:dyDescent="0.3">
      <c r="G3356" s="101"/>
      <c r="H3356" s="101"/>
      <c r="I3356" s="101"/>
      <c r="K3356" s="226"/>
      <c r="L3356" s="226"/>
      <c r="M3356" s="101"/>
      <c r="N3356" s="101"/>
    </row>
    <row r="3357" spans="7:14" hidden="1" x14ac:dyDescent="0.3">
      <c r="G3357" s="101"/>
      <c r="H3357" s="101"/>
      <c r="I3357" s="101"/>
      <c r="K3357" s="226"/>
      <c r="L3357" s="226"/>
      <c r="M3357" s="101"/>
      <c r="N3357" s="101"/>
    </row>
    <row r="3358" spans="7:14" hidden="1" x14ac:dyDescent="0.3">
      <c r="G3358" s="101"/>
      <c r="H3358" s="101"/>
      <c r="I3358" s="101"/>
      <c r="K3358" s="226"/>
      <c r="L3358" s="226"/>
      <c r="M3358" s="101"/>
      <c r="N3358" s="101"/>
    </row>
    <row r="3359" spans="7:14" hidden="1" x14ac:dyDescent="0.3">
      <c r="G3359" s="101"/>
      <c r="H3359" s="101"/>
      <c r="I3359" s="101"/>
      <c r="K3359" s="226"/>
      <c r="L3359" s="226"/>
      <c r="M3359" s="101"/>
      <c r="N3359" s="101"/>
    </row>
    <row r="3360" spans="7:14" hidden="1" x14ac:dyDescent="0.3">
      <c r="G3360" s="101"/>
      <c r="H3360" s="101"/>
      <c r="I3360" s="101"/>
      <c r="K3360" s="226"/>
      <c r="L3360" s="226"/>
      <c r="M3360" s="101"/>
      <c r="N3360" s="101"/>
    </row>
    <row r="3361" spans="7:14" hidden="1" x14ac:dyDescent="0.3">
      <c r="G3361" s="101"/>
      <c r="H3361" s="101"/>
      <c r="I3361" s="101"/>
      <c r="K3361" s="226"/>
      <c r="L3361" s="226"/>
      <c r="M3361" s="101"/>
      <c r="N3361" s="101"/>
    </row>
    <row r="3362" spans="7:14" hidden="1" x14ac:dyDescent="0.3">
      <c r="G3362" s="101"/>
      <c r="H3362" s="101"/>
      <c r="I3362" s="101"/>
      <c r="K3362" s="226"/>
      <c r="L3362" s="226"/>
      <c r="M3362" s="101"/>
      <c r="N3362" s="101"/>
    </row>
    <row r="3363" spans="7:14" hidden="1" x14ac:dyDescent="0.3">
      <c r="G3363" s="101"/>
      <c r="H3363" s="101"/>
      <c r="I3363" s="101"/>
      <c r="K3363" s="226"/>
      <c r="L3363" s="226"/>
      <c r="M3363" s="101"/>
      <c r="N3363" s="101"/>
    </row>
    <row r="3364" spans="7:14" hidden="1" x14ac:dyDescent="0.3">
      <c r="G3364" s="101"/>
      <c r="H3364" s="101"/>
      <c r="I3364" s="101"/>
      <c r="K3364" s="226"/>
      <c r="L3364" s="226"/>
      <c r="M3364" s="101"/>
      <c r="N3364" s="101"/>
    </row>
    <row r="3365" spans="7:14" hidden="1" x14ac:dyDescent="0.3">
      <c r="G3365" s="101"/>
      <c r="H3365" s="101"/>
      <c r="I3365" s="101"/>
      <c r="K3365" s="226"/>
      <c r="L3365" s="226"/>
      <c r="M3365" s="101"/>
      <c r="N3365" s="101"/>
    </row>
    <row r="3366" spans="7:14" hidden="1" x14ac:dyDescent="0.3">
      <c r="G3366" s="101"/>
      <c r="H3366" s="101"/>
      <c r="I3366" s="101"/>
      <c r="K3366" s="226"/>
      <c r="L3366" s="226"/>
      <c r="M3366" s="101"/>
      <c r="N3366" s="101"/>
    </row>
    <row r="3367" spans="7:14" hidden="1" x14ac:dyDescent="0.3">
      <c r="G3367" s="101"/>
      <c r="H3367" s="101"/>
      <c r="I3367" s="101"/>
      <c r="K3367" s="226"/>
      <c r="L3367" s="226"/>
      <c r="M3367" s="101"/>
      <c r="N3367" s="101"/>
    </row>
    <row r="3368" spans="7:14" hidden="1" x14ac:dyDescent="0.3">
      <c r="G3368" s="101"/>
      <c r="H3368" s="101"/>
      <c r="I3368" s="101"/>
      <c r="K3368" s="226"/>
      <c r="L3368" s="226"/>
      <c r="M3368" s="101"/>
      <c r="N3368" s="101"/>
    </row>
    <row r="3369" spans="7:14" hidden="1" x14ac:dyDescent="0.3">
      <c r="G3369" s="101"/>
      <c r="H3369" s="101"/>
      <c r="I3369" s="101"/>
      <c r="K3369" s="226"/>
      <c r="L3369" s="226"/>
      <c r="M3369" s="101"/>
      <c r="N3369" s="101"/>
    </row>
    <row r="3370" spans="7:14" hidden="1" x14ac:dyDescent="0.3">
      <c r="G3370" s="101"/>
      <c r="H3370" s="101"/>
      <c r="I3370" s="101"/>
      <c r="K3370" s="226"/>
      <c r="L3370" s="226"/>
      <c r="M3370" s="101"/>
      <c r="N3370" s="101"/>
    </row>
    <row r="3371" spans="7:14" hidden="1" x14ac:dyDescent="0.3">
      <c r="G3371" s="101"/>
      <c r="H3371" s="101"/>
      <c r="I3371" s="101"/>
      <c r="K3371" s="226"/>
      <c r="L3371" s="226"/>
      <c r="M3371" s="101"/>
      <c r="N3371" s="101"/>
    </row>
    <row r="3372" spans="7:14" hidden="1" x14ac:dyDescent="0.3">
      <c r="G3372" s="101"/>
      <c r="H3372" s="101"/>
      <c r="I3372" s="101"/>
      <c r="K3372" s="226"/>
      <c r="L3372" s="226"/>
      <c r="M3372" s="101"/>
      <c r="N3372" s="101"/>
    </row>
    <row r="3373" spans="7:14" hidden="1" x14ac:dyDescent="0.3">
      <c r="G3373" s="101"/>
      <c r="H3373" s="101"/>
      <c r="I3373" s="101"/>
      <c r="K3373" s="226"/>
      <c r="L3373" s="226"/>
      <c r="M3373" s="101"/>
      <c r="N3373" s="101"/>
    </row>
    <row r="3374" spans="7:14" hidden="1" x14ac:dyDescent="0.3">
      <c r="G3374" s="101"/>
      <c r="H3374" s="101"/>
      <c r="I3374" s="101"/>
      <c r="K3374" s="226"/>
      <c r="L3374" s="226"/>
      <c r="M3374" s="101"/>
      <c r="N3374" s="101"/>
    </row>
    <row r="3375" spans="7:14" hidden="1" x14ac:dyDescent="0.3">
      <c r="G3375" s="101"/>
      <c r="H3375" s="101"/>
      <c r="I3375" s="101"/>
      <c r="K3375" s="226"/>
      <c r="L3375" s="226"/>
      <c r="M3375" s="101"/>
      <c r="N3375" s="101"/>
    </row>
    <row r="3376" spans="7:14" hidden="1" x14ac:dyDescent="0.3">
      <c r="G3376" s="101"/>
      <c r="H3376" s="101"/>
      <c r="I3376" s="101"/>
      <c r="K3376" s="226"/>
      <c r="L3376" s="226"/>
      <c r="M3376" s="101"/>
      <c r="N3376" s="101"/>
    </row>
    <row r="3377" spans="7:14" hidden="1" x14ac:dyDescent="0.3">
      <c r="G3377" s="101"/>
      <c r="H3377" s="101"/>
      <c r="I3377" s="101"/>
      <c r="K3377" s="226"/>
      <c r="L3377" s="226"/>
      <c r="M3377" s="101"/>
      <c r="N3377" s="101"/>
    </row>
    <row r="3378" spans="7:14" hidden="1" x14ac:dyDescent="0.3">
      <c r="G3378" s="101"/>
      <c r="H3378" s="101"/>
      <c r="I3378" s="101"/>
      <c r="K3378" s="226"/>
      <c r="L3378" s="226"/>
      <c r="M3378" s="101"/>
      <c r="N3378" s="101"/>
    </row>
    <row r="3379" spans="7:14" hidden="1" x14ac:dyDescent="0.3">
      <c r="G3379" s="101"/>
      <c r="H3379" s="101"/>
      <c r="I3379" s="101"/>
      <c r="K3379" s="226"/>
      <c r="L3379" s="226"/>
      <c r="M3379" s="101"/>
      <c r="N3379" s="101"/>
    </row>
    <row r="3380" spans="7:14" hidden="1" x14ac:dyDescent="0.3">
      <c r="G3380" s="101"/>
      <c r="H3380" s="101"/>
      <c r="I3380" s="101"/>
      <c r="K3380" s="226"/>
      <c r="L3380" s="226"/>
      <c r="M3380" s="101"/>
      <c r="N3380" s="101"/>
    </row>
    <row r="3381" spans="7:14" hidden="1" x14ac:dyDescent="0.3">
      <c r="G3381" s="101"/>
      <c r="H3381" s="101"/>
      <c r="I3381" s="101"/>
      <c r="K3381" s="226"/>
      <c r="L3381" s="226"/>
      <c r="M3381" s="101"/>
      <c r="N3381" s="101"/>
    </row>
    <row r="3382" spans="7:14" hidden="1" x14ac:dyDescent="0.3">
      <c r="G3382" s="101"/>
      <c r="H3382" s="101"/>
      <c r="I3382" s="101"/>
      <c r="K3382" s="226"/>
      <c r="L3382" s="226"/>
      <c r="M3382" s="101"/>
      <c r="N3382" s="101"/>
    </row>
    <row r="3383" spans="7:14" hidden="1" x14ac:dyDescent="0.3">
      <c r="G3383" s="101"/>
      <c r="H3383" s="101"/>
      <c r="I3383" s="101"/>
      <c r="K3383" s="226"/>
      <c r="L3383" s="226"/>
      <c r="M3383" s="101"/>
      <c r="N3383" s="101"/>
    </row>
    <row r="3384" spans="7:14" hidden="1" x14ac:dyDescent="0.3">
      <c r="G3384" s="101"/>
      <c r="H3384" s="101"/>
      <c r="I3384" s="101"/>
      <c r="K3384" s="226"/>
      <c r="L3384" s="226"/>
      <c r="M3384" s="101"/>
      <c r="N3384" s="101"/>
    </row>
    <row r="3385" spans="7:14" hidden="1" x14ac:dyDescent="0.3">
      <c r="G3385" s="101"/>
      <c r="H3385" s="101"/>
      <c r="I3385" s="101"/>
      <c r="K3385" s="226"/>
      <c r="L3385" s="226"/>
      <c r="M3385" s="101"/>
      <c r="N3385" s="101"/>
    </row>
    <row r="3386" spans="7:14" hidden="1" x14ac:dyDescent="0.3">
      <c r="G3386" s="101"/>
      <c r="H3386" s="101"/>
      <c r="I3386" s="101"/>
      <c r="K3386" s="226"/>
      <c r="L3386" s="226"/>
      <c r="M3386" s="101"/>
      <c r="N3386" s="101"/>
    </row>
    <row r="3387" spans="7:14" hidden="1" x14ac:dyDescent="0.3">
      <c r="G3387" s="101"/>
      <c r="H3387" s="101"/>
      <c r="I3387" s="101"/>
      <c r="K3387" s="226"/>
      <c r="L3387" s="226"/>
      <c r="M3387" s="101"/>
      <c r="N3387" s="101"/>
    </row>
    <row r="3388" spans="7:14" hidden="1" x14ac:dyDescent="0.3">
      <c r="G3388" s="101"/>
      <c r="H3388" s="101"/>
      <c r="I3388" s="101"/>
      <c r="K3388" s="226"/>
      <c r="L3388" s="226"/>
      <c r="M3388" s="101"/>
      <c r="N3388" s="101"/>
    </row>
    <row r="3389" spans="7:14" hidden="1" x14ac:dyDescent="0.3">
      <c r="G3389" s="101"/>
      <c r="H3389" s="101"/>
      <c r="I3389" s="101"/>
      <c r="K3389" s="226"/>
      <c r="L3389" s="226"/>
      <c r="M3389" s="101"/>
      <c r="N3389" s="101"/>
    </row>
    <row r="3390" spans="7:14" hidden="1" x14ac:dyDescent="0.3">
      <c r="G3390" s="101"/>
      <c r="H3390" s="101"/>
      <c r="I3390" s="101"/>
      <c r="K3390" s="226"/>
      <c r="L3390" s="226"/>
      <c r="M3390" s="101"/>
      <c r="N3390" s="101"/>
    </row>
    <row r="3391" spans="7:14" hidden="1" x14ac:dyDescent="0.3">
      <c r="G3391" s="101"/>
      <c r="H3391" s="101"/>
      <c r="I3391" s="101"/>
      <c r="K3391" s="226"/>
      <c r="L3391" s="226"/>
      <c r="M3391" s="101"/>
      <c r="N3391" s="101"/>
    </row>
    <row r="3392" spans="7:14" hidden="1" x14ac:dyDescent="0.3">
      <c r="G3392" s="101"/>
      <c r="H3392" s="101"/>
      <c r="I3392" s="101"/>
      <c r="K3392" s="226"/>
      <c r="L3392" s="226"/>
      <c r="M3392" s="101"/>
      <c r="N3392" s="101"/>
    </row>
    <row r="3393" spans="7:14" hidden="1" x14ac:dyDescent="0.3">
      <c r="G3393" s="101"/>
      <c r="H3393" s="101"/>
      <c r="I3393" s="101"/>
      <c r="K3393" s="226"/>
      <c r="L3393" s="226"/>
      <c r="M3393" s="101"/>
      <c r="N3393" s="101"/>
    </row>
    <row r="3394" spans="7:14" hidden="1" x14ac:dyDescent="0.3">
      <c r="G3394" s="101"/>
      <c r="H3394" s="101"/>
      <c r="I3394" s="101"/>
      <c r="K3394" s="226"/>
      <c r="L3394" s="226"/>
      <c r="M3394" s="101"/>
      <c r="N3394" s="101"/>
    </row>
    <row r="3395" spans="7:14" hidden="1" x14ac:dyDescent="0.3">
      <c r="G3395" s="101"/>
      <c r="H3395" s="101"/>
      <c r="I3395" s="101"/>
      <c r="K3395" s="226"/>
      <c r="L3395" s="226"/>
      <c r="M3395" s="101"/>
      <c r="N3395" s="101"/>
    </row>
    <row r="3396" spans="7:14" hidden="1" x14ac:dyDescent="0.3">
      <c r="G3396" s="101"/>
      <c r="H3396" s="101"/>
      <c r="I3396" s="101"/>
      <c r="K3396" s="226"/>
      <c r="L3396" s="226"/>
      <c r="M3396" s="101"/>
      <c r="N3396" s="101"/>
    </row>
    <row r="3397" spans="7:14" hidden="1" x14ac:dyDescent="0.3">
      <c r="G3397" s="101"/>
      <c r="H3397" s="101"/>
      <c r="I3397" s="101"/>
      <c r="K3397" s="226"/>
      <c r="L3397" s="226"/>
      <c r="M3397" s="101"/>
      <c r="N3397" s="101"/>
    </row>
    <row r="3398" spans="7:14" hidden="1" x14ac:dyDescent="0.3">
      <c r="G3398" s="101"/>
      <c r="H3398" s="101"/>
      <c r="I3398" s="101"/>
      <c r="K3398" s="226"/>
      <c r="L3398" s="226"/>
      <c r="M3398" s="101"/>
      <c r="N3398" s="101"/>
    </row>
    <row r="3399" spans="7:14" hidden="1" x14ac:dyDescent="0.3">
      <c r="G3399" s="101"/>
      <c r="H3399" s="101"/>
      <c r="I3399" s="101"/>
      <c r="K3399" s="226"/>
      <c r="L3399" s="226"/>
      <c r="M3399" s="101"/>
      <c r="N3399" s="101"/>
    </row>
    <row r="3400" spans="7:14" hidden="1" x14ac:dyDescent="0.3">
      <c r="G3400" s="101"/>
      <c r="H3400" s="101"/>
      <c r="I3400" s="101"/>
      <c r="K3400" s="226"/>
      <c r="L3400" s="226"/>
      <c r="M3400" s="101"/>
      <c r="N3400" s="101"/>
    </row>
    <row r="3401" spans="7:14" hidden="1" x14ac:dyDescent="0.3">
      <c r="G3401" s="101"/>
      <c r="H3401" s="101"/>
      <c r="I3401" s="101"/>
      <c r="K3401" s="226"/>
      <c r="L3401" s="226"/>
      <c r="M3401" s="101"/>
      <c r="N3401" s="101"/>
    </row>
    <row r="3402" spans="7:14" hidden="1" x14ac:dyDescent="0.3">
      <c r="G3402" s="101"/>
      <c r="H3402" s="101"/>
      <c r="I3402" s="101"/>
      <c r="K3402" s="226"/>
      <c r="L3402" s="226"/>
      <c r="M3402" s="101"/>
      <c r="N3402" s="101"/>
    </row>
    <row r="3403" spans="7:14" hidden="1" x14ac:dyDescent="0.3">
      <c r="G3403" s="101"/>
      <c r="H3403" s="101"/>
      <c r="I3403" s="101"/>
      <c r="K3403" s="226"/>
      <c r="L3403" s="226"/>
      <c r="M3403" s="101"/>
      <c r="N3403" s="101"/>
    </row>
    <row r="3404" spans="7:14" hidden="1" x14ac:dyDescent="0.3">
      <c r="G3404" s="101"/>
      <c r="H3404" s="101"/>
      <c r="I3404" s="101"/>
      <c r="K3404" s="226"/>
      <c r="L3404" s="226"/>
      <c r="M3404" s="101"/>
      <c r="N3404" s="101"/>
    </row>
    <row r="3405" spans="7:14" hidden="1" x14ac:dyDescent="0.3">
      <c r="G3405" s="101"/>
      <c r="H3405" s="101"/>
      <c r="I3405" s="101"/>
      <c r="K3405" s="226"/>
      <c r="L3405" s="226"/>
      <c r="M3405" s="101"/>
      <c r="N3405" s="101"/>
    </row>
    <row r="3406" spans="7:14" hidden="1" x14ac:dyDescent="0.3">
      <c r="G3406" s="101"/>
      <c r="H3406" s="101"/>
      <c r="I3406" s="101"/>
      <c r="K3406" s="226"/>
      <c r="L3406" s="226"/>
      <c r="M3406" s="101"/>
      <c r="N3406" s="101"/>
    </row>
    <row r="3407" spans="7:14" hidden="1" x14ac:dyDescent="0.3">
      <c r="G3407" s="101"/>
      <c r="H3407" s="101"/>
      <c r="I3407" s="101"/>
      <c r="K3407" s="226"/>
      <c r="L3407" s="226"/>
      <c r="M3407" s="101"/>
      <c r="N3407" s="101"/>
    </row>
    <row r="3408" spans="7:14" hidden="1" x14ac:dyDescent="0.3">
      <c r="G3408" s="101"/>
      <c r="H3408" s="101"/>
      <c r="I3408" s="101"/>
      <c r="K3408" s="226"/>
      <c r="L3408" s="226"/>
      <c r="M3408" s="101"/>
      <c r="N3408" s="101"/>
    </row>
    <row r="3409" spans="7:14" hidden="1" x14ac:dyDescent="0.3">
      <c r="G3409" s="101"/>
      <c r="H3409" s="101"/>
      <c r="I3409" s="101"/>
      <c r="K3409" s="226"/>
      <c r="L3409" s="226"/>
      <c r="M3409" s="101"/>
      <c r="N3409" s="101"/>
    </row>
    <row r="3410" spans="7:14" hidden="1" x14ac:dyDescent="0.3">
      <c r="G3410" s="101"/>
      <c r="H3410" s="101"/>
      <c r="I3410" s="101"/>
      <c r="K3410" s="226"/>
      <c r="L3410" s="226"/>
      <c r="M3410" s="101"/>
      <c r="N3410" s="101"/>
    </row>
    <row r="3411" spans="7:14" hidden="1" x14ac:dyDescent="0.3">
      <c r="G3411" s="101"/>
      <c r="H3411" s="101"/>
      <c r="I3411" s="101"/>
      <c r="K3411" s="226"/>
      <c r="L3411" s="226"/>
      <c r="M3411" s="101"/>
      <c r="N3411" s="101"/>
    </row>
    <row r="3412" spans="7:14" hidden="1" x14ac:dyDescent="0.3">
      <c r="G3412" s="101"/>
      <c r="H3412" s="101"/>
      <c r="I3412" s="101"/>
      <c r="K3412" s="226"/>
      <c r="L3412" s="226"/>
      <c r="M3412" s="101"/>
      <c r="N3412" s="101"/>
    </row>
    <row r="3413" spans="7:14" hidden="1" x14ac:dyDescent="0.3">
      <c r="G3413" s="101"/>
      <c r="H3413" s="101"/>
      <c r="I3413" s="101"/>
      <c r="K3413" s="226"/>
      <c r="L3413" s="226"/>
      <c r="M3413" s="101"/>
      <c r="N3413" s="101"/>
    </row>
    <row r="3414" spans="7:14" hidden="1" x14ac:dyDescent="0.3">
      <c r="G3414" s="101"/>
      <c r="H3414" s="101"/>
      <c r="I3414" s="101"/>
      <c r="K3414" s="226"/>
      <c r="L3414" s="226"/>
      <c r="M3414" s="101"/>
      <c r="N3414" s="101"/>
    </row>
    <row r="3415" spans="7:14" hidden="1" x14ac:dyDescent="0.3">
      <c r="G3415" s="101"/>
      <c r="H3415" s="101"/>
      <c r="I3415" s="101"/>
      <c r="K3415" s="226"/>
      <c r="L3415" s="226"/>
      <c r="M3415" s="101"/>
      <c r="N3415" s="101"/>
    </row>
    <row r="3416" spans="7:14" hidden="1" x14ac:dyDescent="0.3">
      <c r="G3416" s="101"/>
      <c r="H3416" s="101"/>
      <c r="I3416" s="101"/>
      <c r="K3416" s="226"/>
      <c r="L3416" s="226"/>
      <c r="M3416" s="101"/>
      <c r="N3416" s="101"/>
    </row>
    <row r="3417" spans="7:14" hidden="1" x14ac:dyDescent="0.3">
      <c r="G3417" s="101"/>
      <c r="H3417" s="101"/>
      <c r="I3417" s="101"/>
      <c r="K3417" s="226"/>
      <c r="L3417" s="226"/>
      <c r="M3417" s="101"/>
      <c r="N3417" s="101"/>
    </row>
    <row r="3418" spans="7:14" hidden="1" x14ac:dyDescent="0.3">
      <c r="G3418" s="101"/>
      <c r="H3418" s="101"/>
      <c r="I3418" s="101"/>
      <c r="K3418" s="226"/>
      <c r="L3418" s="226"/>
      <c r="M3418" s="101"/>
      <c r="N3418" s="101"/>
    </row>
    <row r="3419" spans="7:14" hidden="1" x14ac:dyDescent="0.3">
      <c r="G3419" s="101"/>
      <c r="H3419" s="101"/>
      <c r="I3419" s="101"/>
      <c r="K3419" s="226"/>
      <c r="L3419" s="226"/>
      <c r="M3419" s="101"/>
      <c r="N3419" s="101"/>
    </row>
    <row r="3420" spans="7:14" hidden="1" x14ac:dyDescent="0.3">
      <c r="G3420" s="101"/>
      <c r="H3420" s="101"/>
      <c r="I3420" s="101"/>
      <c r="K3420" s="226"/>
      <c r="L3420" s="226"/>
      <c r="M3420" s="101"/>
      <c r="N3420" s="101"/>
    </row>
    <row r="3421" spans="7:14" hidden="1" x14ac:dyDescent="0.3">
      <c r="G3421" s="101"/>
      <c r="H3421" s="101"/>
      <c r="I3421" s="101"/>
      <c r="K3421" s="226"/>
      <c r="L3421" s="226"/>
      <c r="M3421" s="101"/>
      <c r="N3421" s="101"/>
    </row>
    <row r="3422" spans="7:14" hidden="1" x14ac:dyDescent="0.3">
      <c r="G3422" s="101"/>
      <c r="H3422" s="101"/>
      <c r="I3422" s="101"/>
      <c r="K3422" s="226"/>
      <c r="L3422" s="226"/>
      <c r="M3422" s="101"/>
      <c r="N3422" s="101"/>
    </row>
    <row r="3423" spans="7:14" hidden="1" x14ac:dyDescent="0.3">
      <c r="G3423" s="101"/>
      <c r="H3423" s="101"/>
      <c r="I3423" s="101"/>
      <c r="K3423" s="226"/>
      <c r="L3423" s="226"/>
      <c r="M3423" s="101"/>
      <c r="N3423" s="101"/>
    </row>
    <row r="3424" spans="7:14" hidden="1" x14ac:dyDescent="0.3">
      <c r="G3424" s="101"/>
      <c r="H3424" s="101"/>
      <c r="I3424" s="101"/>
      <c r="K3424" s="226"/>
      <c r="L3424" s="226"/>
      <c r="M3424" s="101"/>
      <c r="N3424" s="101"/>
    </row>
    <row r="3425" spans="7:14" hidden="1" x14ac:dyDescent="0.3">
      <c r="G3425" s="101"/>
      <c r="H3425" s="101"/>
      <c r="I3425" s="101"/>
      <c r="K3425" s="226"/>
      <c r="L3425" s="226"/>
      <c r="M3425" s="101"/>
      <c r="N3425" s="101"/>
    </row>
    <row r="3426" spans="7:14" hidden="1" x14ac:dyDescent="0.3">
      <c r="G3426" s="101"/>
      <c r="H3426" s="101"/>
      <c r="I3426" s="101"/>
      <c r="K3426" s="226"/>
      <c r="L3426" s="226"/>
      <c r="M3426" s="101"/>
      <c r="N3426" s="101"/>
    </row>
    <row r="3427" spans="7:14" hidden="1" x14ac:dyDescent="0.3">
      <c r="G3427" s="101"/>
      <c r="H3427" s="101"/>
      <c r="I3427" s="101"/>
      <c r="K3427" s="226"/>
      <c r="L3427" s="226"/>
      <c r="M3427" s="101"/>
      <c r="N3427" s="101"/>
    </row>
    <row r="3428" spans="7:14" hidden="1" x14ac:dyDescent="0.3">
      <c r="G3428" s="101"/>
      <c r="H3428" s="101"/>
      <c r="I3428" s="101"/>
      <c r="K3428" s="226"/>
      <c r="L3428" s="226"/>
      <c r="M3428" s="101"/>
      <c r="N3428" s="101"/>
    </row>
    <row r="3429" spans="7:14" hidden="1" x14ac:dyDescent="0.3">
      <c r="G3429" s="101"/>
      <c r="H3429" s="101"/>
      <c r="I3429" s="101"/>
      <c r="K3429" s="226"/>
      <c r="L3429" s="226"/>
      <c r="M3429" s="101"/>
      <c r="N3429" s="101"/>
    </row>
    <row r="3430" spans="7:14" hidden="1" x14ac:dyDescent="0.3">
      <c r="G3430" s="101"/>
      <c r="H3430" s="101"/>
      <c r="I3430" s="101"/>
      <c r="K3430" s="226"/>
      <c r="L3430" s="226"/>
      <c r="M3430" s="101"/>
      <c r="N3430" s="101"/>
    </row>
    <row r="3431" spans="7:14" hidden="1" x14ac:dyDescent="0.3">
      <c r="G3431" s="101"/>
      <c r="H3431" s="101"/>
      <c r="I3431" s="101"/>
      <c r="K3431" s="226"/>
      <c r="L3431" s="226"/>
      <c r="M3431" s="101"/>
      <c r="N3431" s="101"/>
    </row>
    <row r="3432" spans="7:14" hidden="1" x14ac:dyDescent="0.3">
      <c r="G3432" s="101"/>
      <c r="H3432" s="101"/>
      <c r="I3432" s="101"/>
      <c r="K3432" s="226"/>
      <c r="L3432" s="226"/>
      <c r="M3432" s="101"/>
      <c r="N3432" s="101"/>
    </row>
    <row r="3433" spans="7:14" hidden="1" x14ac:dyDescent="0.3">
      <c r="G3433" s="101"/>
      <c r="H3433" s="101"/>
      <c r="I3433" s="101"/>
      <c r="K3433" s="226"/>
      <c r="L3433" s="226"/>
      <c r="M3433" s="101"/>
      <c r="N3433" s="101"/>
    </row>
    <row r="3434" spans="7:14" hidden="1" x14ac:dyDescent="0.3">
      <c r="G3434" s="101"/>
      <c r="H3434" s="101"/>
      <c r="I3434" s="101"/>
      <c r="K3434" s="226"/>
      <c r="L3434" s="226"/>
      <c r="M3434" s="101"/>
      <c r="N3434" s="101"/>
    </row>
    <row r="3435" spans="7:14" hidden="1" x14ac:dyDescent="0.3">
      <c r="G3435" s="101"/>
      <c r="H3435" s="101"/>
      <c r="I3435" s="101"/>
      <c r="K3435" s="226"/>
      <c r="L3435" s="226"/>
      <c r="M3435" s="101"/>
      <c r="N3435" s="101"/>
    </row>
    <row r="3436" spans="7:14" hidden="1" x14ac:dyDescent="0.3">
      <c r="G3436" s="101"/>
      <c r="H3436" s="101"/>
      <c r="I3436" s="101"/>
      <c r="K3436" s="226"/>
      <c r="L3436" s="226"/>
      <c r="M3436" s="101"/>
      <c r="N3436" s="101"/>
    </row>
    <row r="3437" spans="7:14" hidden="1" x14ac:dyDescent="0.3">
      <c r="G3437" s="101"/>
      <c r="H3437" s="101"/>
      <c r="I3437" s="101"/>
      <c r="K3437" s="226"/>
      <c r="L3437" s="226"/>
      <c r="M3437" s="101"/>
      <c r="N3437" s="101"/>
    </row>
    <row r="3438" spans="7:14" hidden="1" x14ac:dyDescent="0.3">
      <c r="G3438" s="101"/>
      <c r="H3438" s="101"/>
      <c r="I3438" s="101"/>
      <c r="K3438" s="226"/>
      <c r="L3438" s="226"/>
      <c r="M3438" s="101"/>
      <c r="N3438" s="101"/>
    </row>
    <row r="3439" spans="7:14" hidden="1" x14ac:dyDescent="0.3">
      <c r="G3439" s="101"/>
      <c r="H3439" s="101"/>
      <c r="I3439" s="101"/>
      <c r="K3439" s="226"/>
      <c r="L3439" s="226"/>
      <c r="M3439" s="101"/>
      <c r="N3439" s="101"/>
    </row>
    <row r="3440" spans="7:14" hidden="1" x14ac:dyDescent="0.3">
      <c r="G3440" s="101"/>
      <c r="H3440" s="101"/>
      <c r="I3440" s="101"/>
      <c r="K3440" s="226"/>
      <c r="L3440" s="226"/>
      <c r="M3440" s="101"/>
      <c r="N3440" s="101"/>
    </row>
    <row r="3441" spans="7:14" hidden="1" x14ac:dyDescent="0.3">
      <c r="G3441" s="101"/>
      <c r="H3441" s="101"/>
      <c r="I3441" s="101"/>
      <c r="K3441" s="226"/>
      <c r="L3441" s="226"/>
      <c r="M3441" s="101"/>
      <c r="N3441" s="101"/>
    </row>
    <row r="3442" spans="7:14" hidden="1" x14ac:dyDescent="0.3">
      <c r="G3442" s="101"/>
      <c r="H3442" s="101"/>
      <c r="I3442" s="101"/>
      <c r="K3442" s="226"/>
      <c r="L3442" s="226"/>
      <c r="M3442" s="101"/>
      <c r="N3442" s="101"/>
    </row>
    <row r="3443" spans="7:14" hidden="1" x14ac:dyDescent="0.3">
      <c r="G3443" s="101"/>
      <c r="H3443" s="101"/>
      <c r="I3443" s="101"/>
      <c r="K3443" s="226"/>
      <c r="L3443" s="226"/>
      <c r="M3443" s="101"/>
      <c r="N3443" s="101"/>
    </row>
    <row r="3444" spans="7:14" hidden="1" x14ac:dyDescent="0.3">
      <c r="G3444" s="101"/>
      <c r="H3444" s="101"/>
      <c r="I3444" s="101"/>
      <c r="K3444" s="226"/>
      <c r="L3444" s="226"/>
      <c r="M3444" s="101"/>
      <c r="N3444" s="101"/>
    </row>
    <row r="3445" spans="7:14" hidden="1" x14ac:dyDescent="0.3">
      <c r="G3445" s="101"/>
      <c r="H3445" s="101"/>
      <c r="I3445" s="101"/>
      <c r="K3445" s="226"/>
      <c r="L3445" s="226"/>
      <c r="M3445" s="101"/>
      <c r="N3445" s="101"/>
    </row>
    <row r="3446" spans="7:14" hidden="1" x14ac:dyDescent="0.3">
      <c r="G3446" s="101"/>
      <c r="H3446" s="101"/>
      <c r="I3446" s="101"/>
      <c r="K3446" s="226"/>
      <c r="L3446" s="226"/>
      <c r="M3446" s="101"/>
      <c r="N3446" s="101"/>
    </row>
    <row r="3447" spans="7:14" hidden="1" x14ac:dyDescent="0.3">
      <c r="G3447" s="101"/>
      <c r="H3447" s="101"/>
      <c r="I3447" s="101"/>
      <c r="K3447" s="226"/>
      <c r="L3447" s="226"/>
      <c r="M3447" s="101"/>
      <c r="N3447" s="101"/>
    </row>
    <row r="3448" spans="7:14" hidden="1" x14ac:dyDescent="0.3">
      <c r="G3448" s="101"/>
      <c r="H3448" s="101"/>
      <c r="I3448" s="101"/>
      <c r="K3448" s="226"/>
      <c r="L3448" s="226"/>
      <c r="M3448" s="101"/>
      <c r="N3448" s="101"/>
    </row>
    <row r="3449" spans="7:14" hidden="1" x14ac:dyDescent="0.3">
      <c r="G3449" s="101"/>
      <c r="H3449" s="101"/>
      <c r="I3449" s="101"/>
      <c r="K3449" s="226"/>
      <c r="L3449" s="226"/>
      <c r="M3449" s="101"/>
      <c r="N3449" s="101"/>
    </row>
    <row r="3450" spans="7:14" hidden="1" x14ac:dyDescent="0.3">
      <c r="G3450" s="101"/>
      <c r="H3450" s="101"/>
      <c r="I3450" s="101"/>
      <c r="K3450" s="226"/>
      <c r="L3450" s="226"/>
      <c r="M3450" s="101"/>
      <c r="N3450" s="101"/>
    </row>
    <row r="3451" spans="7:14" hidden="1" x14ac:dyDescent="0.3">
      <c r="G3451" s="101"/>
      <c r="H3451" s="101"/>
      <c r="I3451" s="101"/>
      <c r="K3451" s="226"/>
      <c r="L3451" s="226"/>
      <c r="M3451" s="101"/>
      <c r="N3451" s="101"/>
    </row>
    <row r="3452" spans="7:14" hidden="1" x14ac:dyDescent="0.3">
      <c r="G3452" s="101"/>
      <c r="H3452" s="101"/>
      <c r="I3452" s="101"/>
      <c r="K3452" s="226"/>
      <c r="L3452" s="226"/>
      <c r="M3452" s="101"/>
      <c r="N3452" s="101"/>
    </row>
    <row r="3453" spans="7:14" hidden="1" x14ac:dyDescent="0.3">
      <c r="G3453" s="101"/>
      <c r="H3453" s="101"/>
      <c r="I3453" s="101"/>
      <c r="K3453" s="226"/>
      <c r="L3453" s="226"/>
      <c r="M3453" s="101"/>
      <c r="N3453" s="101"/>
    </row>
    <row r="3454" spans="7:14" hidden="1" x14ac:dyDescent="0.3">
      <c r="G3454" s="101"/>
      <c r="H3454" s="101"/>
      <c r="I3454" s="101"/>
      <c r="K3454" s="226"/>
      <c r="L3454" s="226"/>
      <c r="M3454" s="101"/>
      <c r="N3454" s="101"/>
    </row>
    <row r="3455" spans="7:14" hidden="1" x14ac:dyDescent="0.3">
      <c r="G3455" s="101"/>
      <c r="H3455" s="101"/>
      <c r="I3455" s="101"/>
      <c r="K3455" s="226"/>
      <c r="L3455" s="226"/>
      <c r="M3455" s="101"/>
      <c r="N3455" s="101"/>
    </row>
    <row r="3456" spans="7:14" hidden="1" x14ac:dyDescent="0.3">
      <c r="G3456" s="101"/>
      <c r="H3456" s="101"/>
      <c r="I3456" s="101"/>
      <c r="K3456" s="226"/>
      <c r="L3456" s="226"/>
      <c r="M3456" s="101"/>
      <c r="N3456" s="101"/>
    </row>
    <row r="3457" spans="7:14" hidden="1" x14ac:dyDescent="0.3">
      <c r="G3457" s="101"/>
      <c r="H3457" s="101"/>
      <c r="I3457" s="101"/>
      <c r="K3457" s="226"/>
      <c r="L3457" s="226"/>
      <c r="M3457" s="101"/>
      <c r="N3457" s="101"/>
    </row>
    <row r="3458" spans="7:14" hidden="1" x14ac:dyDescent="0.3">
      <c r="G3458" s="101"/>
      <c r="H3458" s="101"/>
      <c r="I3458" s="101"/>
      <c r="K3458" s="226"/>
      <c r="L3458" s="226"/>
      <c r="M3458" s="101"/>
      <c r="N3458" s="101"/>
    </row>
    <row r="3459" spans="7:14" hidden="1" x14ac:dyDescent="0.3">
      <c r="G3459" s="101"/>
      <c r="H3459" s="101"/>
      <c r="I3459" s="101"/>
      <c r="K3459" s="226"/>
      <c r="L3459" s="226"/>
      <c r="M3459" s="101"/>
      <c r="N3459" s="101"/>
    </row>
    <row r="3460" spans="7:14" hidden="1" x14ac:dyDescent="0.3">
      <c r="G3460" s="101"/>
      <c r="H3460" s="101"/>
      <c r="I3460" s="101"/>
      <c r="K3460" s="226"/>
      <c r="L3460" s="226"/>
      <c r="M3460" s="101"/>
      <c r="N3460" s="101"/>
    </row>
    <row r="3461" spans="7:14" hidden="1" x14ac:dyDescent="0.3">
      <c r="G3461" s="101"/>
      <c r="H3461" s="101"/>
      <c r="I3461" s="101"/>
      <c r="K3461" s="226"/>
      <c r="L3461" s="226"/>
      <c r="M3461" s="101"/>
      <c r="N3461" s="101"/>
    </row>
    <row r="3462" spans="7:14" hidden="1" x14ac:dyDescent="0.3">
      <c r="G3462" s="101"/>
      <c r="H3462" s="101"/>
      <c r="I3462" s="101"/>
      <c r="K3462" s="226"/>
      <c r="L3462" s="226"/>
      <c r="M3462" s="101"/>
      <c r="N3462" s="101"/>
    </row>
    <row r="3463" spans="7:14" hidden="1" x14ac:dyDescent="0.3">
      <c r="G3463" s="101"/>
      <c r="H3463" s="101"/>
      <c r="I3463" s="101"/>
      <c r="K3463" s="226"/>
      <c r="L3463" s="226"/>
      <c r="M3463" s="101"/>
      <c r="N3463" s="101"/>
    </row>
    <row r="3464" spans="7:14" hidden="1" x14ac:dyDescent="0.3">
      <c r="G3464" s="101"/>
      <c r="H3464" s="101"/>
      <c r="I3464" s="101"/>
      <c r="K3464" s="226"/>
      <c r="L3464" s="226"/>
      <c r="M3464" s="101"/>
      <c r="N3464" s="101"/>
    </row>
    <row r="3465" spans="7:14" hidden="1" x14ac:dyDescent="0.3">
      <c r="G3465" s="101"/>
      <c r="H3465" s="101"/>
      <c r="I3465" s="101"/>
      <c r="K3465" s="226"/>
      <c r="L3465" s="226"/>
      <c r="M3465" s="101"/>
      <c r="N3465" s="101"/>
    </row>
    <row r="3466" spans="7:14" hidden="1" x14ac:dyDescent="0.3">
      <c r="G3466" s="101"/>
      <c r="H3466" s="101"/>
      <c r="I3466" s="101"/>
      <c r="K3466" s="226"/>
      <c r="L3466" s="226"/>
      <c r="M3466" s="101"/>
      <c r="N3466" s="101"/>
    </row>
    <row r="3467" spans="7:14" hidden="1" x14ac:dyDescent="0.3">
      <c r="G3467" s="101"/>
      <c r="H3467" s="101"/>
      <c r="I3467" s="101"/>
      <c r="K3467" s="226"/>
      <c r="L3467" s="226"/>
      <c r="M3467" s="101"/>
      <c r="N3467" s="101"/>
    </row>
    <row r="3468" spans="7:14" hidden="1" x14ac:dyDescent="0.3">
      <c r="G3468" s="101"/>
      <c r="H3468" s="101"/>
      <c r="I3468" s="101"/>
      <c r="K3468" s="226"/>
      <c r="L3468" s="226"/>
      <c r="M3468" s="101"/>
      <c r="N3468" s="101"/>
    </row>
    <row r="3469" spans="7:14" hidden="1" x14ac:dyDescent="0.3">
      <c r="G3469" s="101"/>
      <c r="H3469" s="101"/>
      <c r="I3469" s="101"/>
      <c r="K3469" s="226"/>
      <c r="L3469" s="226"/>
      <c r="M3469" s="101"/>
      <c r="N3469" s="101"/>
    </row>
    <row r="3470" spans="7:14" hidden="1" x14ac:dyDescent="0.3">
      <c r="G3470" s="101"/>
      <c r="H3470" s="101"/>
      <c r="I3470" s="101"/>
      <c r="K3470" s="226"/>
      <c r="L3470" s="226"/>
      <c r="M3470" s="101"/>
      <c r="N3470" s="101"/>
    </row>
    <row r="3471" spans="7:14" hidden="1" x14ac:dyDescent="0.3">
      <c r="G3471" s="101"/>
      <c r="H3471" s="101"/>
      <c r="I3471" s="101"/>
      <c r="K3471" s="226"/>
      <c r="L3471" s="226"/>
      <c r="M3471" s="101"/>
      <c r="N3471" s="101"/>
    </row>
    <row r="3472" spans="7:14" hidden="1" x14ac:dyDescent="0.3">
      <c r="G3472" s="101"/>
      <c r="H3472" s="101"/>
      <c r="I3472" s="101"/>
      <c r="K3472" s="226"/>
      <c r="L3472" s="226"/>
      <c r="M3472" s="101"/>
      <c r="N3472" s="101"/>
    </row>
    <row r="3473" spans="7:14" hidden="1" x14ac:dyDescent="0.3">
      <c r="G3473" s="101"/>
      <c r="H3473" s="101"/>
      <c r="I3473" s="101"/>
      <c r="K3473" s="226"/>
      <c r="L3473" s="226"/>
      <c r="M3473" s="101"/>
      <c r="N3473" s="101"/>
    </row>
    <row r="3474" spans="7:14" hidden="1" x14ac:dyDescent="0.3">
      <c r="G3474" s="101"/>
      <c r="H3474" s="101"/>
      <c r="I3474" s="101"/>
      <c r="K3474" s="226"/>
      <c r="L3474" s="226"/>
      <c r="M3474" s="101"/>
      <c r="N3474" s="101"/>
    </row>
    <row r="3475" spans="7:14" hidden="1" x14ac:dyDescent="0.3">
      <c r="G3475" s="101"/>
      <c r="H3475" s="101"/>
      <c r="I3475" s="101"/>
      <c r="K3475" s="226"/>
      <c r="L3475" s="226"/>
      <c r="M3475" s="101"/>
      <c r="N3475" s="101"/>
    </row>
    <row r="3476" spans="7:14" hidden="1" x14ac:dyDescent="0.3">
      <c r="G3476" s="101"/>
      <c r="H3476" s="101"/>
      <c r="I3476" s="101"/>
      <c r="K3476" s="226"/>
      <c r="L3476" s="226"/>
      <c r="M3476" s="101"/>
      <c r="N3476" s="101"/>
    </row>
    <row r="3477" spans="7:14" hidden="1" x14ac:dyDescent="0.3">
      <c r="G3477" s="101"/>
      <c r="H3477" s="101"/>
      <c r="I3477" s="101"/>
      <c r="K3477" s="226"/>
      <c r="L3477" s="226"/>
      <c r="M3477" s="101"/>
      <c r="N3477" s="101"/>
    </row>
    <row r="3478" spans="7:14" hidden="1" x14ac:dyDescent="0.3">
      <c r="G3478" s="101"/>
      <c r="H3478" s="101"/>
      <c r="I3478" s="101"/>
      <c r="K3478" s="226"/>
      <c r="L3478" s="226"/>
      <c r="M3478" s="101"/>
      <c r="N3478" s="101"/>
    </row>
    <row r="3479" spans="7:14" hidden="1" x14ac:dyDescent="0.3">
      <c r="G3479" s="101"/>
      <c r="H3479" s="101"/>
      <c r="I3479" s="101"/>
      <c r="K3479" s="226"/>
      <c r="L3479" s="226"/>
      <c r="M3479" s="101"/>
      <c r="N3479" s="101"/>
    </row>
    <row r="3480" spans="7:14" hidden="1" x14ac:dyDescent="0.3">
      <c r="G3480" s="101"/>
      <c r="H3480" s="101"/>
      <c r="I3480" s="101"/>
      <c r="K3480" s="226"/>
      <c r="L3480" s="226"/>
      <c r="M3480" s="101"/>
      <c r="N3480" s="101"/>
    </row>
    <row r="3481" spans="7:14" hidden="1" x14ac:dyDescent="0.3">
      <c r="G3481" s="101"/>
      <c r="H3481" s="101"/>
      <c r="I3481" s="101"/>
      <c r="K3481" s="226"/>
      <c r="L3481" s="226"/>
      <c r="M3481" s="101"/>
      <c r="N3481" s="101"/>
    </row>
    <row r="3482" spans="7:14" hidden="1" x14ac:dyDescent="0.3">
      <c r="G3482" s="101"/>
      <c r="H3482" s="101"/>
      <c r="I3482" s="101"/>
      <c r="K3482" s="226"/>
      <c r="L3482" s="226"/>
      <c r="M3482" s="101"/>
      <c r="N3482" s="101"/>
    </row>
    <row r="3483" spans="7:14" hidden="1" x14ac:dyDescent="0.3">
      <c r="G3483" s="101"/>
      <c r="H3483" s="101"/>
      <c r="I3483" s="101"/>
      <c r="K3483" s="226"/>
      <c r="L3483" s="226"/>
      <c r="M3483" s="101"/>
      <c r="N3483" s="101"/>
    </row>
    <row r="3484" spans="7:14" hidden="1" x14ac:dyDescent="0.3">
      <c r="G3484" s="101"/>
      <c r="H3484" s="101"/>
      <c r="I3484" s="101"/>
      <c r="K3484" s="226"/>
      <c r="L3484" s="226"/>
      <c r="M3484" s="101"/>
      <c r="N3484" s="101"/>
    </row>
    <row r="3485" spans="7:14" hidden="1" x14ac:dyDescent="0.3">
      <c r="G3485" s="101"/>
      <c r="H3485" s="101"/>
      <c r="I3485" s="101"/>
      <c r="K3485" s="226"/>
      <c r="L3485" s="226"/>
      <c r="M3485" s="101"/>
      <c r="N3485" s="101"/>
    </row>
    <row r="3486" spans="7:14" hidden="1" x14ac:dyDescent="0.3">
      <c r="G3486" s="101"/>
      <c r="H3486" s="101"/>
      <c r="I3486" s="101"/>
      <c r="K3486" s="226"/>
      <c r="L3486" s="226"/>
      <c r="M3486" s="101"/>
      <c r="N3486" s="101"/>
    </row>
    <row r="3487" spans="7:14" hidden="1" x14ac:dyDescent="0.3">
      <c r="G3487" s="101"/>
      <c r="H3487" s="101"/>
      <c r="I3487" s="101"/>
      <c r="K3487" s="226"/>
      <c r="L3487" s="226"/>
      <c r="M3487" s="101"/>
      <c r="N3487" s="101"/>
    </row>
    <row r="3488" spans="7:14" hidden="1" x14ac:dyDescent="0.3">
      <c r="G3488" s="101"/>
      <c r="H3488" s="101"/>
      <c r="I3488" s="101"/>
      <c r="K3488" s="226"/>
      <c r="L3488" s="226"/>
      <c r="M3488" s="101"/>
      <c r="N3488" s="101"/>
    </row>
    <row r="3489" spans="7:14" hidden="1" x14ac:dyDescent="0.3">
      <c r="G3489" s="101"/>
      <c r="H3489" s="101"/>
      <c r="I3489" s="101"/>
      <c r="K3489" s="226"/>
      <c r="L3489" s="226"/>
      <c r="M3489" s="101"/>
      <c r="N3489" s="101"/>
    </row>
    <row r="3490" spans="7:14" hidden="1" x14ac:dyDescent="0.3">
      <c r="G3490" s="101"/>
      <c r="H3490" s="101"/>
      <c r="I3490" s="101"/>
      <c r="K3490" s="226"/>
      <c r="L3490" s="226"/>
      <c r="M3490" s="101"/>
      <c r="N3490" s="101"/>
    </row>
    <row r="3491" spans="7:14" hidden="1" x14ac:dyDescent="0.3">
      <c r="G3491" s="101"/>
      <c r="H3491" s="101"/>
      <c r="I3491" s="101"/>
      <c r="K3491" s="226"/>
      <c r="L3491" s="226"/>
      <c r="M3491" s="101"/>
      <c r="N3491" s="101"/>
    </row>
    <row r="3492" spans="7:14" hidden="1" x14ac:dyDescent="0.3">
      <c r="G3492" s="101"/>
      <c r="H3492" s="101"/>
      <c r="I3492" s="101"/>
      <c r="K3492" s="226"/>
      <c r="L3492" s="226"/>
      <c r="M3492" s="101"/>
      <c r="N3492" s="101"/>
    </row>
    <row r="3493" spans="7:14" hidden="1" x14ac:dyDescent="0.3">
      <c r="G3493" s="101"/>
      <c r="H3493" s="101"/>
      <c r="I3493" s="101"/>
      <c r="K3493" s="226"/>
      <c r="L3493" s="226"/>
      <c r="M3493" s="101"/>
      <c r="N3493" s="101"/>
    </row>
    <row r="3494" spans="7:14" hidden="1" x14ac:dyDescent="0.3">
      <c r="G3494" s="101"/>
      <c r="H3494" s="101"/>
      <c r="I3494" s="101"/>
      <c r="K3494" s="226"/>
      <c r="L3494" s="226"/>
      <c r="M3494" s="101"/>
      <c r="N3494" s="101"/>
    </row>
    <row r="3495" spans="7:14" hidden="1" x14ac:dyDescent="0.3">
      <c r="G3495" s="101"/>
      <c r="H3495" s="101"/>
      <c r="I3495" s="101"/>
      <c r="K3495" s="226"/>
      <c r="L3495" s="226"/>
      <c r="M3495" s="101"/>
      <c r="N3495" s="101"/>
    </row>
    <row r="3496" spans="7:14" hidden="1" x14ac:dyDescent="0.3">
      <c r="G3496" s="101"/>
      <c r="H3496" s="101"/>
      <c r="I3496" s="101"/>
      <c r="K3496" s="226"/>
      <c r="L3496" s="226"/>
      <c r="M3496" s="101"/>
      <c r="N3496" s="101"/>
    </row>
    <row r="3497" spans="7:14" hidden="1" x14ac:dyDescent="0.3">
      <c r="G3497" s="101"/>
      <c r="H3497" s="101"/>
      <c r="I3497" s="101"/>
      <c r="K3497" s="226"/>
      <c r="L3497" s="226"/>
      <c r="M3497" s="101"/>
      <c r="N3497" s="101"/>
    </row>
    <row r="3498" spans="7:14" hidden="1" x14ac:dyDescent="0.3">
      <c r="G3498" s="101"/>
      <c r="H3498" s="101"/>
      <c r="I3498" s="101"/>
      <c r="K3498" s="226"/>
      <c r="L3498" s="226"/>
      <c r="M3498" s="101"/>
      <c r="N3498" s="101"/>
    </row>
    <row r="3499" spans="7:14" hidden="1" x14ac:dyDescent="0.3">
      <c r="G3499" s="101"/>
      <c r="H3499" s="101"/>
      <c r="I3499" s="101"/>
      <c r="K3499" s="226"/>
      <c r="L3499" s="226"/>
      <c r="M3499" s="101"/>
      <c r="N3499" s="101"/>
    </row>
    <row r="3500" spans="7:14" hidden="1" x14ac:dyDescent="0.3">
      <c r="G3500" s="101"/>
      <c r="H3500" s="101"/>
      <c r="I3500" s="101"/>
      <c r="K3500" s="226"/>
      <c r="L3500" s="226"/>
      <c r="M3500" s="101"/>
      <c r="N3500" s="101"/>
    </row>
    <row r="3501" spans="7:14" hidden="1" x14ac:dyDescent="0.3">
      <c r="G3501" s="101"/>
      <c r="H3501" s="101"/>
      <c r="I3501" s="101"/>
      <c r="K3501" s="226"/>
      <c r="L3501" s="226"/>
      <c r="M3501" s="101"/>
      <c r="N3501" s="101"/>
    </row>
    <row r="3502" spans="7:14" hidden="1" x14ac:dyDescent="0.3">
      <c r="G3502" s="101"/>
      <c r="H3502" s="101"/>
      <c r="I3502" s="101"/>
      <c r="K3502" s="226"/>
      <c r="L3502" s="226"/>
      <c r="M3502" s="101"/>
      <c r="N3502" s="101"/>
    </row>
    <row r="3503" spans="7:14" hidden="1" x14ac:dyDescent="0.3">
      <c r="G3503" s="101"/>
      <c r="H3503" s="101"/>
      <c r="I3503" s="101"/>
      <c r="K3503" s="226"/>
      <c r="L3503" s="226"/>
      <c r="M3503" s="101"/>
      <c r="N3503" s="101"/>
    </row>
    <row r="3504" spans="7:14" hidden="1" x14ac:dyDescent="0.3">
      <c r="G3504" s="101"/>
      <c r="H3504" s="101"/>
      <c r="I3504" s="101"/>
      <c r="K3504" s="226"/>
      <c r="L3504" s="226"/>
      <c r="M3504" s="101"/>
      <c r="N3504" s="101"/>
    </row>
    <row r="3505" spans="7:14" hidden="1" x14ac:dyDescent="0.3">
      <c r="G3505" s="101"/>
      <c r="H3505" s="101"/>
      <c r="I3505" s="101"/>
      <c r="K3505" s="226"/>
      <c r="L3505" s="226"/>
      <c r="M3505" s="101"/>
      <c r="N3505" s="101"/>
    </row>
    <row r="3506" spans="7:14" hidden="1" x14ac:dyDescent="0.3">
      <c r="G3506" s="101"/>
      <c r="H3506" s="101"/>
      <c r="I3506" s="101"/>
      <c r="K3506" s="226"/>
      <c r="L3506" s="226"/>
      <c r="M3506" s="101"/>
      <c r="N3506" s="101"/>
    </row>
    <row r="3507" spans="7:14" hidden="1" x14ac:dyDescent="0.3">
      <c r="G3507" s="101"/>
      <c r="H3507" s="101"/>
      <c r="I3507" s="101"/>
      <c r="K3507" s="226"/>
      <c r="L3507" s="226"/>
      <c r="M3507" s="101"/>
      <c r="N3507" s="101"/>
    </row>
    <row r="3508" spans="7:14" hidden="1" x14ac:dyDescent="0.3">
      <c r="G3508" s="101"/>
      <c r="H3508" s="101"/>
      <c r="I3508" s="101"/>
      <c r="K3508" s="226"/>
      <c r="L3508" s="226"/>
      <c r="M3508" s="101"/>
      <c r="N3508" s="101"/>
    </row>
    <row r="3509" spans="7:14" hidden="1" x14ac:dyDescent="0.3">
      <c r="G3509" s="101"/>
      <c r="H3509" s="101"/>
      <c r="I3509" s="101"/>
      <c r="K3509" s="226"/>
      <c r="L3509" s="226"/>
      <c r="M3509" s="101"/>
      <c r="N3509" s="101"/>
    </row>
    <row r="3510" spans="7:14" hidden="1" x14ac:dyDescent="0.3">
      <c r="G3510" s="101"/>
      <c r="H3510" s="101"/>
      <c r="I3510" s="101"/>
      <c r="K3510" s="226"/>
      <c r="L3510" s="226"/>
      <c r="M3510" s="101"/>
      <c r="N3510" s="101"/>
    </row>
    <row r="3511" spans="7:14" hidden="1" x14ac:dyDescent="0.3">
      <c r="G3511" s="101"/>
      <c r="H3511" s="101"/>
      <c r="I3511" s="101"/>
      <c r="K3511" s="226"/>
      <c r="L3511" s="226"/>
      <c r="M3511" s="101"/>
      <c r="N3511" s="101"/>
    </row>
    <row r="3512" spans="7:14" hidden="1" x14ac:dyDescent="0.3">
      <c r="G3512" s="101"/>
      <c r="H3512" s="101"/>
      <c r="I3512" s="101"/>
      <c r="K3512" s="226"/>
      <c r="L3512" s="226"/>
      <c r="M3512" s="101"/>
      <c r="N3512" s="101"/>
    </row>
    <row r="3513" spans="7:14" hidden="1" x14ac:dyDescent="0.3">
      <c r="G3513" s="101"/>
      <c r="H3513" s="101"/>
      <c r="I3513" s="101"/>
      <c r="K3513" s="226"/>
      <c r="L3513" s="226"/>
      <c r="M3513" s="101"/>
      <c r="N3513" s="101"/>
    </row>
    <row r="3514" spans="7:14" hidden="1" x14ac:dyDescent="0.3">
      <c r="G3514" s="101"/>
      <c r="H3514" s="101"/>
      <c r="I3514" s="101"/>
      <c r="K3514" s="226"/>
      <c r="L3514" s="226"/>
      <c r="M3514" s="101"/>
      <c r="N3514" s="101"/>
    </row>
    <row r="3515" spans="7:14" hidden="1" x14ac:dyDescent="0.3">
      <c r="G3515" s="101"/>
      <c r="H3515" s="101"/>
      <c r="I3515" s="101"/>
      <c r="K3515" s="226"/>
      <c r="L3515" s="226"/>
      <c r="M3515" s="101"/>
      <c r="N3515" s="101"/>
    </row>
    <row r="3516" spans="7:14" hidden="1" x14ac:dyDescent="0.3">
      <c r="G3516" s="101"/>
      <c r="H3516" s="101"/>
      <c r="I3516" s="101"/>
      <c r="K3516" s="226"/>
      <c r="L3516" s="226"/>
      <c r="M3516" s="101"/>
      <c r="N3516" s="101"/>
    </row>
    <row r="3517" spans="7:14" hidden="1" x14ac:dyDescent="0.3">
      <c r="G3517" s="101"/>
      <c r="H3517" s="101"/>
      <c r="I3517" s="101"/>
      <c r="K3517" s="226"/>
      <c r="L3517" s="226"/>
      <c r="M3517" s="101"/>
      <c r="N3517" s="101"/>
    </row>
    <row r="3518" spans="7:14" hidden="1" x14ac:dyDescent="0.3">
      <c r="G3518" s="101"/>
      <c r="H3518" s="101"/>
      <c r="I3518" s="101"/>
      <c r="K3518" s="226"/>
      <c r="L3518" s="226"/>
      <c r="M3518" s="101"/>
      <c r="N3518" s="101"/>
    </row>
    <row r="3519" spans="7:14" hidden="1" x14ac:dyDescent="0.3">
      <c r="G3519" s="101"/>
      <c r="H3519" s="101"/>
      <c r="I3519" s="101"/>
      <c r="K3519" s="226"/>
      <c r="L3519" s="226"/>
      <c r="M3519" s="101"/>
      <c r="N3519" s="101"/>
    </row>
    <row r="3520" spans="7:14" hidden="1" x14ac:dyDescent="0.3">
      <c r="G3520" s="101"/>
      <c r="H3520" s="101"/>
      <c r="I3520" s="101"/>
      <c r="K3520" s="226"/>
      <c r="L3520" s="226"/>
      <c r="M3520" s="101"/>
      <c r="N3520" s="101"/>
    </row>
    <row r="3521" spans="7:14" hidden="1" x14ac:dyDescent="0.3">
      <c r="G3521" s="101"/>
      <c r="H3521" s="101"/>
      <c r="I3521" s="101"/>
      <c r="K3521" s="226"/>
      <c r="L3521" s="226"/>
      <c r="M3521" s="101"/>
      <c r="N3521" s="101"/>
    </row>
    <row r="3522" spans="7:14" hidden="1" x14ac:dyDescent="0.3">
      <c r="G3522" s="101"/>
      <c r="H3522" s="101"/>
      <c r="I3522" s="101"/>
      <c r="K3522" s="226"/>
      <c r="L3522" s="226"/>
      <c r="M3522" s="101"/>
      <c r="N3522" s="101"/>
    </row>
    <row r="3523" spans="7:14" hidden="1" x14ac:dyDescent="0.3">
      <c r="G3523" s="101"/>
      <c r="H3523" s="101"/>
      <c r="I3523" s="101"/>
      <c r="K3523" s="226"/>
      <c r="L3523" s="226"/>
      <c r="M3523" s="101"/>
      <c r="N3523" s="101"/>
    </row>
    <row r="3524" spans="7:14" hidden="1" x14ac:dyDescent="0.3">
      <c r="G3524" s="101"/>
      <c r="H3524" s="101"/>
      <c r="I3524" s="101"/>
      <c r="K3524" s="226"/>
      <c r="L3524" s="226"/>
      <c r="M3524" s="101"/>
      <c r="N3524" s="101"/>
    </row>
    <row r="3525" spans="7:14" hidden="1" x14ac:dyDescent="0.3">
      <c r="G3525" s="101"/>
      <c r="H3525" s="101"/>
      <c r="I3525" s="101"/>
      <c r="K3525" s="226"/>
      <c r="L3525" s="226"/>
      <c r="M3525" s="101"/>
      <c r="N3525" s="101"/>
    </row>
    <row r="3526" spans="7:14" hidden="1" x14ac:dyDescent="0.3">
      <c r="G3526" s="101"/>
      <c r="H3526" s="101"/>
      <c r="I3526" s="101"/>
      <c r="K3526" s="226"/>
      <c r="L3526" s="226"/>
      <c r="M3526" s="101"/>
      <c r="N3526" s="101"/>
    </row>
    <row r="3527" spans="7:14" hidden="1" x14ac:dyDescent="0.3">
      <c r="G3527" s="101"/>
      <c r="H3527" s="101"/>
      <c r="I3527" s="101"/>
      <c r="K3527" s="226"/>
      <c r="L3527" s="226"/>
      <c r="M3527" s="101"/>
      <c r="N3527" s="101"/>
    </row>
    <row r="3528" spans="7:14" hidden="1" x14ac:dyDescent="0.3">
      <c r="G3528" s="101"/>
      <c r="H3528" s="101"/>
      <c r="I3528" s="101"/>
      <c r="K3528" s="226"/>
      <c r="L3528" s="226"/>
      <c r="M3528" s="101"/>
      <c r="N3528" s="101"/>
    </row>
    <row r="3529" spans="7:14" hidden="1" x14ac:dyDescent="0.3">
      <c r="G3529" s="101"/>
      <c r="H3529" s="101"/>
      <c r="I3529" s="101"/>
      <c r="K3529" s="226"/>
      <c r="L3529" s="226"/>
      <c r="M3529" s="101"/>
      <c r="N3529" s="101"/>
    </row>
    <row r="3530" spans="7:14" hidden="1" x14ac:dyDescent="0.3">
      <c r="G3530" s="101"/>
      <c r="H3530" s="101"/>
      <c r="I3530" s="101"/>
      <c r="K3530" s="226"/>
      <c r="L3530" s="226"/>
      <c r="M3530" s="101"/>
      <c r="N3530" s="101"/>
    </row>
    <row r="3531" spans="7:14" hidden="1" x14ac:dyDescent="0.3">
      <c r="G3531" s="101"/>
      <c r="H3531" s="101"/>
      <c r="I3531" s="101"/>
      <c r="K3531" s="226"/>
      <c r="L3531" s="226"/>
      <c r="M3531" s="101"/>
      <c r="N3531" s="101"/>
    </row>
    <row r="3532" spans="7:14" hidden="1" x14ac:dyDescent="0.3">
      <c r="G3532" s="101"/>
      <c r="H3532" s="101"/>
      <c r="I3532" s="101"/>
      <c r="K3532" s="226"/>
      <c r="L3532" s="226"/>
      <c r="M3532" s="101"/>
      <c r="N3532" s="101"/>
    </row>
    <row r="3533" spans="7:14" hidden="1" x14ac:dyDescent="0.3">
      <c r="G3533" s="101"/>
      <c r="H3533" s="101"/>
      <c r="I3533" s="101"/>
      <c r="K3533" s="226"/>
      <c r="L3533" s="226"/>
      <c r="M3533" s="101"/>
      <c r="N3533" s="101"/>
    </row>
    <row r="3534" spans="7:14" hidden="1" x14ac:dyDescent="0.3">
      <c r="G3534" s="101"/>
      <c r="H3534" s="101"/>
      <c r="I3534" s="101"/>
      <c r="K3534" s="226"/>
      <c r="L3534" s="226"/>
      <c r="M3534" s="101"/>
      <c r="N3534" s="101"/>
    </row>
    <row r="3535" spans="7:14" hidden="1" x14ac:dyDescent="0.3">
      <c r="G3535" s="101"/>
      <c r="H3535" s="101"/>
      <c r="I3535" s="101"/>
      <c r="K3535" s="226"/>
      <c r="L3535" s="226"/>
      <c r="M3535" s="101"/>
      <c r="N3535" s="101"/>
    </row>
    <row r="3536" spans="7:14" hidden="1" x14ac:dyDescent="0.3">
      <c r="G3536" s="101"/>
      <c r="H3536" s="101"/>
      <c r="I3536" s="101"/>
      <c r="K3536" s="226"/>
      <c r="L3536" s="226"/>
      <c r="M3536" s="101"/>
      <c r="N3536" s="101"/>
    </row>
    <row r="3537" spans="7:14" hidden="1" x14ac:dyDescent="0.3">
      <c r="G3537" s="101"/>
      <c r="H3537" s="101"/>
      <c r="I3537" s="101"/>
      <c r="K3537" s="226"/>
      <c r="L3537" s="226"/>
      <c r="M3537" s="101"/>
      <c r="N3537" s="101"/>
    </row>
    <row r="3538" spans="7:14" hidden="1" x14ac:dyDescent="0.3">
      <c r="G3538" s="101"/>
      <c r="H3538" s="101"/>
      <c r="I3538" s="101"/>
      <c r="K3538" s="226"/>
      <c r="L3538" s="226"/>
      <c r="M3538" s="101"/>
      <c r="N3538" s="101"/>
    </row>
    <row r="3539" spans="7:14" hidden="1" x14ac:dyDescent="0.3">
      <c r="G3539" s="101"/>
      <c r="H3539" s="101"/>
      <c r="I3539" s="101"/>
      <c r="K3539" s="226"/>
      <c r="L3539" s="226"/>
      <c r="M3539" s="101"/>
      <c r="N3539" s="101"/>
    </row>
    <row r="3540" spans="7:14" hidden="1" x14ac:dyDescent="0.3">
      <c r="G3540" s="101"/>
      <c r="H3540" s="101"/>
      <c r="I3540" s="101"/>
      <c r="K3540" s="226"/>
      <c r="L3540" s="226"/>
      <c r="M3540" s="101"/>
      <c r="N3540" s="101"/>
    </row>
    <row r="3541" spans="7:14" hidden="1" x14ac:dyDescent="0.3">
      <c r="G3541" s="101"/>
      <c r="H3541" s="101"/>
      <c r="I3541" s="101"/>
      <c r="K3541" s="226"/>
      <c r="L3541" s="226"/>
      <c r="M3541" s="101"/>
      <c r="N3541" s="101"/>
    </row>
    <row r="3542" spans="7:14" hidden="1" x14ac:dyDescent="0.3">
      <c r="G3542" s="101"/>
      <c r="H3542" s="101"/>
      <c r="I3542" s="101"/>
      <c r="K3542" s="226"/>
      <c r="L3542" s="226"/>
      <c r="M3542" s="101"/>
      <c r="N3542" s="101"/>
    </row>
    <row r="3543" spans="7:14" hidden="1" x14ac:dyDescent="0.3">
      <c r="G3543" s="101"/>
      <c r="H3543" s="101"/>
      <c r="I3543" s="101"/>
      <c r="K3543" s="226"/>
      <c r="L3543" s="226"/>
      <c r="M3543" s="101"/>
      <c r="N3543" s="101"/>
    </row>
    <row r="3544" spans="7:14" hidden="1" x14ac:dyDescent="0.3">
      <c r="G3544" s="101"/>
      <c r="H3544" s="101"/>
      <c r="I3544" s="101"/>
      <c r="K3544" s="226"/>
      <c r="L3544" s="226"/>
      <c r="M3544" s="101"/>
      <c r="N3544" s="101"/>
    </row>
    <row r="3545" spans="7:14" hidden="1" x14ac:dyDescent="0.3">
      <c r="G3545" s="101"/>
      <c r="H3545" s="101"/>
      <c r="I3545" s="101"/>
      <c r="K3545" s="226"/>
      <c r="L3545" s="226"/>
      <c r="M3545" s="101"/>
      <c r="N3545" s="101"/>
    </row>
    <row r="3546" spans="7:14" hidden="1" x14ac:dyDescent="0.3">
      <c r="G3546" s="101"/>
      <c r="H3546" s="101"/>
      <c r="I3546" s="101"/>
      <c r="K3546" s="226"/>
      <c r="L3546" s="226"/>
      <c r="M3546" s="101"/>
      <c r="N3546" s="101"/>
    </row>
    <row r="3547" spans="7:14" hidden="1" x14ac:dyDescent="0.3">
      <c r="G3547" s="101"/>
      <c r="H3547" s="101"/>
      <c r="I3547" s="101"/>
      <c r="K3547" s="226"/>
      <c r="L3547" s="226"/>
      <c r="M3547" s="101"/>
      <c r="N3547" s="101"/>
    </row>
    <row r="3548" spans="7:14" hidden="1" x14ac:dyDescent="0.3">
      <c r="G3548" s="101"/>
      <c r="H3548" s="101"/>
      <c r="I3548" s="101"/>
      <c r="K3548" s="226"/>
      <c r="L3548" s="226"/>
      <c r="M3548" s="101"/>
      <c r="N3548" s="101"/>
    </row>
    <row r="3549" spans="7:14" hidden="1" x14ac:dyDescent="0.3">
      <c r="G3549" s="101"/>
      <c r="H3549" s="101"/>
      <c r="I3549" s="101"/>
      <c r="K3549" s="226"/>
      <c r="L3549" s="226"/>
      <c r="M3549" s="101"/>
      <c r="N3549" s="101"/>
    </row>
    <row r="3550" spans="7:14" hidden="1" x14ac:dyDescent="0.3">
      <c r="G3550" s="101"/>
      <c r="H3550" s="101"/>
      <c r="I3550" s="101"/>
      <c r="K3550" s="226"/>
      <c r="L3550" s="226"/>
      <c r="M3550" s="101"/>
      <c r="N3550" s="101"/>
    </row>
    <row r="3551" spans="7:14" hidden="1" x14ac:dyDescent="0.3">
      <c r="G3551" s="101"/>
      <c r="H3551" s="101"/>
      <c r="I3551" s="101"/>
      <c r="K3551" s="226"/>
      <c r="L3551" s="226"/>
      <c r="M3551" s="101"/>
      <c r="N3551" s="101"/>
    </row>
    <row r="3552" spans="7:14" hidden="1" x14ac:dyDescent="0.3">
      <c r="G3552" s="101"/>
      <c r="H3552" s="101"/>
      <c r="I3552" s="101"/>
      <c r="K3552" s="226"/>
      <c r="L3552" s="226"/>
      <c r="M3552" s="101"/>
      <c r="N3552" s="101"/>
    </row>
    <row r="3553" spans="7:14" hidden="1" x14ac:dyDescent="0.3">
      <c r="G3553" s="101"/>
      <c r="H3553" s="101"/>
      <c r="I3553" s="101"/>
      <c r="K3553" s="226"/>
      <c r="L3553" s="226"/>
      <c r="M3553" s="101"/>
      <c r="N3553" s="101"/>
    </row>
    <row r="3554" spans="7:14" hidden="1" x14ac:dyDescent="0.3">
      <c r="G3554" s="101"/>
      <c r="H3554" s="101"/>
      <c r="I3554" s="101"/>
      <c r="K3554" s="226"/>
      <c r="L3554" s="226"/>
      <c r="M3554" s="101"/>
      <c r="N3554" s="101"/>
    </row>
    <row r="3555" spans="7:14" hidden="1" x14ac:dyDescent="0.3">
      <c r="G3555" s="101"/>
      <c r="H3555" s="101"/>
      <c r="I3555" s="101"/>
      <c r="K3555" s="226"/>
      <c r="L3555" s="226"/>
      <c r="M3555" s="101"/>
      <c r="N3555" s="101"/>
    </row>
    <row r="3556" spans="7:14" hidden="1" x14ac:dyDescent="0.3">
      <c r="G3556" s="101"/>
      <c r="H3556" s="101"/>
      <c r="I3556" s="101"/>
      <c r="K3556" s="226"/>
      <c r="L3556" s="226"/>
      <c r="M3556" s="101"/>
      <c r="N3556" s="101"/>
    </row>
    <row r="3557" spans="7:14" hidden="1" x14ac:dyDescent="0.3">
      <c r="G3557" s="101"/>
      <c r="H3557" s="101"/>
      <c r="I3557" s="101"/>
      <c r="K3557" s="226"/>
      <c r="L3557" s="226"/>
      <c r="M3557" s="101"/>
      <c r="N3557" s="101"/>
    </row>
    <row r="3558" spans="7:14" hidden="1" x14ac:dyDescent="0.3">
      <c r="G3558" s="101"/>
      <c r="H3558" s="101"/>
      <c r="I3558" s="101"/>
      <c r="K3558" s="226"/>
      <c r="L3558" s="226"/>
      <c r="M3558" s="101"/>
      <c r="N3558" s="101"/>
    </row>
    <row r="3559" spans="7:14" hidden="1" x14ac:dyDescent="0.3">
      <c r="G3559" s="101"/>
      <c r="H3559" s="101"/>
      <c r="I3559" s="101"/>
      <c r="K3559" s="226"/>
      <c r="L3559" s="226"/>
      <c r="M3559" s="101"/>
      <c r="N3559" s="101"/>
    </row>
    <row r="3560" spans="7:14" hidden="1" x14ac:dyDescent="0.3">
      <c r="G3560" s="101"/>
      <c r="H3560" s="101"/>
      <c r="I3560" s="101"/>
      <c r="K3560" s="226"/>
      <c r="L3560" s="226"/>
      <c r="M3560" s="101"/>
      <c r="N3560" s="101"/>
    </row>
    <row r="3561" spans="7:14" hidden="1" x14ac:dyDescent="0.3">
      <c r="G3561" s="101"/>
      <c r="H3561" s="101"/>
      <c r="I3561" s="101"/>
      <c r="K3561" s="226"/>
      <c r="L3561" s="226"/>
      <c r="M3561" s="101"/>
      <c r="N3561" s="101"/>
    </row>
    <row r="3562" spans="7:14" hidden="1" x14ac:dyDescent="0.3">
      <c r="G3562" s="101"/>
      <c r="H3562" s="101"/>
      <c r="I3562" s="101"/>
      <c r="K3562" s="226"/>
      <c r="L3562" s="226"/>
      <c r="M3562" s="101"/>
      <c r="N3562" s="101"/>
    </row>
    <row r="3563" spans="7:14" hidden="1" x14ac:dyDescent="0.3">
      <c r="G3563" s="101"/>
      <c r="H3563" s="101"/>
      <c r="I3563" s="101"/>
      <c r="K3563" s="226"/>
      <c r="L3563" s="226"/>
      <c r="M3563" s="101"/>
      <c r="N3563" s="101"/>
    </row>
    <row r="3564" spans="7:14" hidden="1" x14ac:dyDescent="0.3">
      <c r="G3564" s="101"/>
      <c r="H3564" s="101"/>
      <c r="I3564" s="101"/>
      <c r="K3564" s="226"/>
      <c r="L3564" s="226"/>
      <c r="M3564" s="101"/>
      <c r="N3564" s="101"/>
    </row>
    <row r="3565" spans="7:14" hidden="1" x14ac:dyDescent="0.3">
      <c r="G3565" s="101"/>
      <c r="H3565" s="101"/>
      <c r="I3565" s="101"/>
      <c r="K3565" s="226"/>
      <c r="L3565" s="226"/>
      <c r="M3565" s="101"/>
      <c r="N3565" s="101"/>
    </row>
    <row r="3566" spans="7:14" hidden="1" x14ac:dyDescent="0.3">
      <c r="G3566" s="101"/>
      <c r="H3566" s="101"/>
      <c r="I3566" s="101"/>
      <c r="K3566" s="226"/>
      <c r="L3566" s="226"/>
      <c r="M3566" s="101"/>
      <c r="N3566" s="101"/>
    </row>
    <row r="3567" spans="7:14" hidden="1" x14ac:dyDescent="0.3">
      <c r="G3567" s="101"/>
      <c r="H3567" s="101"/>
      <c r="I3567" s="101"/>
      <c r="K3567" s="226"/>
      <c r="L3567" s="226"/>
      <c r="M3567" s="101"/>
      <c r="N3567" s="101"/>
    </row>
    <row r="3568" spans="7:14" hidden="1" x14ac:dyDescent="0.3">
      <c r="G3568" s="101"/>
      <c r="H3568" s="101"/>
      <c r="I3568" s="101"/>
      <c r="K3568" s="226"/>
      <c r="L3568" s="226"/>
      <c r="M3568" s="101"/>
      <c r="N3568" s="101"/>
    </row>
    <row r="3569" spans="7:14" hidden="1" x14ac:dyDescent="0.3">
      <c r="G3569" s="101"/>
      <c r="H3569" s="101"/>
      <c r="I3569" s="101"/>
      <c r="K3569" s="226"/>
      <c r="L3569" s="226"/>
      <c r="M3569" s="101"/>
      <c r="N3569" s="101"/>
    </row>
    <row r="3570" spans="7:14" hidden="1" x14ac:dyDescent="0.3">
      <c r="G3570" s="101"/>
      <c r="H3570" s="101"/>
      <c r="I3570" s="101"/>
      <c r="K3570" s="226"/>
      <c r="L3570" s="226"/>
      <c r="M3570" s="101"/>
      <c r="N3570" s="101"/>
    </row>
    <row r="3571" spans="7:14" hidden="1" x14ac:dyDescent="0.3">
      <c r="G3571" s="101"/>
      <c r="H3571" s="101"/>
      <c r="I3571" s="101"/>
      <c r="K3571" s="226"/>
      <c r="L3571" s="226"/>
      <c r="M3571" s="101"/>
      <c r="N3571" s="101"/>
    </row>
    <row r="3572" spans="7:14" hidden="1" x14ac:dyDescent="0.3">
      <c r="G3572" s="101"/>
      <c r="H3572" s="101"/>
      <c r="I3572" s="101"/>
      <c r="K3572" s="226"/>
      <c r="L3572" s="226"/>
      <c r="M3572" s="101"/>
      <c r="N3572" s="101"/>
    </row>
    <row r="3573" spans="7:14" hidden="1" x14ac:dyDescent="0.3">
      <c r="G3573" s="101"/>
      <c r="H3573" s="101"/>
      <c r="I3573" s="101"/>
      <c r="K3573" s="226"/>
      <c r="L3573" s="226"/>
      <c r="M3573" s="101"/>
      <c r="N3573" s="101"/>
    </row>
    <row r="3574" spans="7:14" hidden="1" x14ac:dyDescent="0.3">
      <c r="G3574" s="101"/>
      <c r="H3574" s="101"/>
      <c r="I3574" s="101"/>
      <c r="K3574" s="226"/>
      <c r="L3574" s="226"/>
      <c r="M3574" s="101"/>
      <c r="N3574" s="101"/>
    </row>
    <row r="3575" spans="7:14" hidden="1" x14ac:dyDescent="0.3">
      <c r="G3575" s="101"/>
      <c r="H3575" s="101"/>
      <c r="I3575" s="101"/>
      <c r="K3575" s="226"/>
      <c r="L3575" s="226"/>
      <c r="M3575" s="101"/>
      <c r="N3575" s="101"/>
    </row>
    <row r="3576" spans="7:14" hidden="1" x14ac:dyDescent="0.3">
      <c r="G3576" s="101"/>
      <c r="H3576" s="101"/>
      <c r="I3576" s="101"/>
      <c r="K3576" s="226"/>
      <c r="L3576" s="226"/>
      <c r="M3576" s="101"/>
      <c r="N3576" s="101"/>
    </row>
    <row r="3577" spans="7:14" hidden="1" x14ac:dyDescent="0.3">
      <c r="G3577" s="101"/>
      <c r="H3577" s="101"/>
      <c r="I3577" s="101"/>
      <c r="K3577" s="226"/>
      <c r="L3577" s="226"/>
      <c r="M3577" s="101"/>
      <c r="N3577" s="101"/>
    </row>
    <row r="3578" spans="7:14" hidden="1" x14ac:dyDescent="0.3">
      <c r="G3578" s="101"/>
      <c r="H3578" s="101"/>
      <c r="I3578" s="101"/>
      <c r="K3578" s="226"/>
      <c r="L3578" s="226"/>
      <c r="M3578" s="101"/>
      <c r="N3578" s="101"/>
    </row>
    <row r="3579" spans="7:14" hidden="1" x14ac:dyDescent="0.3">
      <c r="G3579" s="101"/>
      <c r="H3579" s="101"/>
      <c r="I3579" s="101"/>
      <c r="K3579" s="226"/>
      <c r="L3579" s="226"/>
      <c r="M3579" s="101"/>
      <c r="N3579" s="101"/>
    </row>
    <row r="3580" spans="7:14" hidden="1" x14ac:dyDescent="0.3">
      <c r="G3580" s="101"/>
      <c r="H3580" s="101"/>
      <c r="I3580" s="101"/>
      <c r="K3580" s="226"/>
      <c r="L3580" s="226"/>
      <c r="M3580" s="101"/>
      <c r="N3580" s="101"/>
    </row>
    <row r="3581" spans="7:14" hidden="1" x14ac:dyDescent="0.3">
      <c r="G3581" s="101"/>
      <c r="H3581" s="101"/>
      <c r="I3581" s="101"/>
      <c r="K3581" s="226"/>
      <c r="L3581" s="226"/>
      <c r="M3581" s="101"/>
      <c r="N3581" s="101"/>
    </row>
    <row r="3582" spans="7:14" hidden="1" x14ac:dyDescent="0.3">
      <c r="G3582" s="101"/>
      <c r="H3582" s="101"/>
      <c r="I3582" s="101"/>
      <c r="K3582" s="226"/>
      <c r="L3582" s="226"/>
      <c r="M3582" s="101"/>
      <c r="N3582" s="101"/>
    </row>
    <row r="3583" spans="7:14" hidden="1" x14ac:dyDescent="0.3">
      <c r="G3583" s="101"/>
      <c r="H3583" s="101"/>
      <c r="I3583" s="101"/>
      <c r="K3583" s="226"/>
      <c r="L3583" s="226"/>
      <c r="M3583" s="101"/>
      <c r="N3583" s="101"/>
    </row>
    <row r="3584" spans="7:14" hidden="1" x14ac:dyDescent="0.3">
      <c r="G3584" s="101"/>
      <c r="H3584" s="101"/>
      <c r="I3584" s="101"/>
      <c r="K3584" s="226"/>
      <c r="L3584" s="226"/>
      <c r="M3584" s="101"/>
      <c r="N3584" s="101"/>
    </row>
    <row r="3585" spans="7:14" hidden="1" x14ac:dyDescent="0.3">
      <c r="G3585" s="101"/>
      <c r="H3585" s="101"/>
      <c r="I3585" s="101"/>
      <c r="K3585" s="226"/>
      <c r="L3585" s="226"/>
      <c r="M3585" s="101"/>
      <c r="N3585" s="101"/>
    </row>
    <row r="3586" spans="7:14" hidden="1" x14ac:dyDescent="0.3">
      <c r="G3586" s="101"/>
      <c r="H3586" s="101"/>
      <c r="I3586" s="101"/>
      <c r="K3586" s="226"/>
      <c r="L3586" s="226"/>
      <c r="M3586" s="101"/>
      <c r="N3586" s="101"/>
    </row>
    <row r="3587" spans="7:14" hidden="1" x14ac:dyDescent="0.3">
      <c r="G3587" s="101"/>
      <c r="H3587" s="101"/>
      <c r="I3587" s="101"/>
      <c r="K3587" s="226"/>
      <c r="L3587" s="226"/>
      <c r="M3587" s="101"/>
      <c r="N3587" s="101"/>
    </row>
    <row r="3588" spans="7:14" hidden="1" x14ac:dyDescent="0.3">
      <c r="G3588" s="101"/>
      <c r="H3588" s="101"/>
      <c r="I3588" s="101"/>
      <c r="K3588" s="226"/>
      <c r="L3588" s="226"/>
      <c r="M3588" s="101"/>
      <c r="N3588" s="101"/>
    </row>
    <row r="3589" spans="7:14" hidden="1" x14ac:dyDescent="0.3">
      <c r="G3589" s="101"/>
      <c r="H3589" s="101"/>
      <c r="I3589" s="101"/>
      <c r="K3589" s="226"/>
      <c r="L3589" s="226"/>
      <c r="M3589" s="101"/>
      <c r="N3589" s="101"/>
    </row>
    <row r="3590" spans="7:14" hidden="1" x14ac:dyDescent="0.3">
      <c r="G3590" s="101"/>
      <c r="H3590" s="101"/>
      <c r="I3590" s="101"/>
      <c r="K3590" s="226"/>
      <c r="L3590" s="226"/>
      <c r="M3590" s="101"/>
      <c r="N3590" s="101"/>
    </row>
    <row r="3591" spans="7:14" hidden="1" x14ac:dyDescent="0.3">
      <c r="G3591" s="101"/>
      <c r="H3591" s="101"/>
      <c r="I3591" s="101"/>
      <c r="K3591" s="226"/>
      <c r="L3591" s="226"/>
      <c r="M3591" s="101"/>
      <c r="N3591" s="101"/>
    </row>
    <row r="3592" spans="7:14" hidden="1" x14ac:dyDescent="0.3">
      <c r="G3592" s="101"/>
      <c r="H3592" s="101"/>
      <c r="I3592" s="101"/>
      <c r="K3592" s="226"/>
      <c r="L3592" s="226"/>
      <c r="M3592" s="101"/>
      <c r="N3592" s="101"/>
    </row>
    <row r="3593" spans="7:14" hidden="1" x14ac:dyDescent="0.3">
      <c r="G3593" s="101"/>
      <c r="H3593" s="101"/>
      <c r="I3593" s="101"/>
      <c r="K3593" s="226"/>
      <c r="L3593" s="226"/>
      <c r="M3593" s="101"/>
      <c r="N3593" s="101"/>
    </row>
    <row r="3594" spans="7:14" hidden="1" x14ac:dyDescent="0.3">
      <c r="G3594" s="101"/>
      <c r="H3594" s="101"/>
      <c r="I3594" s="101"/>
      <c r="K3594" s="226"/>
      <c r="L3594" s="226"/>
      <c r="M3594" s="101"/>
      <c r="N3594" s="101"/>
    </row>
    <row r="3595" spans="7:14" hidden="1" x14ac:dyDescent="0.3">
      <c r="G3595" s="101"/>
      <c r="H3595" s="101"/>
      <c r="I3595" s="101"/>
      <c r="K3595" s="226"/>
      <c r="L3595" s="226"/>
      <c r="M3595" s="101"/>
      <c r="N3595" s="101"/>
    </row>
    <row r="3596" spans="7:14" hidden="1" x14ac:dyDescent="0.3">
      <c r="G3596" s="101"/>
      <c r="H3596" s="101"/>
      <c r="I3596" s="101"/>
      <c r="K3596" s="226"/>
      <c r="L3596" s="226"/>
      <c r="M3596" s="101"/>
      <c r="N3596" s="101"/>
    </row>
    <row r="3597" spans="7:14" hidden="1" x14ac:dyDescent="0.3">
      <c r="G3597" s="101"/>
      <c r="H3597" s="101"/>
      <c r="I3597" s="101"/>
      <c r="K3597" s="226"/>
      <c r="L3597" s="226"/>
      <c r="M3597" s="101"/>
      <c r="N3597" s="101"/>
    </row>
    <row r="3598" spans="7:14" hidden="1" x14ac:dyDescent="0.3">
      <c r="G3598" s="101"/>
      <c r="H3598" s="101"/>
      <c r="I3598" s="101"/>
      <c r="K3598" s="226"/>
      <c r="L3598" s="226"/>
      <c r="M3598" s="101"/>
      <c r="N3598" s="101"/>
    </row>
    <row r="3599" spans="7:14" hidden="1" x14ac:dyDescent="0.3">
      <c r="G3599" s="101"/>
      <c r="H3599" s="101"/>
      <c r="I3599" s="101"/>
      <c r="K3599" s="226"/>
      <c r="L3599" s="226"/>
      <c r="M3599" s="101"/>
      <c r="N3599" s="101"/>
    </row>
    <row r="3600" spans="7:14" hidden="1" x14ac:dyDescent="0.3">
      <c r="G3600" s="101"/>
      <c r="H3600" s="101"/>
      <c r="I3600" s="101"/>
      <c r="K3600" s="226"/>
      <c r="L3600" s="226"/>
      <c r="M3600" s="101"/>
      <c r="N3600" s="101"/>
    </row>
    <row r="3601" spans="7:14" hidden="1" x14ac:dyDescent="0.3">
      <c r="G3601" s="101"/>
      <c r="H3601" s="101"/>
      <c r="I3601" s="101"/>
      <c r="K3601" s="226"/>
      <c r="L3601" s="226"/>
      <c r="M3601" s="101"/>
      <c r="N3601" s="101"/>
    </row>
    <row r="3602" spans="7:14" hidden="1" x14ac:dyDescent="0.3">
      <c r="G3602" s="101"/>
      <c r="H3602" s="101"/>
      <c r="I3602" s="101"/>
      <c r="K3602" s="226"/>
      <c r="L3602" s="226"/>
      <c r="M3602" s="101"/>
      <c r="N3602" s="101"/>
    </row>
    <row r="3603" spans="7:14" hidden="1" x14ac:dyDescent="0.3">
      <c r="G3603" s="101"/>
      <c r="H3603" s="101"/>
      <c r="I3603" s="101"/>
      <c r="K3603" s="226"/>
      <c r="L3603" s="226"/>
      <c r="M3603" s="101"/>
      <c r="N3603" s="101"/>
    </row>
    <row r="3604" spans="7:14" hidden="1" x14ac:dyDescent="0.3">
      <c r="G3604" s="101"/>
      <c r="H3604" s="101"/>
      <c r="I3604" s="101"/>
      <c r="K3604" s="226"/>
      <c r="L3604" s="226"/>
      <c r="M3604" s="101"/>
      <c r="N3604" s="101"/>
    </row>
    <row r="3605" spans="7:14" hidden="1" x14ac:dyDescent="0.3">
      <c r="G3605" s="101"/>
      <c r="H3605" s="101"/>
      <c r="I3605" s="101"/>
      <c r="K3605" s="226"/>
      <c r="L3605" s="226"/>
      <c r="M3605" s="101"/>
      <c r="N3605" s="101"/>
    </row>
    <row r="3606" spans="7:14" hidden="1" x14ac:dyDescent="0.3">
      <c r="G3606" s="101"/>
      <c r="H3606" s="101"/>
      <c r="I3606" s="101"/>
      <c r="K3606" s="226"/>
      <c r="L3606" s="226"/>
      <c r="M3606" s="101"/>
      <c r="N3606" s="101"/>
    </row>
    <row r="3607" spans="7:14" hidden="1" x14ac:dyDescent="0.3">
      <c r="G3607" s="101"/>
      <c r="H3607" s="101"/>
      <c r="I3607" s="101"/>
      <c r="K3607" s="226"/>
      <c r="L3607" s="226"/>
      <c r="M3607" s="101"/>
      <c r="N3607" s="101"/>
    </row>
    <row r="3608" spans="7:14" hidden="1" x14ac:dyDescent="0.3">
      <c r="G3608" s="101"/>
      <c r="H3608" s="101"/>
      <c r="I3608" s="101"/>
      <c r="K3608" s="226"/>
      <c r="L3608" s="226"/>
      <c r="M3608" s="101"/>
      <c r="N3608" s="101"/>
    </row>
    <row r="3609" spans="7:14" hidden="1" x14ac:dyDescent="0.3">
      <c r="G3609" s="101"/>
      <c r="H3609" s="101"/>
      <c r="I3609" s="101"/>
      <c r="K3609" s="226"/>
      <c r="L3609" s="226"/>
      <c r="M3609" s="101"/>
      <c r="N3609" s="101"/>
    </row>
    <row r="3610" spans="7:14" hidden="1" x14ac:dyDescent="0.3">
      <c r="G3610" s="101"/>
      <c r="H3610" s="101"/>
      <c r="I3610" s="101"/>
      <c r="K3610" s="226"/>
      <c r="L3610" s="226"/>
      <c r="M3610" s="101"/>
      <c r="N3610" s="101"/>
    </row>
    <row r="3611" spans="7:14" hidden="1" x14ac:dyDescent="0.3">
      <c r="G3611" s="101"/>
      <c r="H3611" s="101"/>
      <c r="I3611" s="101"/>
      <c r="K3611" s="226"/>
      <c r="L3611" s="226"/>
      <c r="M3611" s="101"/>
      <c r="N3611" s="101"/>
    </row>
    <row r="3612" spans="7:14" hidden="1" x14ac:dyDescent="0.3">
      <c r="G3612" s="101"/>
      <c r="H3612" s="101"/>
      <c r="I3612" s="101"/>
      <c r="K3612" s="226"/>
      <c r="L3612" s="226"/>
      <c r="M3612" s="101"/>
      <c r="N3612" s="101"/>
    </row>
    <row r="3613" spans="7:14" hidden="1" x14ac:dyDescent="0.3">
      <c r="G3613" s="101"/>
      <c r="H3613" s="101"/>
      <c r="I3613" s="101"/>
      <c r="K3613" s="226"/>
      <c r="L3613" s="226"/>
      <c r="M3613" s="101"/>
      <c r="N3613" s="101"/>
    </row>
    <row r="3614" spans="7:14" hidden="1" x14ac:dyDescent="0.3">
      <c r="G3614" s="101"/>
      <c r="H3614" s="101"/>
      <c r="I3614" s="101"/>
      <c r="K3614" s="226"/>
      <c r="L3614" s="226"/>
      <c r="M3614" s="101"/>
      <c r="N3614" s="101"/>
    </row>
    <row r="3615" spans="7:14" hidden="1" x14ac:dyDescent="0.3">
      <c r="G3615" s="101"/>
      <c r="H3615" s="101"/>
      <c r="I3615" s="101"/>
      <c r="K3615" s="226"/>
      <c r="L3615" s="226"/>
      <c r="M3615" s="101"/>
      <c r="N3615" s="101"/>
    </row>
    <row r="3616" spans="7:14" hidden="1" x14ac:dyDescent="0.3">
      <c r="G3616" s="101"/>
      <c r="H3616" s="101"/>
      <c r="I3616" s="101"/>
      <c r="K3616" s="226"/>
      <c r="L3616" s="226"/>
      <c r="M3616" s="101"/>
      <c r="N3616" s="101"/>
    </row>
    <row r="3617" spans="7:14" hidden="1" x14ac:dyDescent="0.3">
      <c r="G3617" s="101"/>
      <c r="H3617" s="101"/>
      <c r="I3617" s="101"/>
      <c r="K3617" s="226"/>
      <c r="L3617" s="226"/>
      <c r="M3617" s="101"/>
      <c r="N3617" s="101"/>
    </row>
    <row r="3618" spans="7:14" hidden="1" x14ac:dyDescent="0.3">
      <c r="G3618" s="101"/>
      <c r="H3618" s="101"/>
      <c r="I3618" s="101"/>
      <c r="K3618" s="226"/>
      <c r="L3618" s="226"/>
      <c r="M3618" s="101"/>
      <c r="N3618" s="101"/>
    </row>
    <row r="3619" spans="7:14" hidden="1" x14ac:dyDescent="0.3">
      <c r="G3619" s="101"/>
      <c r="H3619" s="101"/>
      <c r="I3619" s="101"/>
      <c r="K3619" s="226"/>
      <c r="L3619" s="226"/>
      <c r="M3619" s="101"/>
      <c r="N3619" s="101"/>
    </row>
    <row r="3620" spans="7:14" hidden="1" x14ac:dyDescent="0.3">
      <c r="G3620" s="101"/>
      <c r="H3620" s="101"/>
      <c r="I3620" s="101"/>
      <c r="K3620" s="226"/>
      <c r="L3620" s="226"/>
      <c r="M3620" s="101"/>
      <c r="N3620" s="101"/>
    </row>
    <row r="3621" spans="7:14" hidden="1" x14ac:dyDescent="0.3">
      <c r="G3621" s="101"/>
      <c r="H3621" s="101"/>
      <c r="I3621" s="101"/>
      <c r="K3621" s="226"/>
      <c r="L3621" s="226"/>
      <c r="M3621" s="101"/>
      <c r="N3621" s="101"/>
    </row>
    <row r="3622" spans="7:14" hidden="1" x14ac:dyDescent="0.3">
      <c r="G3622" s="101"/>
      <c r="H3622" s="101"/>
      <c r="I3622" s="101"/>
      <c r="K3622" s="226"/>
      <c r="L3622" s="226"/>
      <c r="M3622" s="101"/>
      <c r="N3622" s="101"/>
    </row>
    <row r="3623" spans="7:14" hidden="1" x14ac:dyDescent="0.3">
      <c r="G3623" s="101"/>
      <c r="H3623" s="101"/>
      <c r="I3623" s="101"/>
      <c r="K3623" s="226"/>
      <c r="L3623" s="226"/>
      <c r="M3623" s="101"/>
      <c r="N3623" s="101"/>
    </row>
    <row r="3624" spans="7:14" hidden="1" x14ac:dyDescent="0.3">
      <c r="G3624" s="101"/>
      <c r="H3624" s="101"/>
      <c r="I3624" s="101"/>
      <c r="K3624" s="226"/>
      <c r="L3624" s="226"/>
      <c r="M3624" s="101"/>
      <c r="N3624" s="101"/>
    </row>
    <row r="3625" spans="7:14" hidden="1" x14ac:dyDescent="0.3">
      <c r="G3625" s="101"/>
      <c r="H3625" s="101"/>
      <c r="I3625" s="101"/>
      <c r="K3625" s="226"/>
      <c r="L3625" s="226"/>
      <c r="M3625" s="101"/>
      <c r="N3625" s="101"/>
    </row>
    <row r="3626" spans="7:14" hidden="1" x14ac:dyDescent="0.3">
      <c r="G3626" s="101"/>
      <c r="H3626" s="101"/>
      <c r="I3626" s="101"/>
      <c r="K3626" s="226"/>
      <c r="L3626" s="226"/>
      <c r="M3626" s="101"/>
      <c r="N3626" s="101"/>
    </row>
    <row r="3627" spans="7:14" hidden="1" x14ac:dyDescent="0.3">
      <c r="G3627" s="101"/>
      <c r="H3627" s="101"/>
      <c r="I3627" s="101"/>
      <c r="K3627" s="226"/>
      <c r="L3627" s="226"/>
      <c r="M3627" s="101"/>
      <c r="N3627" s="101"/>
    </row>
    <row r="3628" spans="7:14" hidden="1" x14ac:dyDescent="0.3">
      <c r="G3628" s="101"/>
      <c r="H3628" s="101"/>
      <c r="I3628" s="101"/>
      <c r="K3628" s="226"/>
      <c r="L3628" s="226"/>
      <c r="M3628" s="101"/>
      <c r="N3628" s="101"/>
    </row>
    <row r="3629" spans="7:14" hidden="1" x14ac:dyDescent="0.3">
      <c r="G3629" s="101"/>
      <c r="H3629" s="101"/>
      <c r="I3629" s="101"/>
      <c r="K3629" s="226"/>
      <c r="L3629" s="226"/>
      <c r="M3629" s="101"/>
      <c r="N3629" s="101"/>
    </row>
    <row r="3630" spans="7:14" hidden="1" x14ac:dyDescent="0.3">
      <c r="G3630" s="101"/>
      <c r="H3630" s="101"/>
      <c r="I3630" s="101"/>
      <c r="K3630" s="226"/>
      <c r="L3630" s="226"/>
      <c r="M3630" s="101"/>
      <c r="N3630" s="101"/>
    </row>
    <row r="3631" spans="7:14" hidden="1" x14ac:dyDescent="0.3">
      <c r="G3631" s="101"/>
      <c r="H3631" s="101"/>
      <c r="I3631" s="101"/>
      <c r="K3631" s="226"/>
      <c r="L3631" s="226"/>
      <c r="M3631" s="101"/>
      <c r="N3631" s="101"/>
    </row>
    <row r="3632" spans="7:14" hidden="1" x14ac:dyDescent="0.3">
      <c r="G3632" s="101"/>
      <c r="H3632" s="101"/>
      <c r="I3632" s="101"/>
      <c r="K3632" s="226"/>
      <c r="L3632" s="226"/>
      <c r="M3632" s="101"/>
      <c r="N3632" s="101"/>
    </row>
    <row r="3633" spans="7:14" hidden="1" x14ac:dyDescent="0.3">
      <c r="G3633" s="101"/>
      <c r="H3633" s="101"/>
      <c r="I3633" s="101"/>
      <c r="K3633" s="226"/>
      <c r="L3633" s="226"/>
      <c r="M3633" s="101"/>
      <c r="N3633" s="101"/>
    </row>
    <row r="3634" spans="7:14" hidden="1" x14ac:dyDescent="0.3">
      <c r="G3634" s="101"/>
      <c r="H3634" s="101"/>
      <c r="I3634" s="101"/>
      <c r="K3634" s="226"/>
      <c r="L3634" s="226"/>
      <c r="M3634" s="101"/>
      <c r="N3634" s="101"/>
    </row>
    <row r="3635" spans="7:14" hidden="1" x14ac:dyDescent="0.3">
      <c r="G3635" s="101"/>
      <c r="H3635" s="101"/>
      <c r="I3635" s="101"/>
      <c r="K3635" s="226"/>
      <c r="L3635" s="226"/>
      <c r="M3635" s="101"/>
      <c r="N3635" s="101"/>
    </row>
    <row r="3636" spans="7:14" hidden="1" x14ac:dyDescent="0.3">
      <c r="G3636" s="101"/>
      <c r="H3636" s="101"/>
      <c r="I3636" s="101"/>
      <c r="K3636" s="226"/>
      <c r="L3636" s="226"/>
      <c r="M3636" s="101"/>
      <c r="N3636" s="101"/>
    </row>
    <row r="3637" spans="7:14" hidden="1" x14ac:dyDescent="0.3">
      <c r="G3637" s="101"/>
      <c r="H3637" s="101"/>
      <c r="I3637" s="101"/>
      <c r="K3637" s="226"/>
      <c r="L3637" s="226"/>
      <c r="M3637" s="101"/>
      <c r="N3637" s="101"/>
    </row>
    <row r="3638" spans="7:14" hidden="1" x14ac:dyDescent="0.3">
      <c r="G3638" s="101"/>
      <c r="H3638" s="101"/>
      <c r="I3638" s="101"/>
      <c r="K3638" s="226"/>
      <c r="L3638" s="226"/>
      <c r="M3638" s="101"/>
      <c r="N3638" s="101"/>
    </row>
    <row r="3639" spans="7:14" hidden="1" x14ac:dyDescent="0.3">
      <c r="G3639" s="101"/>
      <c r="H3639" s="101"/>
      <c r="I3639" s="101"/>
      <c r="K3639" s="226"/>
      <c r="L3639" s="226"/>
      <c r="M3639" s="101"/>
      <c r="N3639" s="101"/>
    </row>
    <row r="3640" spans="7:14" hidden="1" x14ac:dyDescent="0.3">
      <c r="G3640" s="101"/>
      <c r="H3640" s="101"/>
      <c r="I3640" s="101"/>
      <c r="K3640" s="226"/>
      <c r="L3640" s="226"/>
      <c r="M3640" s="101"/>
      <c r="N3640" s="101"/>
    </row>
    <row r="3641" spans="7:14" hidden="1" x14ac:dyDescent="0.3">
      <c r="G3641" s="101"/>
      <c r="H3641" s="101"/>
      <c r="I3641" s="101"/>
      <c r="K3641" s="226"/>
      <c r="L3641" s="226"/>
      <c r="M3641" s="101"/>
      <c r="N3641" s="101"/>
    </row>
    <row r="3642" spans="7:14" hidden="1" x14ac:dyDescent="0.3">
      <c r="G3642" s="101"/>
      <c r="H3642" s="101"/>
      <c r="I3642" s="101"/>
      <c r="K3642" s="226"/>
      <c r="L3642" s="226"/>
      <c r="M3642" s="101"/>
      <c r="N3642" s="101"/>
    </row>
    <row r="3643" spans="7:14" hidden="1" x14ac:dyDescent="0.3">
      <c r="G3643" s="101"/>
      <c r="H3643" s="101"/>
      <c r="I3643" s="101"/>
      <c r="K3643" s="226"/>
      <c r="L3643" s="226"/>
      <c r="M3643" s="101"/>
      <c r="N3643" s="101"/>
    </row>
    <row r="3644" spans="7:14" hidden="1" x14ac:dyDescent="0.3">
      <c r="G3644" s="101"/>
      <c r="H3644" s="101"/>
      <c r="I3644" s="101"/>
      <c r="K3644" s="226"/>
      <c r="L3644" s="226"/>
      <c r="M3644" s="101"/>
      <c r="N3644" s="101"/>
    </row>
    <row r="3645" spans="7:14" hidden="1" x14ac:dyDescent="0.3">
      <c r="G3645" s="101"/>
      <c r="H3645" s="101"/>
      <c r="I3645" s="101"/>
      <c r="K3645" s="226"/>
      <c r="L3645" s="226"/>
      <c r="M3645" s="101"/>
      <c r="N3645" s="101"/>
    </row>
    <row r="3646" spans="7:14" hidden="1" x14ac:dyDescent="0.3">
      <c r="G3646" s="101"/>
      <c r="H3646" s="101"/>
      <c r="I3646" s="101"/>
      <c r="K3646" s="226"/>
      <c r="L3646" s="226"/>
      <c r="M3646" s="101"/>
      <c r="N3646" s="101"/>
    </row>
    <row r="3647" spans="7:14" hidden="1" x14ac:dyDescent="0.3">
      <c r="G3647" s="101"/>
      <c r="H3647" s="101"/>
      <c r="I3647" s="101"/>
      <c r="K3647" s="226"/>
      <c r="L3647" s="226"/>
      <c r="M3647" s="101"/>
      <c r="N3647" s="101"/>
    </row>
    <row r="3648" spans="7:14" hidden="1" x14ac:dyDescent="0.3">
      <c r="G3648" s="101"/>
      <c r="H3648" s="101"/>
      <c r="I3648" s="101"/>
      <c r="K3648" s="226"/>
      <c r="L3648" s="226"/>
      <c r="M3648" s="101"/>
      <c r="N3648" s="101"/>
    </row>
    <row r="3649" spans="7:14" hidden="1" x14ac:dyDescent="0.3">
      <c r="G3649" s="101"/>
      <c r="H3649" s="101"/>
      <c r="I3649" s="101"/>
      <c r="K3649" s="226"/>
      <c r="L3649" s="226"/>
      <c r="M3649" s="101"/>
      <c r="N3649" s="101"/>
    </row>
    <row r="3650" spans="7:14" hidden="1" x14ac:dyDescent="0.3">
      <c r="G3650" s="101"/>
      <c r="H3650" s="101"/>
      <c r="I3650" s="101"/>
      <c r="K3650" s="226"/>
      <c r="L3650" s="226"/>
      <c r="M3650" s="101"/>
      <c r="N3650" s="101"/>
    </row>
    <row r="3651" spans="7:14" hidden="1" x14ac:dyDescent="0.3">
      <c r="G3651" s="101"/>
      <c r="H3651" s="101"/>
      <c r="I3651" s="101"/>
      <c r="K3651" s="226"/>
      <c r="L3651" s="226"/>
      <c r="M3651" s="101"/>
      <c r="N3651" s="101"/>
    </row>
    <row r="3652" spans="7:14" hidden="1" x14ac:dyDescent="0.3">
      <c r="G3652" s="101"/>
      <c r="H3652" s="101"/>
      <c r="I3652" s="101"/>
      <c r="K3652" s="226"/>
      <c r="L3652" s="226"/>
      <c r="M3652" s="101"/>
      <c r="N3652" s="101"/>
    </row>
    <row r="3653" spans="7:14" hidden="1" x14ac:dyDescent="0.3">
      <c r="G3653" s="101"/>
      <c r="H3653" s="101"/>
      <c r="I3653" s="101"/>
      <c r="K3653" s="226"/>
      <c r="L3653" s="226"/>
      <c r="M3653" s="101"/>
      <c r="N3653" s="101"/>
    </row>
    <row r="3654" spans="7:14" hidden="1" x14ac:dyDescent="0.3">
      <c r="G3654" s="101"/>
      <c r="H3654" s="101"/>
      <c r="I3654" s="101"/>
      <c r="K3654" s="226"/>
      <c r="L3654" s="226"/>
      <c r="M3654" s="101"/>
      <c r="N3654" s="101"/>
    </row>
    <row r="3655" spans="7:14" hidden="1" x14ac:dyDescent="0.3">
      <c r="G3655" s="101"/>
      <c r="H3655" s="101"/>
      <c r="I3655" s="101"/>
      <c r="K3655" s="226"/>
      <c r="L3655" s="226"/>
      <c r="M3655" s="101"/>
      <c r="N3655" s="101"/>
    </row>
    <row r="3656" spans="7:14" hidden="1" x14ac:dyDescent="0.3">
      <c r="G3656" s="101"/>
      <c r="H3656" s="101"/>
      <c r="I3656" s="101"/>
      <c r="K3656" s="226"/>
      <c r="L3656" s="226"/>
      <c r="M3656" s="101"/>
      <c r="N3656" s="101"/>
    </row>
    <row r="3657" spans="7:14" hidden="1" x14ac:dyDescent="0.3">
      <c r="G3657" s="101"/>
      <c r="H3657" s="101"/>
      <c r="I3657" s="101"/>
      <c r="K3657" s="226"/>
      <c r="L3657" s="226"/>
      <c r="M3657" s="101"/>
      <c r="N3657" s="101"/>
    </row>
    <row r="3658" spans="7:14" hidden="1" x14ac:dyDescent="0.3">
      <c r="G3658" s="101"/>
      <c r="H3658" s="101"/>
      <c r="I3658" s="101"/>
      <c r="K3658" s="226"/>
      <c r="L3658" s="226"/>
      <c r="M3658" s="101"/>
      <c r="N3658" s="101"/>
    </row>
    <row r="3659" spans="7:14" hidden="1" x14ac:dyDescent="0.3">
      <c r="G3659" s="101"/>
      <c r="H3659" s="101"/>
      <c r="I3659" s="101"/>
      <c r="K3659" s="226"/>
      <c r="L3659" s="226"/>
      <c r="M3659" s="101"/>
      <c r="N3659" s="101"/>
    </row>
    <row r="3660" spans="7:14" hidden="1" x14ac:dyDescent="0.3">
      <c r="G3660" s="101"/>
      <c r="H3660" s="101"/>
      <c r="I3660" s="101"/>
      <c r="K3660" s="226"/>
      <c r="L3660" s="226"/>
      <c r="M3660" s="101"/>
      <c r="N3660" s="101"/>
    </row>
    <row r="3661" spans="7:14" hidden="1" x14ac:dyDescent="0.3">
      <c r="G3661" s="101"/>
      <c r="H3661" s="101"/>
      <c r="I3661" s="101"/>
      <c r="K3661" s="226"/>
      <c r="L3661" s="226"/>
      <c r="M3661" s="101"/>
      <c r="N3661" s="101"/>
    </row>
    <row r="3662" spans="7:14" hidden="1" x14ac:dyDescent="0.3">
      <c r="G3662" s="101"/>
      <c r="H3662" s="101"/>
      <c r="I3662" s="101"/>
      <c r="K3662" s="226"/>
      <c r="L3662" s="226"/>
      <c r="M3662" s="101"/>
      <c r="N3662" s="101"/>
    </row>
    <row r="3663" spans="7:14" hidden="1" x14ac:dyDescent="0.3">
      <c r="G3663" s="101"/>
      <c r="H3663" s="101"/>
      <c r="I3663" s="101"/>
      <c r="K3663" s="226"/>
      <c r="L3663" s="226"/>
      <c r="M3663" s="101"/>
      <c r="N3663" s="101"/>
    </row>
    <row r="3664" spans="7:14" hidden="1" x14ac:dyDescent="0.3">
      <c r="G3664" s="101"/>
      <c r="H3664" s="101"/>
      <c r="I3664" s="101"/>
      <c r="K3664" s="226"/>
      <c r="L3664" s="226"/>
      <c r="M3664" s="101"/>
      <c r="N3664" s="101"/>
    </row>
    <row r="3665" spans="7:14" hidden="1" x14ac:dyDescent="0.3">
      <c r="G3665" s="101"/>
      <c r="H3665" s="101"/>
      <c r="I3665" s="101"/>
      <c r="K3665" s="226"/>
      <c r="L3665" s="226"/>
      <c r="M3665" s="101"/>
      <c r="N3665" s="101"/>
    </row>
    <row r="3666" spans="7:14" hidden="1" x14ac:dyDescent="0.3">
      <c r="G3666" s="101"/>
      <c r="H3666" s="101"/>
      <c r="I3666" s="101"/>
      <c r="K3666" s="226"/>
      <c r="L3666" s="226"/>
      <c r="M3666" s="101"/>
      <c r="N3666" s="101"/>
    </row>
    <row r="3667" spans="7:14" hidden="1" x14ac:dyDescent="0.3">
      <c r="G3667" s="101"/>
      <c r="H3667" s="101"/>
      <c r="I3667" s="101"/>
      <c r="K3667" s="226"/>
      <c r="L3667" s="226"/>
      <c r="M3667" s="101"/>
      <c r="N3667" s="101"/>
    </row>
    <row r="3668" spans="7:14" hidden="1" x14ac:dyDescent="0.3">
      <c r="G3668" s="101"/>
      <c r="H3668" s="101"/>
      <c r="I3668" s="101"/>
      <c r="K3668" s="226"/>
      <c r="L3668" s="226"/>
      <c r="M3668" s="101"/>
      <c r="N3668" s="101"/>
    </row>
    <row r="3669" spans="7:14" hidden="1" x14ac:dyDescent="0.3">
      <c r="G3669" s="101"/>
      <c r="H3669" s="101"/>
      <c r="I3669" s="101"/>
      <c r="K3669" s="226"/>
      <c r="L3669" s="226"/>
      <c r="M3669" s="101"/>
      <c r="N3669" s="101"/>
    </row>
    <row r="3670" spans="7:14" hidden="1" x14ac:dyDescent="0.3">
      <c r="G3670" s="101"/>
      <c r="H3670" s="101"/>
      <c r="I3670" s="101"/>
      <c r="K3670" s="226"/>
      <c r="L3670" s="226"/>
      <c r="M3670" s="101"/>
      <c r="N3670" s="101"/>
    </row>
    <row r="3671" spans="7:14" hidden="1" x14ac:dyDescent="0.3">
      <c r="G3671" s="101"/>
      <c r="H3671" s="101"/>
      <c r="I3671" s="101"/>
      <c r="K3671" s="226"/>
      <c r="L3671" s="226"/>
      <c r="M3671" s="101"/>
      <c r="N3671" s="101"/>
    </row>
    <row r="3672" spans="7:14" hidden="1" x14ac:dyDescent="0.3">
      <c r="G3672" s="101"/>
      <c r="H3672" s="101"/>
      <c r="I3672" s="101"/>
      <c r="K3672" s="226"/>
      <c r="L3672" s="226"/>
      <c r="M3672" s="101"/>
      <c r="N3672" s="101"/>
    </row>
    <row r="3673" spans="7:14" hidden="1" x14ac:dyDescent="0.3">
      <c r="G3673" s="101"/>
      <c r="H3673" s="101"/>
      <c r="I3673" s="101"/>
      <c r="K3673" s="226"/>
      <c r="L3673" s="226"/>
      <c r="M3673" s="101"/>
      <c r="N3673" s="101"/>
    </row>
    <row r="3674" spans="7:14" hidden="1" x14ac:dyDescent="0.3">
      <c r="G3674" s="101"/>
      <c r="H3674" s="101"/>
      <c r="I3674" s="101"/>
      <c r="K3674" s="226"/>
      <c r="L3674" s="226"/>
      <c r="M3674" s="101"/>
      <c r="N3674" s="101"/>
    </row>
    <row r="3675" spans="7:14" hidden="1" x14ac:dyDescent="0.3">
      <c r="G3675" s="101"/>
      <c r="H3675" s="101"/>
      <c r="I3675" s="101"/>
      <c r="K3675" s="226"/>
      <c r="L3675" s="226"/>
      <c r="M3675" s="101"/>
      <c r="N3675" s="101"/>
    </row>
    <row r="3676" spans="7:14" hidden="1" x14ac:dyDescent="0.3">
      <c r="G3676" s="101"/>
      <c r="H3676" s="101"/>
      <c r="I3676" s="101"/>
      <c r="K3676" s="226"/>
      <c r="L3676" s="226"/>
      <c r="M3676" s="101"/>
      <c r="N3676" s="101"/>
    </row>
    <row r="3677" spans="7:14" hidden="1" x14ac:dyDescent="0.3">
      <c r="G3677" s="101"/>
      <c r="H3677" s="101"/>
      <c r="I3677" s="101"/>
      <c r="K3677" s="226"/>
      <c r="L3677" s="226"/>
      <c r="M3677" s="101"/>
      <c r="N3677" s="101"/>
    </row>
    <row r="3678" spans="7:14" hidden="1" x14ac:dyDescent="0.3">
      <c r="G3678" s="101"/>
      <c r="H3678" s="101"/>
      <c r="I3678" s="101"/>
      <c r="K3678" s="226"/>
      <c r="L3678" s="226"/>
      <c r="M3678" s="101"/>
      <c r="N3678" s="101"/>
    </row>
    <row r="3679" spans="7:14" hidden="1" x14ac:dyDescent="0.3">
      <c r="G3679" s="101"/>
      <c r="H3679" s="101"/>
      <c r="I3679" s="101"/>
      <c r="K3679" s="226"/>
      <c r="L3679" s="226"/>
      <c r="M3679" s="101"/>
      <c r="N3679" s="101"/>
    </row>
    <row r="3680" spans="7:14" hidden="1" x14ac:dyDescent="0.3">
      <c r="G3680" s="101"/>
      <c r="H3680" s="101"/>
      <c r="I3680" s="101"/>
      <c r="K3680" s="226"/>
      <c r="L3680" s="226"/>
      <c r="M3680" s="101"/>
      <c r="N3680" s="101"/>
    </row>
    <row r="3681" spans="7:14" hidden="1" x14ac:dyDescent="0.3">
      <c r="G3681" s="101"/>
      <c r="H3681" s="101"/>
      <c r="I3681" s="101"/>
      <c r="K3681" s="226"/>
      <c r="L3681" s="226"/>
      <c r="M3681" s="101"/>
      <c r="N3681" s="101"/>
    </row>
    <row r="3682" spans="7:14" hidden="1" x14ac:dyDescent="0.3">
      <c r="G3682" s="101"/>
      <c r="H3682" s="101"/>
      <c r="I3682" s="101"/>
      <c r="K3682" s="226"/>
      <c r="L3682" s="226"/>
      <c r="M3682" s="101"/>
      <c r="N3682" s="101"/>
    </row>
    <row r="3683" spans="7:14" hidden="1" x14ac:dyDescent="0.3">
      <c r="G3683" s="101"/>
      <c r="H3683" s="101"/>
      <c r="I3683" s="101"/>
      <c r="K3683" s="226"/>
      <c r="L3683" s="226"/>
      <c r="M3683" s="101"/>
      <c r="N3683" s="101"/>
    </row>
    <row r="3684" spans="7:14" hidden="1" x14ac:dyDescent="0.3">
      <c r="G3684" s="101"/>
      <c r="H3684" s="101"/>
      <c r="I3684" s="101"/>
      <c r="K3684" s="226"/>
      <c r="L3684" s="226"/>
      <c r="M3684" s="101"/>
      <c r="N3684" s="101"/>
    </row>
    <row r="3685" spans="7:14" hidden="1" x14ac:dyDescent="0.3">
      <c r="G3685" s="101"/>
      <c r="H3685" s="101"/>
      <c r="I3685" s="101"/>
      <c r="K3685" s="226"/>
      <c r="L3685" s="226"/>
      <c r="M3685" s="101"/>
      <c r="N3685" s="101"/>
    </row>
    <row r="3686" spans="7:14" hidden="1" x14ac:dyDescent="0.3">
      <c r="G3686" s="101"/>
      <c r="H3686" s="101"/>
      <c r="I3686" s="101"/>
      <c r="K3686" s="226"/>
      <c r="L3686" s="226"/>
      <c r="M3686" s="101"/>
      <c r="N3686" s="101"/>
    </row>
    <row r="3687" spans="7:14" hidden="1" x14ac:dyDescent="0.3">
      <c r="G3687" s="101"/>
      <c r="H3687" s="101"/>
      <c r="I3687" s="101"/>
      <c r="K3687" s="226"/>
      <c r="L3687" s="226"/>
      <c r="M3687" s="101"/>
      <c r="N3687" s="101"/>
    </row>
    <row r="3688" spans="7:14" hidden="1" x14ac:dyDescent="0.3">
      <c r="G3688" s="101"/>
      <c r="H3688" s="101"/>
      <c r="I3688" s="101"/>
      <c r="K3688" s="226"/>
      <c r="L3688" s="226"/>
      <c r="M3688" s="101"/>
      <c r="N3688" s="101"/>
    </row>
    <row r="3689" spans="7:14" hidden="1" x14ac:dyDescent="0.3">
      <c r="G3689" s="101"/>
      <c r="H3689" s="101"/>
      <c r="I3689" s="101"/>
      <c r="K3689" s="226"/>
      <c r="L3689" s="226"/>
      <c r="M3689" s="101"/>
      <c r="N3689" s="101"/>
    </row>
    <row r="3690" spans="7:14" hidden="1" x14ac:dyDescent="0.3">
      <c r="G3690" s="101"/>
      <c r="H3690" s="101"/>
      <c r="I3690" s="101"/>
      <c r="K3690" s="226"/>
      <c r="L3690" s="226"/>
      <c r="M3690" s="101"/>
      <c r="N3690" s="101"/>
    </row>
    <row r="3691" spans="7:14" hidden="1" x14ac:dyDescent="0.3">
      <c r="G3691" s="101"/>
      <c r="H3691" s="101"/>
      <c r="I3691" s="101"/>
      <c r="K3691" s="226"/>
      <c r="L3691" s="226"/>
      <c r="M3691" s="101"/>
      <c r="N3691" s="101"/>
    </row>
    <row r="3692" spans="7:14" hidden="1" x14ac:dyDescent="0.3">
      <c r="G3692" s="101"/>
      <c r="H3692" s="101"/>
      <c r="I3692" s="101"/>
      <c r="K3692" s="226"/>
      <c r="L3692" s="226"/>
      <c r="M3692" s="101"/>
      <c r="N3692" s="101"/>
    </row>
    <row r="3693" spans="7:14" hidden="1" x14ac:dyDescent="0.3">
      <c r="G3693" s="101"/>
      <c r="H3693" s="101"/>
      <c r="I3693" s="101"/>
      <c r="K3693" s="226"/>
      <c r="L3693" s="226"/>
      <c r="M3693" s="101"/>
      <c r="N3693" s="101"/>
    </row>
    <row r="3694" spans="7:14" hidden="1" x14ac:dyDescent="0.3">
      <c r="G3694" s="101"/>
      <c r="H3694" s="101"/>
      <c r="I3694" s="101"/>
      <c r="K3694" s="226"/>
      <c r="L3694" s="226"/>
      <c r="M3694" s="101"/>
      <c r="N3694" s="101"/>
    </row>
    <row r="3695" spans="7:14" hidden="1" x14ac:dyDescent="0.3">
      <c r="G3695" s="101"/>
      <c r="H3695" s="101"/>
      <c r="I3695" s="101"/>
      <c r="K3695" s="226"/>
      <c r="L3695" s="226"/>
      <c r="M3695" s="101"/>
      <c r="N3695" s="101"/>
    </row>
    <row r="3696" spans="7:14" hidden="1" x14ac:dyDescent="0.3">
      <c r="G3696" s="101"/>
      <c r="H3696" s="101"/>
      <c r="I3696" s="101"/>
      <c r="K3696" s="226"/>
      <c r="L3696" s="226"/>
      <c r="M3696" s="101"/>
      <c r="N3696" s="101"/>
    </row>
    <row r="3697" spans="7:14" hidden="1" x14ac:dyDescent="0.3">
      <c r="G3697" s="101"/>
      <c r="H3697" s="101"/>
      <c r="I3697" s="101"/>
      <c r="K3697" s="226"/>
      <c r="L3697" s="226"/>
      <c r="M3697" s="101"/>
      <c r="N3697" s="101"/>
    </row>
    <row r="3698" spans="7:14" hidden="1" x14ac:dyDescent="0.3">
      <c r="G3698" s="101"/>
      <c r="H3698" s="101"/>
      <c r="I3698" s="101"/>
      <c r="K3698" s="226"/>
      <c r="L3698" s="226"/>
      <c r="M3698" s="101"/>
      <c r="N3698" s="101"/>
    </row>
    <row r="3699" spans="7:14" hidden="1" x14ac:dyDescent="0.3">
      <c r="G3699" s="101"/>
      <c r="H3699" s="101"/>
      <c r="I3699" s="101"/>
      <c r="K3699" s="226"/>
      <c r="L3699" s="226"/>
      <c r="M3699" s="101"/>
      <c r="N3699" s="101"/>
    </row>
    <row r="3700" spans="7:14" hidden="1" x14ac:dyDescent="0.3">
      <c r="G3700" s="101"/>
      <c r="H3700" s="101"/>
      <c r="I3700" s="101"/>
      <c r="K3700" s="226"/>
      <c r="L3700" s="226"/>
      <c r="M3700" s="101"/>
      <c r="N3700" s="101"/>
    </row>
    <row r="3701" spans="7:14" hidden="1" x14ac:dyDescent="0.3">
      <c r="G3701" s="101"/>
      <c r="H3701" s="101"/>
      <c r="I3701" s="101"/>
      <c r="K3701" s="226"/>
      <c r="L3701" s="226"/>
      <c r="M3701" s="101"/>
      <c r="N3701" s="101"/>
    </row>
    <row r="3702" spans="7:14" hidden="1" x14ac:dyDescent="0.3">
      <c r="G3702" s="101"/>
      <c r="H3702" s="101"/>
      <c r="I3702" s="101"/>
      <c r="K3702" s="226"/>
      <c r="L3702" s="226"/>
      <c r="M3702" s="101"/>
      <c r="N3702" s="101"/>
    </row>
    <row r="3703" spans="7:14" hidden="1" x14ac:dyDescent="0.3">
      <c r="G3703" s="101"/>
      <c r="H3703" s="101"/>
      <c r="I3703" s="101"/>
      <c r="K3703" s="226"/>
      <c r="L3703" s="226"/>
      <c r="M3703" s="101"/>
      <c r="N3703" s="101"/>
    </row>
    <row r="3704" spans="7:14" hidden="1" x14ac:dyDescent="0.3">
      <c r="G3704" s="101"/>
      <c r="H3704" s="101"/>
      <c r="I3704" s="101"/>
      <c r="K3704" s="226"/>
      <c r="L3704" s="226"/>
      <c r="M3704" s="101"/>
      <c r="N3704" s="101"/>
    </row>
    <row r="3705" spans="7:14" hidden="1" x14ac:dyDescent="0.3">
      <c r="G3705" s="101"/>
      <c r="H3705" s="101"/>
      <c r="I3705" s="101"/>
      <c r="K3705" s="226"/>
      <c r="L3705" s="226"/>
      <c r="M3705" s="101"/>
      <c r="N3705" s="101"/>
    </row>
    <row r="3706" spans="7:14" hidden="1" x14ac:dyDescent="0.3">
      <c r="G3706" s="101"/>
      <c r="H3706" s="101"/>
      <c r="I3706" s="101"/>
      <c r="K3706" s="226"/>
      <c r="L3706" s="226"/>
      <c r="M3706" s="101"/>
      <c r="N3706" s="101"/>
    </row>
    <row r="3707" spans="7:14" hidden="1" x14ac:dyDescent="0.3">
      <c r="G3707" s="101"/>
      <c r="H3707" s="101"/>
      <c r="I3707" s="101"/>
      <c r="K3707" s="226"/>
      <c r="L3707" s="226"/>
      <c r="M3707" s="101"/>
      <c r="N3707" s="101"/>
    </row>
    <row r="3708" spans="7:14" hidden="1" x14ac:dyDescent="0.3">
      <c r="G3708" s="101"/>
      <c r="H3708" s="101"/>
      <c r="I3708" s="101"/>
      <c r="K3708" s="226"/>
      <c r="L3708" s="226"/>
      <c r="M3708" s="101"/>
      <c r="N3708" s="101"/>
    </row>
    <row r="3709" spans="7:14" hidden="1" x14ac:dyDescent="0.3">
      <c r="G3709" s="101"/>
      <c r="H3709" s="101"/>
      <c r="I3709" s="101"/>
      <c r="K3709" s="226"/>
      <c r="L3709" s="226"/>
      <c r="M3709" s="101"/>
      <c r="N3709" s="101"/>
    </row>
    <row r="3710" spans="7:14" hidden="1" x14ac:dyDescent="0.3">
      <c r="G3710" s="101"/>
      <c r="H3710" s="101"/>
      <c r="I3710" s="101"/>
      <c r="K3710" s="226"/>
      <c r="L3710" s="226"/>
      <c r="M3710" s="101"/>
      <c r="N3710" s="101"/>
    </row>
    <row r="3711" spans="7:14" hidden="1" x14ac:dyDescent="0.3">
      <c r="G3711" s="101"/>
      <c r="H3711" s="101"/>
      <c r="I3711" s="101"/>
      <c r="K3711" s="226"/>
      <c r="L3711" s="226"/>
      <c r="M3711" s="101"/>
      <c r="N3711" s="101"/>
    </row>
    <row r="3712" spans="7:14" hidden="1" x14ac:dyDescent="0.3">
      <c r="G3712" s="101"/>
      <c r="H3712" s="101"/>
      <c r="I3712" s="101"/>
      <c r="K3712" s="226"/>
      <c r="L3712" s="226"/>
      <c r="M3712" s="101"/>
      <c r="N3712" s="101"/>
    </row>
    <row r="3713" spans="7:14" hidden="1" x14ac:dyDescent="0.3">
      <c r="G3713" s="101"/>
      <c r="H3713" s="101"/>
      <c r="I3713" s="101"/>
      <c r="K3713" s="226"/>
      <c r="L3713" s="226"/>
      <c r="M3713" s="101"/>
      <c r="N3713" s="101"/>
    </row>
    <row r="3714" spans="7:14" hidden="1" x14ac:dyDescent="0.3">
      <c r="G3714" s="101"/>
      <c r="H3714" s="101"/>
      <c r="I3714" s="101"/>
      <c r="K3714" s="226"/>
      <c r="L3714" s="226"/>
      <c r="M3714" s="101"/>
      <c r="N3714" s="101"/>
    </row>
    <row r="3715" spans="7:14" hidden="1" x14ac:dyDescent="0.3">
      <c r="G3715" s="101"/>
      <c r="H3715" s="101"/>
      <c r="I3715" s="101"/>
      <c r="K3715" s="226"/>
      <c r="L3715" s="226"/>
      <c r="M3715" s="101"/>
      <c r="N3715" s="101"/>
    </row>
    <row r="3716" spans="7:14" hidden="1" x14ac:dyDescent="0.3">
      <c r="G3716" s="101"/>
      <c r="H3716" s="101"/>
      <c r="I3716" s="101"/>
      <c r="K3716" s="226"/>
      <c r="L3716" s="226"/>
      <c r="M3716" s="101"/>
      <c r="N3716" s="101"/>
    </row>
    <row r="3717" spans="7:14" hidden="1" x14ac:dyDescent="0.3">
      <c r="G3717" s="101"/>
      <c r="H3717" s="101"/>
      <c r="I3717" s="101"/>
      <c r="K3717" s="226"/>
      <c r="L3717" s="226"/>
      <c r="M3717" s="101"/>
      <c r="N3717" s="101"/>
    </row>
    <row r="3718" spans="7:14" hidden="1" x14ac:dyDescent="0.3">
      <c r="G3718" s="101"/>
      <c r="H3718" s="101"/>
      <c r="I3718" s="101"/>
      <c r="K3718" s="226"/>
      <c r="L3718" s="226"/>
      <c r="M3718" s="101"/>
      <c r="N3718" s="101"/>
    </row>
    <row r="3719" spans="7:14" hidden="1" x14ac:dyDescent="0.3">
      <c r="G3719" s="101"/>
      <c r="H3719" s="101"/>
      <c r="I3719" s="101"/>
      <c r="K3719" s="226"/>
      <c r="L3719" s="226"/>
      <c r="M3719" s="101"/>
      <c r="N3719" s="101"/>
    </row>
    <row r="3720" spans="7:14" hidden="1" x14ac:dyDescent="0.3">
      <c r="G3720" s="101"/>
      <c r="H3720" s="101"/>
      <c r="I3720" s="101"/>
      <c r="K3720" s="226"/>
      <c r="L3720" s="226"/>
      <c r="M3720" s="101"/>
      <c r="N3720" s="101"/>
    </row>
    <row r="3721" spans="7:14" hidden="1" x14ac:dyDescent="0.3">
      <c r="G3721" s="101"/>
      <c r="H3721" s="101"/>
      <c r="I3721" s="101"/>
      <c r="K3721" s="226"/>
      <c r="L3721" s="226"/>
      <c r="M3721" s="101"/>
      <c r="N3721" s="101"/>
    </row>
    <row r="3722" spans="7:14" hidden="1" x14ac:dyDescent="0.3">
      <c r="G3722" s="101"/>
      <c r="H3722" s="101"/>
      <c r="I3722" s="101"/>
      <c r="K3722" s="226"/>
      <c r="L3722" s="226"/>
      <c r="M3722" s="101"/>
      <c r="N3722" s="101"/>
    </row>
    <row r="3723" spans="7:14" hidden="1" x14ac:dyDescent="0.3">
      <c r="G3723" s="101"/>
      <c r="H3723" s="101"/>
      <c r="I3723" s="101"/>
      <c r="K3723" s="226"/>
      <c r="L3723" s="226"/>
      <c r="M3723" s="101"/>
      <c r="N3723" s="101"/>
    </row>
    <row r="3724" spans="7:14" hidden="1" x14ac:dyDescent="0.3">
      <c r="G3724" s="101"/>
      <c r="H3724" s="101"/>
      <c r="I3724" s="101"/>
      <c r="K3724" s="226"/>
      <c r="L3724" s="226"/>
      <c r="M3724" s="101"/>
      <c r="N3724" s="101"/>
    </row>
    <row r="3725" spans="7:14" hidden="1" x14ac:dyDescent="0.3">
      <c r="G3725" s="101"/>
      <c r="H3725" s="101"/>
      <c r="I3725" s="101"/>
      <c r="K3725" s="226"/>
      <c r="L3725" s="226"/>
      <c r="M3725" s="101"/>
      <c r="N3725" s="101"/>
    </row>
    <row r="3726" spans="7:14" hidden="1" x14ac:dyDescent="0.3">
      <c r="G3726" s="101"/>
      <c r="H3726" s="101"/>
      <c r="I3726" s="101"/>
      <c r="K3726" s="226"/>
      <c r="L3726" s="226"/>
      <c r="M3726" s="101"/>
      <c r="N3726" s="101"/>
    </row>
    <row r="3727" spans="7:14" hidden="1" x14ac:dyDescent="0.3">
      <c r="G3727" s="101"/>
      <c r="H3727" s="101"/>
      <c r="I3727" s="101"/>
      <c r="K3727" s="226"/>
      <c r="L3727" s="226"/>
      <c r="M3727" s="101"/>
      <c r="N3727" s="101"/>
    </row>
    <row r="3728" spans="7:14" hidden="1" x14ac:dyDescent="0.3">
      <c r="G3728" s="101"/>
      <c r="H3728" s="101"/>
      <c r="I3728" s="101"/>
      <c r="K3728" s="226"/>
      <c r="L3728" s="226"/>
      <c r="M3728" s="101"/>
      <c r="N3728" s="101"/>
    </row>
    <row r="3729" spans="7:14" hidden="1" x14ac:dyDescent="0.3">
      <c r="G3729" s="101"/>
      <c r="H3729" s="101"/>
      <c r="I3729" s="101"/>
      <c r="K3729" s="226"/>
      <c r="L3729" s="226"/>
      <c r="M3729" s="101"/>
      <c r="N3729" s="101"/>
    </row>
    <row r="3730" spans="7:14" hidden="1" x14ac:dyDescent="0.3">
      <c r="G3730" s="101"/>
      <c r="H3730" s="101"/>
      <c r="I3730" s="101"/>
      <c r="K3730" s="226"/>
      <c r="L3730" s="226"/>
      <c r="M3730" s="101"/>
      <c r="N3730" s="101"/>
    </row>
    <row r="3731" spans="7:14" hidden="1" x14ac:dyDescent="0.3">
      <c r="G3731" s="101"/>
      <c r="H3731" s="101"/>
      <c r="I3731" s="101"/>
      <c r="K3731" s="226"/>
      <c r="L3731" s="226"/>
      <c r="M3731" s="101"/>
      <c r="N3731" s="101"/>
    </row>
    <row r="3732" spans="7:14" hidden="1" x14ac:dyDescent="0.3">
      <c r="G3732" s="101"/>
      <c r="H3732" s="101"/>
      <c r="I3732" s="101"/>
      <c r="K3732" s="226"/>
      <c r="L3732" s="226"/>
      <c r="M3732" s="101"/>
      <c r="N3732" s="101"/>
    </row>
    <row r="3733" spans="7:14" hidden="1" x14ac:dyDescent="0.3">
      <c r="G3733" s="101"/>
      <c r="H3733" s="101"/>
      <c r="I3733" s="101"/>
      <c r="K3733" s="226"/>
      <c r="L3733" s="226"/>
      <c r="M3733" s="101"/>
      <c r="N3733" s="101"/>
    </row>
    <row r="3734" spans="7:14" hidden="1" x14ac:dyDescent="0.3">
      <c r="G3734" s="101"/>
      <c r="H3734" s="101"/>
      <c r="I3734" s="101"/>
      <c r="K3734" s="226"/>
      <c r="L3734" s="226"/>
      <c r="M3734" s="101"/>
      <c r="N3734" s="101"/>
    </row>
    <row r="3735" spans="7:14" hidden="1" x14ac:dyDescent="0.3">
      <c r="G3735" s="101"/>
      <c r="H3735" s="101"/>
      <c r="I3735" s="101"/>
      <c r="K3735" s="226"/>
      <c r="L3735" s="226"/>
      <c r="M3735" s="101"/>
      <c r="N3735" s="101"/>
    </row>
    <row r="3736" spans="7:14" hidden="1" x14ac:dyDescent="0.3">
      <c r="G3736" s="101"/>
      <c r="H3736" s="101"/>
      <c r="I3736" s="101"/>
      <c r="K3736" s="226"/>
      <c r="L3736" s="226"/>
      <c r="M3736" s="101"/>
      <c r="N3736" s="101"/>
    </row>
    <row r="3737" spans="7:14" hidden="1" x14ac:dyDescent="0.3">
      <c r="G3737" s="101"/>
      <c r="H3737" s="101"/>
      <c r="I3737" s="101"/>
      <c r="K3737" s="226"/>
      <c r="L3737" s="226"/>
      <c r="M3737" s="101"/>
      <c r="N3737" s="101"/>
    </row>
    <row r="3738" spans="7:14" hidden="1" x14ac:dyDescent="0.3">
      <c r="G3738" s="101"/>
      <c r="H3738" s="101"/>
      <c r="I3738" s="101"/>
      <c r="K3738" s="226"/>
      <c r="L3738" s="226"/>
      <c r="M3738" s="101"/>
      <c r="N3738" s="101"/>
    </row>
    <row r="3739" spans="7:14" hidden="1" x14ac:dyDescent="0.3">
      <c r="G3739" s="101"/>
      <c r="H3739" s="101"/>
      <c r="I3739" s="101"/>
      <c r="K3739" s="226"/>
      <c r="L3739" s="226"/>
      <c r="M3739" s="101"/>
      <c r="N3739" s="101"/>
    </row>
    <row r="3740" spans="7:14" hidden="1" x14ac:dyDescent="0.3">
      <c r="G3740" s="101"/>
      <c r="H3740" s="101"/>
      <c r="I3740" s="101"/>
      <c r="K3740" s="226"/>
      <c r="L3740" s="226"/>
      <c r="M3740" s="101"/>
      <c r="N3740" s="101"/>
    </row>
    <row r="3741" spans="7:14" hidden="1" x14ac:dyDescent="0.3">
      <c r="G3741" s="101"/>
      <c r="H3741" s="101"/>
      <c r="I3741" s="101"/>
      <c r="K3741" s="226"/>
      <c r="L3741" s="226"/>
      <c r="M3741" s="101"/>
      <c r="N3741" s="101"/>
    </row>
    <row r="3742" spans="7:14" hidden="1" x14ac:dyDescent="0.3">
      <c r="G3742" s="101"/>
      <c r="H3742" s="101"/>
      <c r="I3742" s="101"/>
      <c r="K3742" s="226"/>
      <c r="L3742" s="226"/>
      <c r="M3742" s="101"/>
      <c r="N3742" s="101"/>
    </row>
    <row r="3743" spans="7:14" hidden="1" x14ac:dyDescent="0.3">
      <c r="G3743" s="101"/>
      <c r="H3743" s="101"/>
      <c r="I3743" s="101"/>
      <c r="K3743" s="226"/>
      <c r="L3743" s="226"/>
      <c r="M3743" s="101"/>
      <c r="N3743" s="101"/>
    </row>
    <row r="3744" spans="7:14" hidden="1" x14ac:dyDescent="0.3">
      <c r="G3744" s="101"/>
      <c r="H3744" s="101"/>
      <c r="I3744" s="101"/>
      <c r="K3744" s="226"/>
      <c r="L3744" s="226"/>
      <c r="M3744" s="101"/>
      <c r="N3744" s="101"/>
    </row>
    <row r="3745" spans="7:14" hidden="1" x14ac:dyDescent="0.3">
      <c r="G3745" s="101"/>
      <c r="H3745" s="101"/>
      <c r="I3745" s="101"/>
      <c r="K3745" s="226"/>
      <c r="L3745" s="226"/>
      <c r="M3745" s="101"/>
      <c r="N3745" s="101"/>
    </row>
    <row r="3746" spans="7:14" hidden="1" x14ac:dyDescent="0.3">
      <c r="G3746" s="101"/>
      <c r="H3746" s="101"/>
      <c r="I3746" s="101"/>
      <c r="K3746" s="226"/>
      <c r="L3746" s="226"/>
      <c r="M3746" s="101"/>
      <c r="N3746" s="101"/>
    </row>
    <row r="3747" spans="7:14" hidden="1" x14ac:dyDescent="0.3">
      <c r="G3747" s="101"/>
      <c r="H3747" s="101"/>
      <c r="I3747" s="101"/>
      <c r="K3747" s="226"/>
      <c r="L3747" s="226"/>
      <c r="M3747" s="101"/>
      <c r="N3747" s="101"/>
    </row>
    <row r="3748" spans="7:14" hidden="1" x14ac:dyDescent="0.3">
      <c r="G3748" s="101"/>
      <c r="H3748" s="101"/>
      <c r="I3748" s="101"/>
      <c r="K3748" s="226"/>
      <c r="L3748" s="226"/>
      <c r="M3748" s="101"/>
      <c r="N3748" s="101"/>
    </row>
    <row r="3749" spans="7:14" hidden="1" x14ac:dyDescent="0.3">
      <c r="G3749" s="101"/>
      <c r="H3749" s="101"/>
      <c r="I3749" s="101"/>
      <c r="K3749" s="226"/>
      <c r="L3749" s="226"/>
      <c r="M3749" s="101"/>
      <c r="N3749" s="101"/>
    </row>
    <row r="3750" spans="7:14" hidden="1" x14ac:dyDescent="0.3">
      <c r="G3750" s="101"/>
      <c r="H3750" s="101"/>
      <c r="I3750" s="101"/>
      <c r="K3750" s="226"/>
      <c r="L3750" s="226"/>
      <c r="M3750" s="101"/>
      <c r="N3750" s="101"/>
    </row>
    <row r="3751" spans="7:14" hidden="1" x14ac:dyDescent="0.3">
      <c r="G3751" s="101"/>
      <c r="H3751" s="101"/>
      <c r="I3751" s="101"/>
      <c r="K3751" s="226"/>
      <c r="L3751" s="226"/>
      <c r="M3751" s="101"/>
      <c r="N3751" s="101"/>
    </row>
    <row r="3752" spans="7:14" hidden="1" x14ac:dyDescent="0.3">
      <c r="G3752" s="101"/>
      <c r="H3752" s="101"/>
      <c r="I3752" s="101"/>
      <c r="K3752" s="226"/>
      <c r="L3752" s="226"/>
      <c r="M3752" s="101"/>
      <c r="N3752" s="101"/>
    </row>
    <row r="3753" spans="7:14" hidden="1" x14ac:dyDescent="0.3">
      <c r="G3753" s="101"/>
      <c r="H3753" s="101"/>
      <c r="I3753" s="101"/>
      <c r="K3753" s="226"/>
      <c r="L3753" s="226"/>
      <c r="M3753" s="101"/>
      <c r="N3753" s="101"/>
    </row>
    <row r="3754" spans="7:14" hidden="1" x14ac:dyDescent="0.3">
      <c r="G3754" s="101"/>
      <c r="H3754" s="101"/>
      <c r="I3754" s="101"/>
      <c r="K3754" s="226"/>
      <c r="L3754" s="226"/>
      <c r="M3754" s="101"/>
      <c r="N3754" s="101"/>
    </row>
    <row r="3755" spans="7:14" hidden="1" x14ac:dyDescent="0.3">
      <c r="G3755" s="101"/>
      <c r="H3755" s="101"/>
      <c r="I3755" s="101"/>
      <c r="K3755" s="226"/>
      <c r="L3755" s="226"/>
      <c r="M3755" s="101"/>
      <c r="N3755" s="101"/>
    </row>
    <row r="3756" spans="7:14" hidden="1" x14ac:dyDescent="0.3">
      <c r="G3756" s="101"/>
      <c r="H3756" s="101"/>
      <c r="I3756" s="101"/>
      <c r="K3756" s="226"/>
      <c r="L3756" s="226"/>
      <c r="M3756" s="101"/>
      <c r="N3756" s="101"/>
    </row>
    <row r="3757" spans="7:14" hidden="1" x14ac:dyDescent="0.3">
      <c r="G3757" s="101"/>
      <c r="H3757" s="101"/>
      <c r="I3757" s="101"/>
      <c r="K3757" s="226"/>
      <c r="L3757" s="226"/>
      <c r="M3757" s="101"/>
      <c r="N3757" s="101"/>
    </row>
    <row r="3758" spans="7:14" hidden="1" x14ac:dyDescent="0.3">
      <c r="G3758" s="101"/>
      <c r="H3758" s="101"/>
      <c r="I3758" s="101"/>
      <c r="K3758" s="226"/>
      <c r="L3758" s="226"/>
      <c r="M3758" s="101"/>
      <c r="N3758" s="101"/>
    </row>
    <row r="3759" spans="7:14" hidden="1" x14ac:dyDescent="0.3">
      <c r="G3759" s="101"/>
      <c r="H3759" s="101"/>
      <c r="I3759" s="101"/>
      <c r="K3759" s="226"/>
      <c r="L3759" s="226"/>
      <c r="M3759" s="101"/>
      <c r="N3759" s="101"/>
    </row>
    <row r="3760" spans="7:14" hidden="1" x14ac:dyDescent="0.3">
      <c r="G3760" s="101"/>
      <c r="H3760" s="101"/>
      <c r="I3760" s="101"/>
      <c r="K3760" s="226"/>
      <c r="L3760" s="226"/>
      <c r="M3760" s="101"/>
      <c r="N3760" s="101"/>
    </row>
    <row r="3761" spans="7:14" hidden="1" x14ac:dyDescent="0.3">
      <c r="G3761" s="101"/>
      <c r="H3761" s="101"/>
      <c r="I3761" s="101"/>
      <c r="K3761" s="226"/>
      <c r="L3761" s="226"/>
      <c r="M3761" s="101"/>
      <c r="N3761" s="101"/>
    </row>
    <row r="3762" spans="7:14" hidden="1" x14ac:dyDescent="0.3">
      <c r="G3762" s="101"/>
      <c r="H3762" s="101"/>
      <c r="I3762" s="101"/>
      <c r="K3762" s="226"/>
      <c r="L3762" s="226"/>
      <c r="M3762" s="101"/>
      <c r="N3762" s="101"/>
    </row>
    <row r="3763" spans="7:14" hidden="1" x14ac:dyDescent="0.3">
      <c r="G3763" s="101"/>
      <c r="H3763" s="101"/>
      <c r="I3763" s="101"/>
      <c r="K3763" s="226"/>
      <c r="L3763" s="226"/>
      <c r="M3763" s="101"/>
      <c r="N3763" s="101"/>
    </row>
    <row r="3764" spans="7:14" hidden="1" x14ac:dyDescent="0.3">
      <c r="G3764" s="101"/>
      <c r="H3764" s="101"/>
      <c r="I3764" s="101"/>
      <c r="K3764" s="226"/>
      <c r="L3764" s="226"/>
      <c r="M3764" s="101"/>
      <c r="N3764" s="101"/>
    </row>
    <row r="3765" spans="7:14" hidden="1" x14ac:dyDescent="0.3">
      <c r="G3765" s="101"/>
      <c r="H3765" s="101"/>
      <c r="I3765" s="101"/>
      <c r="K3765" s="226"/>
      <c r="L3765" s="226"/>
      <c r="M3765" s="101"/>
      <c r="N3765" s="101"/>
    </row>
    <row r="3766" spans="7:14" hidden="1" x14ac:dyDescent="0.3">
      <c r="G3766" s="101"/>
      <c r="H3766" s="101"/>
      <c r="I3766" s="101"/>
      <c r="K3766" s="226"/>
      <c r="L3766" s="226"/>
      <c r="M3766" s="101"/>
      <c r="N3766" s="101"/>
    </row>
    <row r="3767" spans="7:14" hidden="1" x14ac:dyDescent="0.3">
      <c r="G3767" s="101"/>
      <c r="H3767" s="101"/>
      <c r="I3767" s="101"/>
      <c r="K3767" s="226"/>
      <c r="L3767" s="226"/>
      <c r="M3767" s="101"/>
      <c r="N3767" s="101"/>
    </row>
    <row r="3768" spans="7:14" hidden="1" x14ac:dyDescent="0.3">
      <c r="G3768" s="101"/>
      <c r="H3768" s="101"/>
      <c r="I3768" s="101"/>
      <c r="K3768" s="226"/>
      <c r="L3768" s="226"/>
      <c r="M3768" s="101"/>
      <c r="N3768" s="101"/>
    </row>
    <row r="3769" spans="7:14" hidden="1" x14ac:dyDescent="0.3">
      <c r="G3769" s="101"/>
      <c r="H3769" s="101"/>
      <c r="I3769" s="101"/>
      <c r="K3769" s="226"/>
      <c r="L3769" s="226"/>
      <c r="M3769" s="101"/>
      <c r="N3769" s="101"/>
    </row>
    <row r="3770" spans="7:14" hidden="1" x14ac:dyDescent="0.3">
      <c r="G3770" s="101"/>
      <c r="H3770" s="101"/>
      <c r="I3770" s="101"/>
      <c r="K3770" s="226"/>
      <c r="L3770" s="226"/>
      <c r="M3770" s="101"/>
      <c r="N3770" s="101"/>
    </row>
    <row r="3771" spans="7:14" hidden="1" x14ac:dyDescent="0.3">
      <c r="G3771" s="101"/>
      <c r="H3771" s="101"/>
      <c r="I3771" s="101"/>
      <c r="K3771" s="226"/>
      <c r="L3771" s="226"/>
      <c r="M3771" s="101"/>
      <c r="N3771" s="101"/>
    </row>
    <row r="3772" spans="7:14" hidden="1" x14ac:dyDescent="0.3">
      <c r="G3772" s="101"/>
      <c r="H3772" s="101"/>
      <c r="I3772" s="101"/>
      <c r="K3772" s="226"/>
      <c r="L3772" s="226"/>
      <c r="M3772" s="101"/>
      <c r="N3772" s="101"/>
    </row>
    <row r="3773" spans="7:14" hidden="1" x14ac:dyDescent="0.3">
      <c r="G3773" s="101"/>
      <c r="H3773" s="101"/>
      <c r="I3773" s="101"/>
      <c r="K3773" s="226"/>
      <c r="L3773" s="226"/>
      <c r="M3773" s="101"/>
      <c r="N3773" s="101"/>
    </row>
    <row r="3774" spans="7:14" hidden="1" x14ac:dyDescent="0.3">
      <c r="G3774" s="101"/>
      <c r="H3774" s="101"/>
      <c r="I3774" s="101"/>
      <c r="K3774" s="226"/>
      <c r="L3774" s="226"/>
      <c r="M3774" s="101"/>
      <c r="N3774" s="101"/>
    </row>
    <row r="3775" spans="7:14" hidden="1" x14ac:dyDescent="0.3">
      <c r="G3775" s="101"/>
      <c r="H3775" s="101"/>
      <c r="I3775" s="101"/>
      <c r="K3775" s="226"/>
      <c r="L3775" s="226"/>
      <c r="M3775" s="101"/>
      <c r="N3775" s="101"/>
    </row>
    <row r="3776" spans="7:14" hidden="1" x14ac:dyDescent="0.3">
      <c r="G3776" s="101"/>
      <c r="H3776" s="101"/>
      <c r="I3776" s="101"/>
      <c r="K3776" s="226"/>
      <c r="L3776" s="226"/>
      <c r="M3776" s="101"/>
      <c r="N3776" s="101"/>
    </row>
    <row r="3777" spans="7:14" hidden="1" x14ac:dyDescent="0.3">
      <c r="G3777" s="101"/>
      <c r="H3777" s="101"/>
      <c r="I3777" s="101"/>
      <c r="K3777" s="226"/>
      <c r="L3777" s="226"/>
      <c r="M3777" s="101"/>
      <c r="N3777" s="101"/>
    </row>
    <row r="3778" spans="7:14" hidden="1" x14ac:dyDescent="0.3">
      <c r="G3778" s="101"/>
      <c r="H3778" s="101"/>
      <c r="I3778" s="101"/>
      <c r="K3778" s="226"/>
      <c r="L3778" s="226"/>
      <c r="M3778" s="101"/>
      <c r="N3778" s="101"/>
    </row>
    <row r="3779" spans="7:14" hidden="1" x14ac:dyDescent="0.3">
      <c r="G3779" s="101"/>
      <c r="H3779" s="101"/>
      <c r="I3779" s="101"/>
      <c r="K3779" s="226"/>
      <c r="L3779" s="226"/>
      <c r="M3779" s="101"/>
      <c r="N3779" s="101"/>
    </row>
    <row r="3780" spans="7:14" hidden="1" x14ac:dyDescent="0.3">
      <c r="G3780" s="101"/>
      <c r="H3780" s="101"/>
      <c r="I3780" s="101"/>
      <c r="K3780" s="226"/>
      <c r="L3780" s="226"/>
      <c r="M3780" s="101"/>
      <c r="N3780" s="101"/>
    </row>
    <row r="3781" spans="7:14" hidden="1" x14ac:dyDescent="0.3">
      <c r="G3781" s="101"/>
      <c r="H3781" s="101"/>
      <c r="I3781" s="101"/>
      <c r="K3781" s="226"/>
      <c r="L3781" s="226"/>
      <c r="M3781" s="101"/>
      <c r="N3781" s="101"/>
    </row>
    <row r="3782" spans="7:14" hidden="1" x14ac:dyDescent="0.3">
      <c r="G3782" s="101"/>
      <c r="H3782" s="101"/>
      <c r="I3782" s="101"/>
      <c r="K3782" s="226"/>
      <c r="L3782" s="226"/>
      <c r="M3782" s="101"/>
      <c r="N3782" s="101"/>
    </row>
    <row r="3783" spans="7:14" hidden="1" x14ac:dyDescent="0.3">
      <c r="G3783" s="101"/>
      <c r="H3783" s="101"/>
      <c r="I3783" s="101"/>
      <c r="K3783" s="226"/>
      <c r="L3783" s="226"/>
      <c r="M3783" s="101"/>
      <c r="N3783" s="101"/>
    </row>
    <row r="3784" spans="7:14" hidden="1" x14ac:dyDescent="0.3">
      <c r="G3784" s="101"/>
      <c r="H3784" s="101"/>
      <c r="I3784" s="101"/>
      <c r="K3784" s="226"/>
      <c r="L3784" s="226"/>
      <c r="M3784" s="101"/>
      <c r="N3784" s="101"/>
    </row>
    <row r="3785" spans="7:14" hidden="1" x14ac:dyDescent="0.3">
      <c r="G3785" s="101"/>
      <c r="H3785" s="101"/>
      <c r="I3785" s="101"/>
      <c r="K3785" s="226"/>
      <c r="L3785" s="226"/>
      <c r="M3785" s="101"/>
      <c r="N3785" s="101"/>
    </row>
    <row r="3786" spans="7:14" hidden="1" x14ac:dyDescent="0.3">
      <c r="G3786" s="101"/>
      <c r="H3786" s="101"/>
      <c r="I3786" s="101"/>
      <c r="K3786" s="226"/>
      <c r="L3786" s="226"/>
      <c r="M3786" s="101"/>
      <c r="N3786" s="101"/>
    </row>
    <row r="3787" spans="7:14" hidden="1" x14ac:dyDescent="0.3">
      <c r="G3787" s="101"/>
      <c r="H3787" s="101"/>
      <c r="I3787" s="101"/>
      <c r="K3787" s="226"/>
      <c r="L3787" s="226"/>
      <c r="M3787" s="101"/>
      <c r="N3787" s="101"/>
    </row>
    <row r="3788" spans="7:14" hidden="1" x14ac:dyDescent="0.3">
      <c r="G3788" s="101"/>
      <c r="H3788" s="101"/>
      <c r="I3788" s="101"/>
      <c r="K3788" s="226"/>
      <c r="L3788" s="226"/>
      <c r="M3788" s="101"/>
      <c r="N3788" s="101"/>
    </row>
    <row r="3789" spans="7:14" hidden="1" x14ac:dyDescent="0.3">
      <c r="G3789" s="101"/>
      <c r="H3789" s="101"/>
      <c r="I3789" s="101"/>
      <c r="K3789" s="226"/>
      <c r="L3789" s="226"/>
      <c r="M3789" s="101"/>
      <c r="N3789" s="101"/>
    </row>
    <row r="3790" spans="7:14" hidden="1" x14ac:dyDescent="0.3">
      <c r="G3790" s="101"/>
      <c r="H3790" s="101"/>
      <c r="I3790" s="101"/>
      <c r="K3790" s="226"/>
      <c r="L3790" s="226"/>
      <c r="M3790" s="101"/>
      <c r="N3790" s="101"/>
    </row>
    <row r="3791" spans="7:14" hidden="1" x14ac:dyDescent="0.3">
      <c r="G3791" s="101"/>
      <c r="H3791" s="101"/>
      <c r="I3791" s="101"/>
      <c r="K3791" s="226"/>
      <c r="L3791" s="226"/>
      <c r="M3791" s="101"/>
      <c r="N3791" s="101"/>
    </row>
    <row r="3792" spans="7:14" hidden="1" x14ac:dyDescent="0.3">
      <c r="G3792" s="101"/>
      <c r="H3792" s="101"/>
      <c r="I3792" s="101"/>
      <c r="K3792" s="226"/>
      <c r="L3792" s="226"/>
      <c r="M3792" s="101"/>
      <c r="N3792" s="101"/>
    </row>
    <row r="3793" spans="7:14" hidden="1" x14ac:dyDescent="0.3">
      <c r="G3793" s="101"/>
      <c r="H3793" s="101"/>
      <c r="I3793" s="101"/>
      <c r="K3793" s="226"/>
      <c r="L3793" s="226"/>
      <c r="M3793" s="101"/>
      <c r="N3793" s="101"/>
    </row>
    <row r="3794" spans="7:14" hidden="1" x14ac:dyDescent="0.3">
      <c r="G3794" s="101"/>
      <c r="H3794" s="101"/>
      <c r="I3794" s="101"/>
      <c r="K3794" s="226"/>
      <c r="L3794" s="226"/>
      <c r="M3794" s="101"/>
      <c r="N3794" s="101"/>
    </row>
    <row r="3795" spans="7:14" hidden="1" x14ac:dyDescent="0.3">
      <c r="G3795" s="101"/>
      <c r="H3795" s="101"/>
      <c r="I3795" s="101"/>
      <c r="K3795" s="226"/>
      <c r="L3795" s="226"/>
      <c r="M3795" s="101"/>
      <c r="N3795" s="101"/>
    </row>
    <row r="3796" spans="7:14" hidden="1" x14ac:dyDescent="0.3">
      <c r="G3796" s="101"/>
      <c r="H3796" s="101"/>
      <c r="I3796" s="101"/>
      <c r="K3796" s="226"/>
      <c r="L3796" s="226"/>
      <c r="M3796" s="101"/>
      <c r="N3796" s="101"/>
    </row>
    <row r="3797" spans="7:14" hidden="1" x14ac:dyDescent="0.3">
      <c r="G3797" s="101"/>
      <c r="H3797" s="101"/>
      <c r="I3797" s="101"/>
      <c r="K3797" s="226"/>
      <c r="L3797" s="226"/>
      <c r="M3797" s="101"/>
      <c r="N3797" s="101"/>
    </row>
    <row r="3798" spans="7:14" hidden="1" x14ac:dyDescent="0.3">
      <c r="G3798" s="101"/>
      <c r="H3798" s="101"/>
      <c r="I3798" s="101"/>
      <c r="K3798" s="226"/>
      <c r="L3798" s="226"/>
      <c r="M3798" s="101"/>
      <c r="N3798" s="101"/>
    </row>
    <row r="3799" spans="7:14" hidden="1" x14ac:dyDescent="0.3">
      <c r="G3799" s="101"/>
      <c r="H3799" s="101"/>
      <c r="I3799" s="101"/>
      <c r="K3799" s="226"/>
      <c r="L3799" s="226"/>
      <c r="M3799" s="101"/>
      <c r="N3799" s="101"/>
    </row>
    <row r="3800" spans="7:14" hidden="1" x14ac:dyDescent="0.3">
      <c r="G3800" s="101"/>
      <c r="H3800" s="101"/>
      <c r="I3800" s="101"/>
      <c r="K3800" s="226"/>
      <c r="L3800" s="226"/>
      <c r="M3800" s="101"/>
      <c r="N3800" s="101"/>
    </row>
    <row r="3801" spans="7:14" hidden="1" x14ac:dyDescent="0.3">
      <c r="G3801" s="101"/>
      <c r="H3801" s="101"/>
      <c r="I3801" s="101"/>
      <c r="K3801" s="226"/>
      <c r="L3801" s="226"/>
      <c r="M3801" s="101"/>
      <c r="N3801" s="101"/>
    </row>
    <row r="3802" spans="7:14" hidden="1" x14ac:dyDescent="0.3">
      <c r="G3802" s="101"/>
      <c r="H3802" s="101"/>
      <c r="I3802" s="101"/>
      <c r="K3802" s="226"/>
      <c r="L3802" s="226"/>
      <c r="M3802" s="101"/>
      <c r="N3802" s="101"/>
    </row>
    <row r="3803" spans="7:14" hidden="1" x14ac:dyDescent="0.3">
      <c r="G3803" s="101"/>
      <c r="H3803" s="101"/>
      <c r="I3803" s="101"/>
      <c r="K3803" s="226"/>
      <c r="L3803" s="226"/>
      <c r="M3803" s="101"/>
      <c r="N3803" s="101"/>
    </row>
    <row r="3804" spans="7:14" hidden="1" x14ac:dyDescent="0.3">
      <c r="G3804" s="101"/>
      <c r="H3804" s="101"/>
      <c r="I3804" s="101"/>
      <c r="K3804" s="226"/>
      <c r="L3804" s="226"/>
      <c r="M3804" s="101"/>
      <c r="N3804" s="101"/>
    </row>
    <row r="3805" spans="7:14" hidden="1" x14ac:dyDescent="0.3">
      <c r="G3805" s="101"/>
      <c r="H3805" s="101"/>
      <c r="I3805" s="101"/>
      <c r="K3805" s="226"/>
      <c r="L3805" s="226"/>
      <c r="M3805" s="101"/>
      <c r="N3805" s="101"/>
    </row>
    <row r="3806" spans="7:14" hidden="1" x14ac:dyDescent="0.3">
      <c r="G3806" s="101"/>
      <c r="H3806" s="101"/>
      <c r="I3806" s="101"/>
      <c r="K3806" s="226"/>
      <c r="L3806" s="226"/>
      <c r="M3806" s="101"/>
      <c r="N3806" s="101"/>
    </row>
    <row r="3807" spans="7:14" hidden="1" x14ac:dyDescent="0.3">
      <c r="G3807" s="101"/>
      <c r="H3807" s="101"/>
      <c r="I3807" s="101"/>
      <c r="K3807" s="226"/>
      <c r="L3807" s="226"/>
      <c r="M3807" s="101"/>
      <c r="N3807" s="101"/>
    </row>
    <row r="3808" spans="7:14" hidden="1" x14ac:dyDescent="0.3">
      <c r="G3808" s="101"/>
      <c r="H3808" s="101"/>
      <c r="I3808" s="101"/>
      <c r="K3808" s="226"/>
      <c r="L3808" s="226"/>
      <c r="M3808" s="101"/>
      <c r="N3808" s="101"/>
    </row>
    <row r="3809" spans="7:14" hidden="1" x14ac:dyDescent="0.3">
      <c r="G3809" s="101"/>
      <c r="H3809" s="101"/>
      <c r="I3809" s="101"/>
      <c r="K3809" s="226"/>
      <c r="L3809" s="226"/>
      <c r="M3809" s="101"/>
      <c r="N3809" s="101"/>
    </row>
    <row r="3810" spans="7:14" hidden="1" x14ac:dyDescent="0.3">
      <c r="G3810" s="101"/>
      <c r="H3810" s="101"/>
      <c r="I3810" s="101"/>
      <c r="K3810" s="226"/>
      <c r="L3810" s="226"/>
      <c r="M3810" s="101"/>
      <c r="N3810" s="101"/>
    </row>
    <row r="3811" spans="7:14" hidden="1" x14ac:dyDescent="0.3">
      <c r="G3811" s="101"/>
      <c r="H3811" s="101"/>
      <c r="I3811" s="101"/>
      <c r="K3811" s="226"/>
      <c r="L3811" s="226"/>
      <c r="M3811" s="101"/>
      <c r="N3811" s="101"/>
    </row>
    <row r="3812" spans="7:14" hidden="1" x14ac:dyDescent="0.3">
      <c r="G3812" s="101"/>
      <c r="H3812" s="101"/>
      <c r="I3812" s="101"/>
      <c r="K3812" s="226"/>
      <c r="L3812" s="226"/>
      <c r="M3812" s="101"/>
      <c r="N3812" s="101"/>
    </row>
    <row r="3813" spans="7:14" hidden="1" x14ac:dyDescent="0.3">
      <c r="G3813" s="101"/>
      <c r="H3813" s="101"/>
      <c r="I3813" s="101"/>
      <c r="K3813" s="226"/>
      <c r="L3813" s="226"/>
      <c r="M3813" s="101"/>
      <c r="N3813" s="101"/>
    </row>
    <row r="3814" spans="7:14" hidden="1" x14ac:dyDescent="0.3">
      <c r="G3814" s="101"/>
      <c r="H3814" s="101"/>
      <c r="I3814" s="101"/>
      <c r="K3814" s="226"/>
      <c r="L3814" s="226"/>
      <c r="M3814" s="101"/>
      <c r="N3814" s="101"/>
    </row>
    <row r="3815" spans="7:14" hidden="1" x14ac:dyDescent="0.3">
      <c r="G3815" s="101"/>
      <c r="H3815" s="101"/>
      <c r="I3815" s="101"/>
      <c r="K3815" s="226"/>
      <c r="L3815" s="226"/>
      <c r="M3815" s="101"/>
      <c r="N3815" s="101"/>
    </row>
    <row r="3816" spans="7:14" hidden="1" x14ac:dyDescent="0.3">
      <c r="G3816" s="101"/>
      <c r="H3816" s="101"/>
      <c r="I3816" s="101"/>
      <c r="K3816" s="226"/>
      <c r="L3816" s="226"/>
      <c r="M3816" s="101"/>
      <c r="N3816" s="101"/>
    </row>
    <row r="3817" spans="7:14" hidden="1" x14ac:dyDescent="0.3">
      <c r="G3817" s="101"/>
      <c r="H3817" s="101"/>
      <c r="I3817" s="101"/>
      <c r="K3817" s="226"/>
      <c r="L3817" s="226"/>
      <c r="M3817" s="101"/>
      <c r="N3817" s="101"/>
    </row>
    <row r="3818" spans="7:14" hidden="1" x14ac:dyDescent="0.3">
      <c r="G3818" s="101"/>
      <c r="H3818" s="101"/>
      <c r="I3818" s="101"/>
      <c r="K3818" s="226"/>
      <c r="L3818" s="226"/>
      <c r="M3818" s="101"/>
      <c r="N3818" s="101"/>
    </row>
    <row r="3819" spans="7:14" hidden="1" x14ac:dyDescent="0.3">
      <c r="G3819" s="101"/>
      <c r="H3819" s="101"/>
      <c r="I3819" s="101"/>
      <c r="K3819" s="226"/>
      <c r="L3819" s="226"/>
      <c r="M3819" s="101"/>
      <c r="N3819" s="101"/>
    </row>
    <row r="3820" spans="7:14" hidden="1" x14ac:dyDescent="0.3">
      <c r="G3820" s="101"/>
      <c r="H3820" s="101"/>
      <c r="I3820" s="101"/>
      <c r="K3820" s="226"/>
      <c r="L3820" s="226"/>
      <c r="M3820" s="101"/>
      <c r="N3820" s="101"/>
    </row>
    <row r="3821" spans="7:14" hidden="1" x14ac:dyDescent="0.3">
      <c r="G3821" s="101"/>
      <c r="H3821" s="101"/>
      <c r="I3821" s="101"/>
      <c r="K3821" s="226"/>
      <c r="L3821" s="226"/>
      <c r="M3821" s="101"/>
      <c r="N3821" s="101"/>
    </row>
    <row r="3822" spans="7:14" hidden="1" x14ac:dyDescent="0.3">
      <c r="G3822" s="101"/>
      <c r="H3822" s="101"/>
      <c r="I3822" s="101"/>
      <c r="K3822" s="226"/>
      <c r="L3822" s="226"/>
      <c r="M3822" s="101"/>
      <c r="N3822" s="101"/>
    </row>
    <row r="3823" spans="7:14" hidden="1" x14ac:dyDescent="0.3">
      <c r="G3823" s="101"/>
      <c r="H3823" s="101"/>
      <c r="I3823" s="101"/>
      <c r="K3823" s="226"/>
      <c r="L3823" s="226"/>
      <c r="M3823" s="101"/>
      <c r="N3823" s="101"/>
    </row>
    <row r="3824" spans="7:14" hidden="1" x14ac:dyDescent="0.3">
      <c r="G3824" s="101"/>
      <c r="H3824" s="101"/>
      <c r="I3824" s="101"/>
      <c r="K3824" s="226"/>
      <c r="L3824" s="226"/>
      <c r="M3824" s="101"/>
      <c r="N3824" s="101"/>
    </row>
    <row r="3825" spans="7:14" hidden="1" x14ac:dyDescent="0.3">
      <c r="G3825" s="101"/>
      <c r="H3825" s="101"/>
      <c r="I3825" s="101"/>
      <c r="K3825" s="226"/>
      <c r="L3825" s="226"/>
      <c r="M3825" s="101"/>
      <c r="N3825" s="101"/>
    </row>
    <row r="3826" spans="7:14" hidden="1" x14ac:dyDescent="0.3">
      <c r="G3826" s="101"/>
      <c r="H3826" s="101"/>
      <c r="I3826" s="101"/>
      <c r="K3826" s="226"/>
      <c r="L3826" s="226"/>
      <c r="M3826" s="101"/>
      <c r="N3826" s="101"/>
    </row>
    <row r="3827" spans="7:14" hidden="1" x14ac:dyDescent="0.3">
      <c r="G3827" s="101"/>
      <c r="H3827" s="101"/>
      <c r="I3827" s="101"/>
      <c r="K3827" s="226"/>
      <c r="L3827" s="226"/>
      <c r="M3827" s="101"/>
      <c r="N3827" s="101"/>
    </row>
    <row r="3828" spans="7:14" hidden="1" x14ac:dyDescent="0.3">
      <c r="G3828" s="101"/>
      <c r="H3828" s="101"/>
      <c r="I3828" s="101"/>
      <c r="K3828" s="226"/>
      <c r="L3828" s="226"/>
      <c r="M3828" s="101"/>
      <c r="N3828" s="101"/>
    </row>
    <row r="3829" spans="7:14" hidden="1" x14ac:dyDescent="0.3">
      <c r="G3829" s="101"/>
      <c r="H3829" s="101"/>
      <c r="I3829" s="101"/>
      <c r="K3829" s="226"/>
      <c r="L3829" s="226"/>
      <c r="M3829" s="101"/>
      <c r="N3829" s="101"/>
    </row>
    <row r="3830" spans="7:14" hidden="1" x14ac:dyDescent="0.3">
      <c r="G3830" s="101"/>
      <c r="H3830" s="101"/>
      <c r="I3830" s="101"/>
      <c r="K3830" s="226"/>
      <c r="L3830" s="226"/>
      <c r="M3830" s="101"/>
      <c r="N3830" s="101"/>
    </row>
    <row r="3831" spans="7:14" hidden="1" x14ac:dyDescent="0.3">
      <c r="G3831" s="101"/>
      <c r="H3831" s="101"/>
      <c r="I3831" s="101"/>
      <c r="K3831" s="226"/>
      <c r="L3831" s="226"/>
      <c r="M3831" s="101"/>
      <c r="N3831" s="101"/>
    </row>
    <row r="3832" spans="7:14" hidden="1" x14ac:dyDescent="0.3">
      <c r="G3832" s="101"/>
      <c r="H3832" s="101"/>
      <c r="I3832" s="101"/>
      <c r="K3832" s="226"/>
      <c r="L3832" s="226"/>
      <c r="M3832" s="101"/>
      <c r="N3832" s="101"/>
    </row>
    <row r="3833" spans="7:14" hidden="1" x14ac:dyDescent="0.3">
      <c r="G3833" s="101"/>
      <c r="H3833" s="101"/>
      <c r="I3833" s="101"/>
      <c r="K3833" s="226"/>
      <c r="L3833" s="226"/>
      <c r="M3833" s="101"/>
      <c r="N3833" s="101"/>
    </row>
    <row r="3834" spans="7:14" hidden="1" x14ac:dyDescent="0.3">
      <c r="G3834" s="101"/>
      <c r="H3834" s="101"/>
      <c r="I3834" s="101"/>
      <c r="K3834" s="226"/>
      <c r="L3834" s="226"/>
      <c r="M3834" s="101"/>
      <c r="N3834" s="101"/>
    </row>
    <row r="3835" spans="7:14" hidden="1" x14ac:dyDescent="0.3">
      <c r="G3835" s="101"/>
      <c r="H3835" s="101"/>
      <c r="I3835" s="101"/>
      <c r="K3835" s="226"/>
      <c r="L3835" s="226"/>
      <c r="M3835" s="101"/>
      <c r="N3835" s="101"/>
    </row>
    <row r="3836" spans="7:14" hidden="1" x14ac:dyDescent="0.3">
      <c r="G3836" s="101"/>
      <c r="H3836" s="101"/>
      <c r="I3836" s="101"/>
      <c r="K3836" s="226"/>
      <c r="L3836" s="226"/>
      <c r="M3836" s="101"/>
      <c r="N3836" s="101"/>
    </row>
    <row r="3837" spans="7:14" hidden="1" x14ac:dyDescent="0.3">
      <c r="G3837" s="101"/>
      <c r="H3837" s="101"/>
      <c r="I3837" s="101"/>
      <c r="K3837" s="226"/>
      <c r="L3837" s="226"/>
      <c r="M3837" s="101"/>
      <c r="N3837" s="101"/>
    </row>
    <row r="3838" spans="7:14" hidden="1" x14ac:dyDescent="0.3">
      <c r="G3838" s="101"/>
      <c r="H3838" s="101"/>
      <c r="I3838" s="101"/>
      <c r="K3838" s="226"/>
      <c r="L3838" s="226"/>
      <c r="M3838" s="101"/>
      <c r="N3838" s="101"/>
    </row>
    <row r="3839" spans="7:14" hidden="1" x14ac:dyDescent="0.3">
      <c r="G3839" s="101"/>
      <c r="H3839" s="101"/>
      <c r="I3839" s="101"/>
      <c r="K3839" s="226"/>
      <c r="L3839" s="226"/>
      <c r="M3839" s="101"/>
      <c r="N3839" s="101"/>
    </row>
    <row r="3840" spans="7:14" hidden="1" x14ac:dyDescent="0.3">
      <c r="G3840" s="101"/>
      <c r="H3840" s="101"/>
      <c r="I3840" s="101"/>
      <c r="K3840" s="226"/>
      <c r="L3840" s="226"/>
      <c r="M3840" s="101"/>
      <c r="N3840" s="101"/>
    </row>
    <row r="3841" spans="7:14" hidden="1" x14ac:dyDescent="0.3">
      <c r="G3841" s="101"/>
      <c r="H3841" s="101"/>
      <c r="I3841" s="101"/>
      <c r="K3841" s="226"/>
      <c r="L3841" s="226"/>
      <c r="M3841" s="101"/>
      <c r="N3841" s="101"/>
    </row>
    <row r="3842" spans="7:14" hidden="1" x14ac:dyDescent="0.3">
      <c r="G3842" s="101"/>
      <c r="H3842" s="101"/>
      <c r="I3842" s="101"/>
      <c r="K3842" s="226"/>
      <c r="L3842" s="226"/>
      <c r="M3842" s="101"/>
      <c r="N3842" s="101"/>
    </row>
    <row r="3843" spans="7:14" hidden="1" x14ac:dyDescent="0.3">
      <c r="G3843" s="101"/>
      <c r="H3843" s="101"/>
      <c r="I3843" s="101"/>
      <c r="K3843" s="226"/>
      <c r="L3843" s="226"/>
      <c r="M3843" s="101"/>
      <c r="N3843" s="101"/>
    </row>
    <row r="3844" spans="7:14" hidden="1" x14ac:dyDescent="0.3">
      <c r="G3844" s="101"/>
      <c r="H3844" s="101"/>
      <c r="I3844" s="101"/>
      <c r="K3844" s="226"/>
      <c r="L3844" s="226"/>
      <c r="M3844" s="101"/>
      <c r="N3844" s="101"/>
    </row>
    <row r="3845" spans="7:14" hidden="1" x14ac:dyDescent="0.3">
      <c r="G3845" s="101"/>
      <c r="H3845" s="101"/>
      <c r="I3845" s="101"/>
      <c r="K3845" s="226"/>
      <c r="L3845" s="226"/>
      <c r="M3845" s="101"/>
      <c r="N3845" s="101"/>
    </row>
    <row r="3846" spans="7:14" hidden="1" x14ac:dyDescent="0.3">
      <c r="G3846" s="101"/>
      <c r="H3846" s="101"/>
      <c r="I3846" s="101"/>
      <c r="K3846" s="226"/>
      <c r="L3846" s="226"/>
      <c r="M3846" s="101"/>
      <c r="N3846" s="101"/>
    </row>
    <row r="3847" spans="7:14" hidden="1" x14ac:dyDescent="0.3">
      <c r="G3847" s="101"/>
      <c r="H3847" s="101"/>
      <c r="I3847" s="101"/>
      <c r="K3847" s="226"/>
      <c r="L3847" s="226"/>
      <c r="M3847" s="101"/>
      <c r="N3847" s="101"/>
    </row>
    <row r="3848" spans="7:14" hidden="1" x14ac:dyDescent="0.3">
      <c r="G3848" s="101"/>
      <c r="H3848" s="101"/>
      <c r="I3848" s="101"/>
      <c r="K3848" s="226"/>
      <c r="L3848" s="226"/>
      <c r="M3848" s="101"/>
      <c r="N3848" s="101"/>
    </row>
    <row r="3849" spans="7:14" hidden="1" x14ac:dyDescent="0.3">
      <c r="G3849" s="101"/>
      <c r="H3849" s="101"/>
      <c r="I3849" s="101"/>
      <c r="K3849" s="226"/>
      <c r="L3849" s="226"/>
      <c r="M3849" s="101"/>
      <c r="N3849" s="101"/>
    </row>
    <row r="3850" spans="7:14" hidden="1" x14ac:dyDescent="0.3">
      <c r="G3850" s="101"/>
      <c r="H3850" s="101"/>
      <c r="I3850" s="101"/>
      <c r="K3850" s="226"/>
      <c r="L3850" s="226"/>
      <c r="M3850" s="101"/>
      <c r="N3850" s="101"/>
    </row>
    <row r="3851" spans="7:14" hidden="1" x14ac:dyDescent="0.3">
      <c r="G3851" s="101"/>
      <c r="H3851" s="101"/>
      <c r="I3851" s="101"/>
      <c r="K3851" s="226"/>
      <c r="L3851" s="226"/>
      <c r="M3851" s="101"/>
      <c r="N3851" s="101"/>
    </row>
    <row r="3852" spans="7:14" hidden="1" x14ac:dyDescent="0.3">
      <c r="G3852" s="101"/>
      <c r="H3852" s="101"/>
      <c r="I3852" s="101"/>
      <c r="K3852" s="226"/>
      <c r="L3852" s="226"/>
      <c r="M3852" s="101"/>
      <c r="N3852" s="101"/>
    </row>
    <row r="3853" spans="7:14" hidden="1" x14ac:dyDescent="0.3">
      <c r="G3853" s="101"/>
      <c r="H3853" s="101"/>
      <c r="I3853" s="101"/>
      <c r="K3853" s="226"/>
      <c r="L3853" s="226"/>
      <c r="M3853" s="101"/>
      <c r="N3853" s="101"/>
    </row>
    <row r="3854" spans="7:14" hidden="1" x14ac:dyDescent="0.3">
      <c r="G3854" s="101"/>
      <c r="H3854" s="101"/>
      <c r="I3854" s="101"/>
      <c r="K3854" s="226"/>
      <c r="L3854" s="226"/>
      <c r="M3854" s="101"/>
      <c r="N3854" s="101"/>
    </row>
    <row r="3855" spans="7:14" hidden="1" x14ac:dyDescent="0.3">
      <c r="G3855" s="101"/>
      <c r="H3855" s="101"/>
      <c r="I3855" s="101"/>
      <c r="K3855" s="226"/>
      <c r="L3855" s="226"/>
      <c r="M3855" s="101"/>
      <c r="N3855" s="101"/>
    </row>
    <row r="3856" spans="7:14" hidden="1" x14ac:dyDescent="0.3">
      <c r="G3856" s="101"/>
      <c r="H3856" s="101"/>
      <c r="I3856" s="101"/>
      <c r="K3856" s="226"/>
      <c r="L3856" s="226"/>
      <c r="M3856" s="101"/>
      <c r="N3856" s="101"/>
    </row>
    <row r="3857" spans="7:14" hidden="1" x14ac:dyDescent="0.3">
      <c r="G3857" s="101"/>
      <c r="H3857" s="101"/>
      <c r="I3857" s="101"/>
      <c r="K3857" s="226"/>
      <c r="L3857" s="226"/>
      <c r="M3857" s="101"/>
      <c r="N3857" s="101"/>
    </row>
    <row r="3858" spans="7:14" hidden="1" x14ac:dyDescent="0.3">
      <c r="G3858" s="101"/>
      <c r="H3858" s="101"/>
      <c r="I3858" s="101"/>
      <c r="K3858" s="226"/>
      <c r="L3858" s="226"/>
      <c r="M3858" s="101"/>
      <c r="N3858" s="101"/>
    </row>
    <row r="3859" spans="7:14" hidden="1" x14ac:dyDescent="0.3">
      <c r="G3859" s="101"/>
      <c r="H3859" s="101"/>
      <c r="I3859" s="101"/>
      <c r="K3859" s="226"/>
      <c r="L3859" s="226"/>
      <c r="M3859" s="101"/>
      <c r="N3859" s="101"/>
    </row>
    <row r="3860" spans="7:14" hidden="1" x14ac:dyDescent="0.3">
      <c r="G3860" s="101"/>
      <c r="H3860" s="101"/>
      <c r="I3860" s="101"/>
      <c r="K3860" s="226"/>
      <c r="L3860" s="226"/>
      <c r="M3860" s="101"/>
      <c r="N3860" s="101"/>
    </row>
    <row r="3861" spans="7:14" hidden="1" x14ac:dyDescent="0.3">
      <c r="G3861" s="101"/>
      <c r="H3861" s="101"/>
      <c r="I3861" s="101"/>
      <c r="K3861" s="226"/>
      <c r="L3861" s="226"/>
      <c r="M3861" s="101"/>
      <c r="N3861" s="101"/>
    </row>
    <row r="3862" spans="7:14" hidden="1" x14ac:dyDescent="0.3">
      <c r="G3862" s="101"/>
      <c r="H3862" s="101"/>
      <c r="I3862" s="101"/>
      <c r="K3862" s="226"/>
      <c r="L3862" s="226"/>
      <c r="M3862" s="101"/>
      <c r="N3862" s="101"/>
    </row>
    <row r="3863" spans="7:14" hidden="1" x14ac:dyDescent="0.3">
      <c r="G3863" s="101"/>
      <c r="H3863" s="101"/>
      <c r="I3863" s="101"/>
      <c r="K3863" s="226"/>
      <c r="L3863" s="226"/>
      <c r="M3863" s="101"/>
      <c r="N3863" s="101"/>
    </row>
    <row r="3864" spans="7:14" hidden="1" x14ac:dyDescent="0.3">
      <c r="G3864" s="101"/>
      <c r="H3864" s="101"/>
      <c r="I3864" s="101"/>
      <c r="K3864" s="226"/>
      <c r="L3864" s="226"/>
      <c r="M3864" s="101"/>
      <c r="N3864" s="101"/>
    </row>
    <row r="3865" spans="7:14" hidden="1" x14ac:dyDescent="0.3">
      <c r="G3865" s="101"/>
      <c r="H3865" s="101"/>
      <c r="I3865" s="101"/>
      <c r="K3865" s="226"/>
      <c r="L3865" s="226"/>
      <c r="M3865" s="101"/>
      <c r="N3865" s="101"/>
    </row>
    <row r="3866" spans="7:14" hidden="1" x14ac:dyDescent="0.3">
      <c r="G3866" s="101"/>
      <c r="H3866" s="101"/>
      <c r="I3866" s="101"/>
      <c r="K3866" s="226"/>
      <c r="L3866" s="226"/>
      <c r="M3866" s="101"/>
      <c r="N3866" s="101"/>
    </row>
    <row r="3867" spans="7:14" hidden="1" x14ac:dyDescent="0.3">
      <c r="G3867" s="101"/>
      <c r="H3867" s="101"/>
      <c r="I3867" s="101"/>
      <c r="K3867" s="226"/>
      <c r="L3867" s="226"/>
      <c r="M3867" s="101"/>
      <c r="N3867" s="101"/>
    </row>
    <row r="3868" spans="7:14" hidden="1" x14ac:dyDescent="0.3">
      <c r="G3868" s="101"/>
      <c r="H3868" s="101"/>
      <c r="I3868" s="101"/>
      <c r="K3868" s="226"/>
      <c r="L3868" s="226"/>
      <c r="M3868" s="101"/>
      <c r="N3868" s="101"/>
    </row>
    <row r="3869" spans="7:14" hidden="1" x14ac:dyDescent="0.3">
      <c r="G3869" s="101"/>
      <c r="H3869" s="101"/>
      <c r="I3869" s="101"/>
      <c r="K3869" s="226"/>
      <c r="L3869" s="226"/>
      <c r="M3869" s="101"/>
      <c r="N3869" s="101"/>
    </row>
    <row r="3870" spans="7:14" hidden="1" x14ac:dyDescent="0.3">
      <c r="G3870" s="101"/>
      <c r="H3870" s="101"/>
      <c r="I3870" s="101"/>
      <c r="K3870" s="226"/>
      <c r="L3870" s="226"/>
      <c r="M3870" s="101"/>
      <c r="N3870" s="101"/>
    </row>
    <row r="3871" spans="7:14" hidden="1" x14ac:dyDescent="0.3">
      <c r="G3871" s="101"/>
      <c r="H3871" s="101"/>
      <c r="I3871" s="101"/>
      <c r="K3871" s="226"/>
      <c r="L3871" s="226"/>
      <c r="M3871" s="101"/>
      <c r="N3871" s="101"/>
    </row>
    <row r="3872" spans="7:14" hidden="1" x14ac:dyDescent="0.3">
      <c r="G3872" s="101"/>
      <c r="H3872" s="101"/>
      <c r="I3872" s="101"/>
      <c r="K3872" s="226"/>
      <c r="L3872" s="226"/>
      <c r="M3872" s="101"/>
      <c r="N3872" s="101"/>
    </row>
    <row r="3873" spans="7:14" hidden="1" x14ac:dyDescent="0.3">
      <c r="G3873" s="101"/>
      <c r="H3873" s="101"/>
      <c r="I3873" s="101"/>
      <c r="K3873" s="226"/>
      <c r="L3873" s="226"/>
      <c r="M3873" s="101"/>
      <c r="N3873" s="101"/>
    </row>
    <row r="3874" spans="7:14" hidden="1" x14ac:dyDescent="0.3">
      <c r="G3874" s="101"/>
      <c r="H3874" s="101"/>
      <c r="I3874" s="101"/>
      <c r="K3874" s="226"/>
      <c r="L3874" s="226"/>
      <c r="M3874" s="101"/>
      <c r="N3874" s="101"/>
    </row>
    <row r="3875" spans="7:14" hidden="1" x14ac:dyDescent="0.3">
      <c r="G3875" s="101"/>
      <c r="H3875" s="101"/>
      <c r="I3875" s="101"/>
      <c r="K3875" s="226"/>
      <c r="L3875" s="226"/>
      <c r="M3875" s="101"/>
      <c r="N3875" s="101"/>
    </row>
    <row r="3876" spans="7:14" hidden="1" x14ac:dyDescent="0.3">
      <c r="G3876" s="101"/>
      <c r="H3876" s="101"/>
      <c r="I3876" s="101"/>
      <c r="K3876" s="226"/>
      <c r="L3876" s="226"/>
      <c r="M3876" s="101"/>
      <c r="N3876" s="101"/>
    </row>
    <row r="3877" spans="7:14" hidden="1" x14ac:dyDescent="0.3">
      <c r="G3877" s="101"/>
      <c r="H3877" s="101"/>
      <c r="I3877" s="101"/>
      <c r="K3877" s="226"/>
      <c r="L3877" s="226"/>
      <c r="M3877" s="101"/>
      <c r="N3877" s="101"/>
    </row>
    <row r="3878" spans="7:14" hidden="1" x14ac:dyDescent="0.3">
      <c r="G3878" s="101"/>
      <c r="H3878" s="101"/>
      <c r="I3878" s="101"/>
      <c r="K3878" s="226"/>
      <c r="L3878" s="226"/>
      <c r="M3878" s="101"/>
      <c r="N3878" s="101"/>
    </row>
    <row r="3879" spans="7:14" hidden="1" x14ac:dyDescent="0.3">
      <c r="G3879" s="101"/>
      <c r="H3879" s="101"/>
      <c r="I3879" s="101"/>
      <c r="K3879" s="226"/>
      <c r="L3879" s="226"/>
      <c r="M3879" s="101"/>
      <c r="N3879" s="101"/>
    </row>
    <row r="3880" spans="7:14" hidden="1" x14ac:dyDescent="0.3">
      <c r="G3880" s="101"/>
      <c r="H3880" s="101"/>
      <c r="I3880" s="101"/>
      <c r="K3880" s="226"/>
      <c r="L3880" s="226"/>
      <c r="M3880" s="101"/>
      <c r="N3880" s="101"/>
    </row>
    <row r="3881" spans="7:14" hidden="1" x14ac:dyDescent="0.3">
      <c r="G3881" s="101"/>
      <c r="H3881" s="101"/>
      <c r="I3881" s="101"/>
      <c r="K3881" s="226"/>
      <c r="L3881" s="226"/>
      <c r="M3881" s="101"/>
      <c r="N3881" s="101"/>
    </row>
    <row r="3882" spans="7:14" hidden="1" x14ac:dyDescent="0.3">
      <c r="G3882" s="101"/>
      <c r="H3882" s="101"/>
      <c r="I3882" s="101"/>
      <c r="K3882" s="226"/>
      <c r="L3882" s="226"/>
      <c r="M3882" s="101"/>
      <c r="N3882" s="101"/>
    </row>
    <row r="3883" spans="7:14" hidden="1" x14ac:dyDescent="0.3">
      <c r="G3883" s="101"/>
      <c r="H3883" s="101"/>
      <c r="I3883" s="101"/>
      <c r="K3883" s="226"/>
      <c r="L3883" s="226"/>
      <c r="M3883" s="101"/>
      <c r="N3883" s="101"/>
    </row>
    <row r="3884" spans="7:14" hidden="1" x14ac:dyDescent="0.3">
      <c r="G3884" s="101"/>
      <c r="H3884" s="101"/>
      <c r="I3884" s="101"/>
      <c r="K3884" s="226"/>
      <c r="L3884" s="226"/>
      <c r="M3884" s="101"/>
      <c r="N3884" s="101"/>
    </row>
    <row r="3885" spans="7:14" hidden="1" x14ac:dyDescent="0.3">
      <c r="G3885" s="101"/>
      <c r="H3885" s="101"/>
      <c r="I3885" s="101"/>
      <c r="K3885" s="226"/>
      <c r="L3885" s="226"/>
      <c r="M3885" s="101"/>
      <c r="N3885" s="101"/>
    </row>
    <row r="3886" spans="7:14" hidden="1" x14ac:dyDescent="0.3">
      <c r="G3886" s="101"/>
      <c r="H3886" s="101"/>
      <c r="I3886" s="101"/>
      <c r="K3886" s="226"/>
      <c r="L3886" s="226"/>
      <c r="M3886" s="101"/>
      <c r="N3886" s="101"/>
    </row>
    <row r="3887" spans="7:14" hidden="1" x14ac:dyDescent="0.3">
      <c r="G3887" s="101"/>
      <c r="H3887" s="101"/>
      <c r="I3887" s="101"/>
      <c r="K3887" s="226"/>
      <c r="L3887" s="226"/>
      <c r="M3887" s="101"/>
      <c r="N3887" s="101"/>
    </row>
    <row r="3888" spans="7:14" hidden="1" x14ac:dyDescent="0.3">
      <c r="G3888" s="101"/>
      <c r="H3888" s="101"/>
      <c r="I3888" s="101"/>
      <c r="K3888" s="226"/>
      <c r="L3888" s="226"/>
      <c r="M3888" s="101"/>
      <c r="N3888" s="101"/>
    </row>
    <row r="3889" spans="7:14" hidden="1" x14ac:dyDescent="0.3">
      <c r="G3889" s="101"/>
      <c r="H3889" s="101"/>
      <c r="I3889" s="101"/>
      <c r="K3889" s="226"/>
      <c r="L3889" s="226"/>
      <c r="M3889" s="101"/>
      <c r="N3889" s="101"/>
    </row>
    <row r="3890" spans="7:14" hidden="1" x14ac:dyDescent="0.3">
      <c r="G3890" s="101"/>
      <c r="H3890" s="101"/>
      <c r="I3890" s="101"/>
      <c r="K3890" s="226"/>
      <c r="L3890" s="226"/>
      <c r="M3890" s="101"/>
      <c r="N3890" s="101"/>
    </row>
    <row r="3891" spans="7:14" hidden="1" x14ac:dyDescent="0.3">
      <c r="G3891" s="101"/>
      <c r="H3891" s="101"/>
      <c r="I3891" s="101"/>
      <c r="K3891" s="226"/>
      <c r="L3891" s="226"/>
      <c r="M3891" s="101"/>
      <c r="N3891" s="101"/>
    </row>
    <row r="3892" spans="7:14" hidden="1" x14ac:dyDescent="0.3">
      <c r="G3892" s="101"/>
      <c r="H3892" s="101"/>
      <c r="I3892" s="101"/>
      <c r="K3892" s="226"/>
      <c r="L3892" s="226"/>
      <c r="M3892" s="101"/>
      <c r="N3892" s="101"/>
    </row>
    <row r="3893" spans="7:14" hidden="1" x14ac:dyDescent="0.3">
      <c r="G3893" s="101"/>
      <c r="H3893" s="101"/>
      <c r="I3893" s="101"/>
      <c r="K3893" s="226"/>
      <c r="L3893" s="226"/>
      <c r="M3893" s="101"/>
      <c r="N3893" s="101"/>
    </row>
    <row r="3894" spans="7:14" hidden="1" x14ac:dyDescent="0.3">
      <c r="G3894" s="101"/>
      <c r="H3894" s="101"/>
      <c r="I3894" s="101"/>
      <c r="K3894" s="226"/>
      <c r="L3894" s="226"/>
      <c r="M3894" s="101"/>
      <c r="N3894" s="101"/>
    </row>
    <row r="3895" spans="7:14" hidden="1" x14ac:dyDescent="0.3">
      <c r="G3895" s="101"/>
      <c r="H3895" s="101"/>
      <c r="I3895" s="101"/>
      <c r="K3895" s="226"/>
      <c r="L3895" s="226"/>
      <c r="M3895" s="101"/>
      <c r="N3895" s="101"/>
    </row>
    <row r="3896" spans="7:14" hidden="1" x14ac:dyDescent="0.3">
      <c r="G3896" s="101"/>
      <c r="H3896" s="101"/>
      <c r="I3896" s="101"/>
      <c r="K3896" s="226"/>
      <c r="L3896" s="226"/>
      <c r="M3896" s="101"/>
      <c r="N3896" s="101"/>
    </row>
    <row r="3897" spans="7:14" hidden="1" x14ac:dyDescent="0.3">
      <c r="G3897" s="101"/>
      <c r="H3897" s="101"/>
      <c r="I3897" s="101"/>
      <c r="K3897" s="226"/>
      <c r="L3897" s="226"/>
      <c r="M3897" s="101"/>
      <c r="N3897" s="101"/>
    </row>
    <row r="3898" spans="7:14" hidden="1" x14ac:dyDescent="0.3">
      <c r="G3898" s="101"/>
      <c r="H3898" s="101"/>
      <c r="I3898" s="101"/>
      <c r="K3898" s="226"/>
      <c r="L3898" s="226"/>
      <c r="M3898" s="101"/>
      <c r="N3898" s="101"/>
    </row>
    <row r="3899" spans="7:14" hidden="1" x14ac:dyDescent="0.3">
      <c r="G3899" s="101"/>
      <c r="H3899" s="101"/>
      <c r="I3899" s="101"/>
      <c r="K3899" s="226"/>
      <c r="L3899" s="226"/>
      <c r="M3899" s="101"/>
      <c r="N3899" s="101"/>
    </row>
    <row r="3900" spans="7:14" hidden="1" x14ac:dyDescent="0.3">
      <c r="G3900" s="101"/>
      <c r="H3900" s="101"/>
      <c r="I3900" s="101"/>
      <c r="K3900" s="226"/>
      <c r="L3900" s="226"/>
      <c r="M3900" s="101"/>
      <c r="N3900" s="101"/>
    </row>
    <row r="3901" spans="7:14" hidden="1" x14ac:dyDescent="0.3">
      <c r="G3901" s="101"/>
      <c r="H3901" s="101"/>
      <c r="I3901" s="101"/>
      <c r="K3901" s="226"/>
      <c r="L3901" s="226"/>
      <c r="M3901" s="101"/>
      <c r="N3901" s="101"/>
    </row>
    <row r="3902" spans="7:14" hidden="1" x14ac:dyDescent="0.3">
      <c r="G3902" s="101"/>
      <c r="H3902" s="101"/>
      <c r="I3902" s="101"/>
      <c r="K3902" s="226"/>
      <c r="L3902" s="226"/>
      <c r="M3902" s="101"/>
      <c r="N3902" s="101"/>
    </row>
    <row r="3903" spans="7:14" hidden="1" x14ac:dyDescent="0.3">
      <c r="G3903" s="101"/>
      <c r="H3903" s="101"/>
      <c r="I3903" s="101"/>
      <c r="K3903" s="226"/>
      <c r="L3903" s="226"/>
      <c r="M3903" s="101"/>
      <c r="N3903" s="101"/>
    </row>
    <row r="3904" spans="7:14" hidden="1" x14ac:dyDescent="0.3">
      <c r="G3904" s="101"/>
      <c r="H3904" s="101"/>
      <c r="I3904" s="101"/>
      <c r="K3904" s="226"/>
      <c r="L3904" s="226"/>
      <c r="M3904" s="101"/>
      <c r="N3904" s="101"/>
    </row>
    <row r="3905" spans="7:14" hidden="1" x14ac:dyDescent="0.3">
      <c r="G3905" s="101"/>
      <c r="H3905" s="101"/>
      <c r="I3905" s="101"/>
      <c r="K3905" s="226"/>
      <c r="L3905" s="226"/>
      <c r="M3905" s="101"/>
      <c r="N3905" s="101"/>
    </row>
    <row r="3906" spans="7:14" hidden="1" x14ac:dyDescent="0.3">
      <c r="G3906" s="101"/>
      <c r="H3906" s="101"/>
      <c r="I3906" s="101"/>
      <c r="K3906" s="226"/>
      <c r="L3906" s="226"/>
      <c r="M3906" s="101"/>
      <c r="N3906" s="101"/>
    </row>
    <row r="3907" spans="7:14" hidden="1" x14ac:dyDescent="0.3">
      <c r="G3907" s="101"/>
      <c r="H3907" s="101"/>
      <c r="I3907" s="101"/>
      <c r="K3907" s="226"/>
      <c r="L3907" s="226"/>
      <c r="M3907" s="101"/>
      <c r="N3907" s="101"/>
    </row>
    <row r="3908" spans="7:14" hidden="1" x14ac:dyDescent="0.3">
      <c r="G3908" s="101"/>
      <c r="H3908" s="101"/>
      <c r="I3908" s="101"/>
      <c r="K3908" s="226"/>
      <c r="L3908" s="226"/>
      <c r="M3908" s="101"/>
      <c r="N3908" s="101"/>
    </row>
    <row r="3909" spans="7:14" hidden="1" x14ac:dyDescent="0.3">
      <c r="G3909" s="101"/>
      <c r="H3909" s="101"/>
      <c r="I3909" s="101"/>
      <c r="K3909" s="226"/>
      <c r="L3909" s="226"/>
      <c r="M3909" s="101"/>
      <c r="N3909" s="101"/>
    </row>
    <row r="3910" spans="7:14" hidden="1" x14ac:dyDescent="0.3">
      <c r="G3910" s="101"/>
      <c r="H3910" s="101"/>
      <c r="I3910" s="101"/>
      <c r="K3910" s="226"/>
      <c r="L3910" s="226"/>
      <c r="M3910" s="101"/>
      <c r="N3910" s="101"/>
    </row>
    <row r="3911" spans="7:14" hidden="1" x14ac:dyDescent="0.3">
      <c r="G3911" s="101"/>
      <c r="H3911" s="101"/>
      <c r="I3911" s="101"/>
      <c r="K3911" s="226"/>
      <c r="L3911" s="226"/>
      <c r="M3911" s="101"/>
      <c r="N3911" s="101"/>
    </row>
    <row r="3912" spans="7:14" hidden="1" x14ac:dyDescent="0.3">
      <c r="G3912" s="101"/>
      <c r="H3912" s="101"/>
      <c r="I3912" s="101"/>
      <c r="K3912" s="226"/>
      <c r="L3912" s="226"/>
      <c r="M3912" s="101"/>
      <c r="N3912" s="101"/>
    </row>
    <row r="3913" spans="7:14" hidden="1" x14ac:dyDescent="0.3">
      <c r="G3913" s="101"/>
      <c r="H3913" s="101"/>
      <c r="I3913" s="101"/>
      <c r="K3913" s="226"/>
      <c r="L3913" s="226"/>
      <c r="M3913" s="101"/>
      <c r="N3913" s="101"/>
    </row>
    <row r="3914" spans="7:14" hidden="1" x14ac:dyDescent="0.3">
      <c r="G3914" s="101"/>
      <c r="H3914" s="101"/>
      <c r="I3914" s="101"/>
      <c r="K3914" s="226"/>
      <c r="L3914" s="226"/>
      <c r="M3914" s="101"/>
      <c r="N3914" s="101"/>
    </row>
    <row r="3915" spans="7:14" hidden="1" x14ac:dyDescent="0.3">
      <c r="G3915" s="101"/>
      <c r="H3915" s="101"/>
      <c r="I3915" s="101"/>
      <c r="K3915" s="226"/>
      <c r="L3915" s="226"/>
      <c r="M3915" s="101"/>
      <c r="N3915" s="101"/>
    </row>
    <row r="3916" spans="7:14" hidden="1" x14ac:dyDescent="0.3">
      <c r="G3916" s="101"/>
      <c r="H3916" s="101"/>
      <c r="I3916" s="101"/>
      <c r="K3916" s="226"/>
      <c r="L3916" s="226"/>
      <c r="M3916" s="101"/>
      <c r="N3916" s="101"/>
    </row>
    <row r="3917" spans="7:14" hidden="1" x14ac:dyDescent="0.3">
      <c r="G3917" s="101"/>
      <c r="H3917" s="101"/>
      <c r="I3917" s="101"/>
      <c r="K3917" s="226"/>
      <c r="L3917" s="226"/>
      <c r="M3917" s="101"/>
      <c r="N3917" s="101"/>
    </row>
    <row r="3918" spans="7:14" hidden="1" x14ac:dyDescent="0.3">
      <c r="G3918" s="101"/>
      <c r="H3918" s="101"/>
      <c r="I3918" s="101"/>
      <c r="K3918" s="226"/>
      <c r="L3918" s="226"/>
      <c r="M3918" s="101"/>
      <c r="N3918" s="101"/>
    </row>
    <row r="3919" spans="7:14" hidden="1" x14ac:dyDescent="0.3">
      <c r="G3919" s="101"/>
      <c r="H3919" s="101"/>
      <c r="I3919" s="101"/>
      <c r="K3919" s="226"/>
      <c r="L3919" s="226"/>
      <c r="M3919" s="101"/>
      <c r="N3919" s="101"/>
    </row>
    <row r="3920" spans="7:14" hidden="1" x14ac:dyDescent="0.3">
      <c r="G3920" s="101"/>
      <c r="H3920" s="101"/>
      <c r="I3920" s="101"/>
      <c r="K3920" s="226"/>
      <c r="L3920" s="226"/>
      <c r="M3920" s="101"/>
      <c r="N3920" s="101"/>
    </row>
    <row r="3921" spans="7:14" hidden="1" x14ac:dyDescent="0.3">
      <c r="G3921" s="101"/>
      <c r="H3921" s="101"/>
      <c r="I3921" s="101"/>
      <c r="K3921" s="226"/>
      <c r="L3921" s="226"/>
      <c r="M3921" s="101"/>
      <c r="N3921" s="101"/>
    </row>
    <row r="3922" spans="7:14" hidden="1" x14ac:dyDescent="0.3">
      <c r="G3922" s="101"/>
      <c r="H3922" s="101"/>
      <c r="I3922" s="101"/>
      <c r="K3922" s="226"/>
      <c r="L3922" s="226"/>
      <c r="M3922" s="101"/>
      <c r="N3922" s="101"/>
    </row>
    <row r="3923" spans="7:14" hidden="1" x14ac:dyDescent="0.3">
      <c r="G3923" s="101"/>
      <c r="H3923" s="101"/>
      <c r="I3923" s="101"/>
      <c r="K3923" s="226"/>
      <c r="L3923" s="226"/>
      <c r="M3923" s="101"/>
      <c r="N3923" s="101"/>
    </row>
    <row r="3924" spans="7:14" hidden="1" x14ac:dyDescent="0.3">
      <c r="G3924" s="101"/>
      <c r="H3924" s="101"/>
      <c r="I3924" s="101"/>
      <c r="K3924" s="226"/>
      <c r="L3924" s="226"/>
      <c r="M3924" s="101"/>
      <c r="N3924" s="101"/>
    </row>
    <row r="3925" spans="7:14" hidden="1" x14ac:dyDescent="0.3">
      <c r="G3925" s="101"/>
      <c r="H3925" s="101"/>
      <c r="I3925" s="101"/>
      <c r="K3925" s="226"/>
      <c r="L3925" s="226"/>
      <c r="M3925" s="101"/>
      <c r="N3925" s="101"/>
    </row>
    <row r="3926" spans="7:14" hidden="1" x14ac:dyDescent="0.3">
      <c r="G3926" s="101"/>
      <c r="H3926" s="101"/>
      <c r="I3926" s="101"/>
      <c r="K3926" s="226"/>
      <c r="L3926" s="226"/>
      <c r="M3926" s="101"/>
      <c r="N3926" s="101"/>
    </row>
    <row r="3927" spans="7:14" hidden="1" x14ac:dyDescent="0.3">
      <c r="G3927" s="101"/>
      <c r="H3927" s="101"/>
      <c r="I3927" s="101"/>
      <c r="K3927" s="226"/>
      <c r="L3927" s="226"/>
      <c r="M3927" s="101"/>
      <c r="N3927" s="101"/>
    </row>
    <row r="3928" spans="7:14" hidden="1" x14ac:dyDescent="0.3">
      <c r="G3928" s="101"/>
      <c r="H3928" s="101"/>
      <c r="I3928" s="101"/>
      <c r="K3928" s="226"/>
      <c r="L3928" s="226"/>
      <c r="M3928" s="101"/>
      <c r="N3928" s="101"/>
    </row>
    <row r="3929" spans="7:14" hidden="1" x14ac:dyDescent="0.3">
      <c r="G3929" s="101"/>
      <c r="H3929" s="101"/>
      <c r="I3929" s="101"/>
      <c r="K3929" s="226"/>
      <c r="L3929" s="226"/>
      <c r="M3929" s="101"/>
      <c r="N3929" s="101"/>
    </row>
    <row r="3930" spans="7:14" hidden="1" x14ac:dyDescent="0.3">
      <c r="G3930" s="101"/>
      <c r="H3930" s="101"/>
      <c r="I3930" s="101"/>
      <c r="K3930" s="226"/>
      <c r="L3930" s="226"/>
      <c r="M3930" s="101"/>
      <c r="N3930" s="101"/>
    </row>
    <row r="3931" spans="7:14" hidden="1" x14ac:dyDescent="0.3">
      <c r="G3931" s="101"/>
      <c r="H3931" s="101"/>
      <c r="I3931" s="101"/>
      <c r="K3931" s="226"/>
      <c r="L3931" s="226"/>
      <c r="M3931" s="101"/>
      <c r="N3931" s="101"/>
    </row>
    <row r="3932" spans="7:14" hidden="1" x14ac:dyDescent="0.3">
      <c r="G3932" s="101"/>
      <c r="H3932" s="101"/>
      <c r="I3932" s="101"/>
      <c r="K3932" s="226"/>
      <c r="L3932" s="226"/>
      <c r="M3932" s="101"/>
      <c r="N3932" s="101"/>
    </row>
    <row r="3933" spans="7:14" hidden="1" x14ac:dyDescent="0.3">
      <c r="G3933" s="101"/>
      <c r="H3933" s="101"/>
      <c r="I3933" s="101"/>
      <c r="K3933" s="226"/>
      <c r="L3933" s="226"/>
      <c r="M3933" s="101"/>
      <c r="N3933" s="101"/>
    </row>
    <row r="3934" spans="7:14" hidden="1" x14ac:dyDescent="0.3">
      <c r="G3934" s="101"/>
      <c r="H3934" s="101"/>
      <c r="I3934" s="101"/>
      <c r="K3934" s="226"/>
      <c r="L3934" s="226"/>
      <c r="M3934" s="101"/>
      <c r="N3934" s="101"/>
    </row>
    <row r="3935" spans="7:14" hidden="1" x14ac:dyDescent="0.3">
      <c r="G3935" s="101"/>
      <c r="H3935" s="101"/>
      <c r="I3935" s="101"/>
      <c r="K3935" s="226"/>
      <c r="L3935" s="226"/>
      <c r="M3935" s="101"/>
      <c r="N3935" s="101"/>
    </row>
    <row r="3936" spans="7:14" hidden="1" x14ac:dyDescent="0.3">
      <c r="G3936" s="101"/>
      <c r="H3936" s="101"/>
      <c r="I3936" s="101"/>
      <c r="K3936" s="226"/>
      <c r="L3936" s="226"/>
      <c r="M3936" s="101"/>
      <c r="N3936" s="101"/>
    </row>
    <row r="3937" spans="7:14" hidden="1" x14ac:dyDescent="0.3">
      <c r="G3937" s="101"/>
      <c r="H3937" s="101"/>
      <c r="I3937" s="101"/>
      <c r="K3937" s="226"/>
      <c r="L3937" s="226"/>
      <c r="M3937" s="101"/>
      <c r="N3937" s="101"/>
    </row>
    <row r="3938" spans="7:14" hidden="1" x14ac:dyDescent="0.3">
      <c r="G3938" s="101"/>
      <c r="H3938" s="101"/>
      <c r="I3938" s="101"/>
      <c r="K3938" s="226"/>
      <c r="L3938" s="226"/>
      <c r="M3938" s="101"/>
      <c r="N3938" s="101"/>
    </row>
    <row r="3939" spans="7:14" hidden="1" x14ac:dyDescent="0.3">
      <c r="G3939" s="101"/>
      <c r="H3939" s="101"/>
      <c r="I3939" s="101"/>
      <c r="K3939" s="226"/>
      <c r="L3939" s="226"/>
      <c r="M3939" s="101"/>
      <c r="N3939" s="101"/>
    </row>
    <row r="3940" spans="7:14" hidden="1" x14ac:dyDescent="0.3">
      <c r="G3940" s="101"/>
      <c r="H3940" s="101"/>
      <c r="I3940" s="101"/>
      <c r="K3940" s="226"/>
      <c r="L3940" s="226"/>
      <c r="M3940" s="101"/>
      <c r="N3940" s="101"/>
    </row>
    <row r="3941" spans="7:14" hidden="1" x14ac:dyDescent="0.3">
      <c r="G3941" s="101"/>
      <c r="H3941" s="101"/>
      <c r="I3941" s="101"/>
      <c r="K3941" s="226"/>
      <c r="L3941" s="226"/>
      <c r="M3941" s="101"/>
      <c r="N3941" s="101"/>
    </row>
    <row r="3942" spans="7:14" hidden="1" x14ac:dyDescent="0.3">
      <c r="G3942" s="101"/>
      <c r="H3942" s="101"/>
      <c r="I3942" s="101"/>
      <c r="K3942" s="226"/>
      <c r="L3942" s="226"/>
      <c r="M3942" s="101"/>
      <c r="N3942" s="101"/>
    </row>
    <row r="3943" spans="7:14" hidden="1" x14ac:dyDescent="0.3">
      <c r="G3943" s="101"/>
      <c r="H3943" s="101"/>
      <c r="I3943" s="101"/>
      <c r="K3943" s="226"/>
      <c r="L3943" s="226"/>
      <c r="M3943" s="101"/>
      <c r="N3943" s="101"/>
    </row>
    <row r="3944" spans="7:14" hidden="1" x14ac:dyDescent="0.3">
      <c r="G3944" s="101"/>
      <c r="H3944" s="101"/>
      <c r="I3944" s="101"/>
      <c r="K3944" s="226"/>
      <c r="L3944" s="226"/>
      <c r="M3944" s="101"/>
      <c r="N3944" s="101"/>
    </row>
    <row r="3945" spans="7:14" hidden="1" x14ac:dyDescent="0.3">
      <c r="G3945" s="101"/>
      <c r="H3945" s="101"/>
      <c r="I3945" s="101"/>
      <c r="K3945" s="226"/>
      <c r="L3945" s="226"/>
      <c r="M3945" s="101"/>
      <c r="N3945" s="101"/>
    </row>
    <row r="3946" spans="7:14" hidden="1" x14ac:dyDescent="0.3">
      <c r="G3946" s="101"/>
      <c r="H3946" s="101"/>
      <c r="I3946" s="101"/>
      <c r="K3946" s="226"/>
      <c r="L3946" s="226"/>
      <c r="M3946" s="101"/>
      <c r="N3946" s="101"/>
    </row>
    <row r="3947" spans="7:14" hidden="1" x14ac:dyDescent="0.3">
      <c r="G3947" s="101"/>
      <c r="H3947" s="101"/>
      <c r="I3947" s="101"/>
      <c r="K3947" s="226"/>
      <c r="L3947" s="226"/>
      <c r="M3947" s="101"/>
      <c r="N3947" s="101"/>
    </row>
    <row r="3948" spans="7:14" hidden="1" x14ac:dyDescent="0.3">
      <c r="G3948" s="101"/>
      <c r="H3948" s="101"/>
      <c r="I3948" s="101"/>
      <c r="K3948" s="226"/>
      <c r="L3948" s="226"/>
      <c r="M3948" s="101"/>
      <c r="N3948" s="101"/>
    </row>
    <row r="3949" spans="7:14" hidden="1" x14ac:dyDescent="0.3">
      <c r="G3949" s="101"/>
      <c r="H3949" s="101"/>
      <c r="I3949" s="101"/>
      <c r="K3949" s="226"/>
      <c r="L3949" s="226"/>
      <c r="M3949" s="101"/>
      <c r="N3949" s="101"/>
    </row>
    <row r="3950" spans="7:14" hidden="1" x14ac:dyDescent="0.3">
      <c r="G3950" s="101"/>
      <c r="H3950" s="101"/>
      <c r="I3950" s="101"/>
      <c r="K3950" s="226"/>
      <c r="L3950" s="226"/>
      <c r="M3950" s="101"/>
      <c r="N3950" s="101"/>
    </row>
    <row r="3951" spans="7:14" hidden="1" x14ac:dyDescent="0.3">
      <c r="G3951" s="101"/>
      <c r="H3951" s="101"/>
      <c r="I3951" s="101"/>
      <c r="K3951" s="226"/>
      <c r="L3951" s="226"/>
      <c r="M3951" s="101"/>
      <c r="N3951" s="101"/>
    </row>
    <row r="3952" spans="7:14" hidden="1" x14ac:dyDescent="0.3">
      <c r="G3952" s="101"/>
      <c r="H3952" s="101"/>
      <c r="I3952" s="101"/>
      <c r="K3952" s="226"/>
      <c r="L3952" s="226"/>
      <c r="M3952" s="101"/>
      <c r="N3952" s="101"/>
    </row>
    <row r="3953" spans="7:14" hidden="1" x14ac:dyDescent="0.3">
      <c r="G3953" s="101"/>
      <c r="H3953" s="101"/>
      <c r="I3953" s="101"/>
      <c r="K3953" s="226"/>
      <c r="L3953" s="226"/>
      <c r="M3953" s="101"/>
      <c r="N3953" s="101"/>
    </row>
    <row r="3954" spans="7:14" hidden="1" x14ac:dyDescent="0.3">
      <c r="G3954" s="101"/>
      <c r="H3954" s="101"/>
      <c r="I3954" s="101"/>
      <c r="K3954" s="226"/>
      <c r="L3954" s="226"/>
      <c r="M3954" s="101"/>
      <c r="N3954" s="101"/>
    </row>
    <row r="3955" spans="7:14" hidden="1" x14ac:dyDescent="0.3">
      <c r="G3955" s="101"/>
      <c r="H3955" s="101"/>
      <c r="I3955" s="101"/>
      <c r="K3955" s="226"/>
      <c r="L3955" s="226"/>
      <c r="M3955" s="101"/>
      <c r="N3955" s="101"/>
    </row>
    <row r="3956" spans="7:14" hidden="1" x14ac:dyDescent="0.3">
      <c r="G3956" s="101"/>
      <c r="H3956" s="101"/>
      <c r="I3956" s="101"/>
      <c r="K3956" s="226"/>
      <c r="L3956" s="226"/>
      <c r="M3956" s="101"/>
      <c r="N3956" s="101"/>
    </row>
    <row r="3957" spans="7:14" hidden="1" x14ac:dyDescent="0.3">
      <c r="G3957" s="101"/>
      <c r="H3957" s="101"/>
      <c r="I3957" s="101"/>
      <c r="K3957" s="226"/>
      <c r="L3957" s="226"/>
      <c r="M3957" s="101"/>
      <c r="N3957" s="101"/>
    </row>
    <row r="3958" spans="7:14" hidden="1" x14ac:dyDescent="0.3">
      <c r="G3958" s="101"/>
      <c r="H3958" s="101"/>
      <c r="I3958" s="101"/>
      <c r="K3958" s="226"/>
      <c r="L3958" s="226"/>
      <c r="M3958" s="101"/>
      <c r="N3958" s="101"/>
    </row>
    <row r="3959" spans="7:14" hidden="1" x14ac:dyDescent="0.3">
      <c r="G3959" s="101"/>
      <c r="H3959" s="101"/>
      <c r="I3959" s="101"/>
      <c r="K3959" s="226"/>
      <c r="L3959" s="226"/>
      <c r="M3959" s="101"/>
      <c r="N3959" s="101"/>
    </row>
    <row r="3960" spans="7:14" hidden="1" x14ac:dyDescent="0.3">
      <c r="G3960" s="101"/>
      <c r="H3960" s="101"/>
      <c r="I3960" s="101"/>
      <c r="K3960" s="226"/>
      <c r="L3960" s="226"/>
      <c r="M3960" s="101"/>
      <c r="N3960" s="101"/>
    </row>
    <row r="3961" spans="7:14" hidden="1" x14ac:dyDescent="0.3">
      <c r="G3961" s="101"/>
      <c r="H3961" s="101"/>
      <c r="I3961" s="101"/>
      <c r="K3961" s="226"/>
      <c r="L3961" s="226"/>
      <c r="M3961" s="101"/>
      <c r="N3961" s="101"/>
    </row>
    <row r="3962" spans="7:14" hidden="1" x14ac:dyDescent="0.3">
      <c r="G3962" s="101"/>
      <c r="H3962" s="101"/>
      <c r="I3962" s="101"/>
      <c r="K3962" s="226"/>
      <c r="L3962" s="226"/>
      <c r="M3962" s="101"/>
      <c r="N3962" s="101"/>
    </row>
    <row r="3963" spans="7:14" hidden="1" x14ac:dyDescent="0.3">
      <c r="G3963" s="101"/>
      <c r="H3963" s="101"/>
      <c r="I3963" s="101"/>
      <c r="K3963" s="226"/>
      <c r="L3963" s="226"/>
      <c r="M3963" s="101"/>
      <c r="N3963" s="101"/>
    </row>
    <row r="3964" spans="7:14" hidden="1" x14ac:dyDescent="0.3">
      <c r="G3964" s="101"/>
      <c r="H3964" s="101"/>
      <c r="I3964" s="101"/>
      <c r="K3964" s="226"/>
      <c r="L3964" s="226"/>
      <c r="M3964" s="101"/>
      <c r="N3964" s="101"/>
    </row>
    <row r="3965" spans="7:14" hidden="1" x14ac:dyDescent="0.3">
      <c r="G3965" s="101"/>
      <c r="H3965" s="101"/>
      <c r="I3965" s="101"/>
      <c r="K3965" s="226"/>
      <c r="L3965" s="226"/>
      <c r="M3965" s="101"/>
      <c r="N3965" s="101"/>
    </row>
    <row r="3966" spans="7:14" hidden="1" x14ac:dyDescent="0.3">
      <c r="G3966" s="101"/>
      <c r="H3966" s="101"/>
      <c r="I3966" s="101"/>
      <c r="K3966" s="226"/>
      <c r="L3966" s="226"/>
      <c r="M3966" s="101"/>
      <c r="N3966" s="101"/>
    </row>
    <row r="3967" spans="7:14" hidden="1" x14ac:dyDescent="0.3">
      <c r="G3967" s="101"/>
      <c r="H3967" s="101"/>
      <c r="I3967" s="101"/>
      <c r="K3967" s="226"/>
      <c r="L3967" s="226"/>
      <c r="M3967" s="101"/>
      <c r="N3967" s="101"/>
    </row>
    <row r="3968" spans="7:14" hidden="1" x14ac:dyDescent="0.3">
      <c r="G3968" s="101"/>
      <c r="H3968" s="101"/>
      <c r="I3968" s="101"/>
      <c r="K3968" s="226"/>
      <c r="L3968" s="226"/>
      <c r="M3968" s="101"/>
      <c r="N3968" s="101"/>
    </row>
    <row r="3969" spans="7:14" hidden="1" x14ac:dyDescent="0.3">
      <c r="G3969" s="101"/>
      <c r="H3969" s="101"/>
      <c r="I3969" s="101"/>
      <c r="K3969" s="226"/>
      <c r="L3969" s="226"/>
      <c r="M3969" s="101"/>
      <c r="N3969" s="101"/>
    </row>
    <row r="3970" spans="7:14" hidden="1" x14ac:dyDescent="0.3">
      <c r="G3970" s="101"/>
      <c r="H3970" s="101"/>
      <c r="I3970" s="101"/>
      <c r="K3970" s="226"/>
      <c r="L3970" s="226"/>
      <c r="M3970" s="101"/>
      <c r="N3970" s="101"/>
    </row>
    <row r="3971" spans="7:14" hidden="1" x14ac:dyDescent="0.3">
      <c r="G3971" s="101"/>
      <c r="H3971" s="101"/>
      <c r="I3971" s="101"/>
      <c r="K3971" s="226"/>
      <c r="L3971" s="226"/>
      <c r="M3971" s="101"/>
      <c r="N3971" s="101"/>
    </row>
    <row r="3972" spans="7:14" hidden="1" x14ac:dyDescent="0.3">
      <c r="G3972" s="101"/>
      <c r="H3972" s="101"/>
      <c r="I3972" s="101"/>
      <c r="K3972" s="226"/>
      <c r="L3972" s="226"/>
      <c r="M3972" s="101"/>
      <c r="N3972" s="101"/>
    </row>
    <row r="3973" spans="7:14" hidden="1" x14ac:dyDescent="0.3">
      <c r="G3973" s="101"/>
      <c r="H3973" s="101"/>
      <c r="I3973" s="101"/>
      <c r="K3973" s="226"/>
      <c r="L3973" s="226"/>
      <c r="M3973" s="101"/>
      <c r="N3973" s="101"/>
    </row>
    <row r="3974" spans="7:14" hidden="1" x14ac:dyDescent="0.3">
      <c r="G3974" s="101"/>
      <c r="H3974" s="101"/>
      <c r="I3974" s="101"/>
      <c r="K3974" s="226"/>
      <c r="L3974" s="226"/>
      <c r="M3974" s="101"/>
      <c r="N3974" s="101"/>
    </row>
    <row r="3975" spans="7:14" hidden="1" x14ac:dyDescent="0.3">
      <c r="G3975" s="101"/>
      <c r="H3975" s="101"/>
      <c r="I3975" s="101"/>
      <c r="K3975" s="226"/>
      <c r="L3975" s="226"/>
      <c r="M3975" s="101"/>
      <c r="N3975" s="101"/>
    </row>
    <row r="3976" spans="7:14" hidden="1" x14ac:dyDescent="0.3">
      <c r="G3976" s="101"/>
      <c r="H3976" s="101"/>
      <c r="I3976" s="101"/>
      <c r="K3976" s="226"/>
      <c r="L3976" s="226"/>
      <c r="M3976" s="101"/>
      <c r="N3976" s="101"/>
    </row>
    <row r="3977" spans="7:14" hidden="1" x14ac:dyDescent="0.3">
      <c r="G3977" s="101"/>
      <c r="H3977" s="101"/>
      <c r="I3977" s="101"/>
      <c r="K3977" s="226"/>
      <c r="L3977" s="226"/>
      <c r="M3977" s="101"/>
      <c r="N3977" s="101"/>
    </row>
    <row r="3978" spans="7:14" hidden="1" x14ac:dyDescent="0.3">
      <c r="G3978" s="101"/>
      <c r="H3978" s="101"/>
      <c r="I3978" s="101"/>
      <c r="K3978" s="226"/>
      <c r="L3978" s="226"/>
      <c r="M3978" s="101"/>
      <c r="N3978" s="101"/>
    </row>
    <row r="3979" spans="7:14" hidden="1" x14ac:dyDescent="0.3">
      <c r="G3979" s="101"/>
      <c r="H3979" s="101"/>
      <c r="I3979" s="101"/>
      <c r="K3979" s="226"/>
      <c r="L3979" s="226"/>
      <c r="M3979" s="101"/>
      <c r="N3979" s="101"/>
    </row>
    <row r="3980" spans="7:14" hidden="1" x14ac:dyDescent="0.3">
      <c r="G3980" s="101"/>
      <c r="H3980" s="101"/>
      <c r="I3980" s="101"/>
      <c r="K3980" s="226"/>
      <c r="L3980" s="226"/>
      <c r="M3980" s="101"/>
      <c r="N3980" s="101"/>
    </row>
    <row r="3981" spans="7:14" hidden="1" x14ac:dyDescent="0.3">
      <c r="G3981" s="101"/>
      <c r="H3981" s="101"/>
      <c r="I3981" s="101"/>
      <c r="K3981" s="226"/>
      <c r="L3981" s="226"/>
      <c r="M3981" s="101"/>
      <c r="N3981" s="101"/>
    </row>
    <row r="3982" spans="7:14" hidden="1" x14ac:dyDescent="0.3">
      <c r="G3982" s="101"/>
      <c r="H3982" s="101"/>
      <c r="I3982" s="101"/>
      <c r="K3982" s="226"/>
      <c r="L3982" s="226"/>
      <c r="M3982" s="101"/>
      <c r="N3982" s="101"/>
    </row>
    <row r="3983" spans="7:14" hidden="1" x14ac:dyDescent="0.3">
      <c r="G3983" s="101"/>
      <c r="H3983" s="101"/>
      <c r="I3983" s="101"/>
      <c r="K3983" s="226"/>
      <c r="L3983" s="226"/>
      <c r="M3983" s="101"/>
      <c r="N3983" s="101"/>
    </row>
    <row r="3984" spans="7:14" hidden="1" x14ac:dyDescent="0.3">
      <c r="G3984" s="101"/>
      <c r="H3984" s="101"/>
      <c r="I3984" s="101"/>
      <c r="K3984" s="226"/>
      <c r="L3984" s="226"/>
      <c r="M3984" s="101"/>
      <c r="N3984" s="101"/>
    </row>
    <row r="3985" spans="7:14" hidden="1" x14ac:dyDescent="0.3">
      <c r="G3985" s="101"/>
      <c r="H3985" s="101"/>
      <c r="I3985" s="101"/>
      <c r="K3985" s="226"/>
      <c r="L3985" s="226"/>
      <c r="M3985" s="101"/>
      <c r="N3985" s="101"/>
    </row>
    <row r="3986" spans="7:14" hidden="1" x14ac:dyDescent="0.3">
      <c r="G3986" s="101"/>
      <c r="H3986" s="101"/>
      <c r="I3986" s="101"/>
      <c r="K3986" s="226"/>
      <c r="L3986" s="226"/>
      <c r="M3986" s="101"/>
      <c r="N3986" s="101"/>
    </row>
    <row r="3987" spans="7:14" hidden="1" x14ac:dyDescent="0.3">
      <c r="G3987" s="101"/>
      <c r="H3987" s="101"/>
      <c r="I3987" s="101"/>
      <c r="K3987" s="226"/>
      <c r="L3987" s="226"/>
      <c r="M3987" s="101"/>
      <c r="N3987" s="101"/>
    </row>
    <row r="3988" spans="7:14" hidden="1" x14ac:dyDescent="0.3">
      <c r="G3988" s="101"/>
      <c r="H3988" s="101"/>
      <c r="I3988" s="101"/>
      <c r="K3988" s="226"/>
      <c r="L3988" s="226"/>
      <c r="M3988" s="101"/>
      <c r="N3988" s="101"/>
    </row>
    <row r="3989" spans="7:14" hidden="1" x14ac:dyDescent="0.3">
      <c r="G3989" s="101"/>
      <c r="H3989" s="101"/>
      <c r="I3989" s="101"/>
      <c r="K3989" s="226"/>
      <c r="L3989" s="226"/>
      <c r="M3989" s="101"/>
      <c r="N3989" s="101"/>
    </row>
    <row r="3990" spans="7:14" hidden="1" x14ac:dyDescent="0.3">
      <c r="G3990" s="101"/>
      <c r="H3990" s="101"/>
      <c r="I3990" s="101"/>
      <c r="K3990" s="226"/>
      <c r="L3990" s="226"/>
      <c r="M3990" s="101"/>
      <c r="N3990" s="101"/>
    </row>
    <row r="3991" spans="7:14" hidden="1" x14ac:dyDescent="0.3">
      <c r="G3991" s="101"/>
      <c r="H3991" s="101"/>
      <c r="I3991" s="101"/>
      <c r="K3991" s="226"/>
      <c r="L3991" s="226"/>
      <c r="M3991" s="101"/>
      <c r="N3991" s="101"/>
    </row>
    <row r="3992" spans="7:14" hidden="1" x14ac:dyDescent="0.3">
      <c r="G3992" s="101"/>
      <c r="H3992" s="101"/>
      <c r="I3992" s="101"/>
      <c r="K3992" s="226"/>
      <c r="L3992" s="226"/>
      <c r="M3992" s="101"/>
      <c r="N3992" s="101"/>
    </row>
    <row r="3993" spans="7:14" hidden="1" x14ac:dyDescent="0.3">
      <c r="G3993" s="101"/>
      <c r="H3993" s="101"/>
      <c r="I3993" s="101"/>
      <c r="K3993" s="226"/>
      <c r="L3993" s="226"/>
      <c r="M3993" s="101"/>
      <c r="N3993" s="101"/>
    </row>
    <row r="3994" spans="7:14" hidden="1" x14ac:dyDescent="0.3">
      <c r="G3994" s="101"/>
      <c r="H3994" s="101"/>
      <c r="I3994" s="101"/>
      <c r="K3994" s="226"/>
      <c r="L3994" s="226"/>
      <c r="M3994" s="101"/>
      <c r="N3994" s="101"/>
    </row>
    <row r="3995" spans="7:14" hidden="1" x14ac:dyDescent="0.3">
      <c r="G3995" s="101"/>
      <c r="H3995" s="101"/>
      <c r="I3995" s="101"/>
      <c r="K3995" s="226"/>
      <c r="L3995" s="226"/>
      <c r="M3995" s="101"/>
      <c r="N3995" s="101"/>
    </row>
    <row r="3996" spans="7:14" hidden="1" x14ac:dyDescent="0.3">
      <c r="G3996" s="101"/>
      <c r="H3996" s="101"/>
      <c r="I3996" s="101"/>
      <c r="K3996" s="226"/>
      <c r="L3996" s="226"/>
      <c r="M3996" s="101"/>
      <c r="N3996" s="101"/>
    </row>
    <row r="3997" spans="7:14" hidden="1" x14ac:dyDescent="0.3">
      <c r="G3997" s="101"/>
      <c r="H3997" s="101"/>
      <c r="I3997" s="101"/>
      <c r="K3997" s="226"/>
      <c r="L3997" s="226"/>
      <c r="M3997" s="101"/>
      <c r="N3997" s="101"/>
    </row>
    <row r="3998" spans="7:14" hidden="1" x14ac:dyDescent="0.3">
      <c r="G3998" s="101"/>
      <c r="H3998" s="101"/>
      <c r="I3998" s="101"/>
      <c r="K3998" s="226"/>
      <c r="L3998" s="226"/>
      <c r="M3998" s="101"/>
      <c r="N3998" s="101"/>
    </row>
    <row r="3999" spans="7:14" hidden="1" x14ac:dyDescent="0.3">
      <c r="G3999" s="101"/>
      <c r="H3999" s="101"/>
      <c r="I3999" s="101"/>
      <c r="K3999" s="226"/>
      <c r="L3999" s="226"/>
      <c r="M3999" s="101"/>
      <c r="N3999" s="101"/>
    </row>
    <row r="4000" spans="7:14" hidden="1" x14ac:dyDescent="0.3">
      <c r="G4000" s="101"/>
      <c r="H4000" s="101"/>
      <c r="I4000" s="101"/>
      <c r="K4000" s="226"/>
      <c r="L4000" s="226"/>
      <c r="M4000" s="101"/>
      <c r="N4000" s="101"/>
    </row>
    <row r="4001" spans="7:14" hidden="1" x14ac:dyDescent="0.3">
      <c r="G4001" s="101"/>
      <c r="H4001" s="101"/>
      <c r="I4001" s="101"/>
      <c r="K4001" s="226"/>
      <c r="L4001" s="226"/>
      <c r="M4001" s="101"/>
      <c r="N4001" s="101"/>
    </row>
    <row r="4002" spans="7:14" hidden="1" x14ac:dyDescent="0.3">
      <c r="G4002" s="101"/>
      <c r="H4002" s="101"/>
      <c r="I4002" s="101"/>
      <c r="K4002" s="226"/>
      <c r="L4002" s="226"/>
      <c r="M4002" s="101"/>
      <c r="N4002" s="101"/>
    </row>
    <row r="4003" spans="7:14" hidden="1" x14ac:dyDescent="0.3">
      <c r="G4003" s="101"/>
      <c r="H4003" s="101"/>
      <c r="I4003" s="101"/>
      <c r="K4003" s="226"/>
      <c r="L4003" s="226"/>
      <c r="M4003" s="101"/>
      <c r="N4003" s="101"/>
    </row>
    <row r="4004" spans="7:14" hidden="1" x14ac:dyDescent="0.3">
      <c r="G4004" s="101"/>
      <c r="H4004" s="101"/>
      <c r="I4004" s="101"/>
      <c r="K4004" s="226"/>
      <c r="L4004" s="226"/>
      <c r="M4004" s="101"/>
      <c r="N4004" s="101"/>
    </row>
    <row r="4005" spans="7:14" hidden="1" x14ac:dyDescent="0.3">
      <c r="G4005" s="101"/>
      <c r="H4005" s="101"/>
      <c r="I4005" s="101"/>
      <c r="K4005" s="226"/>
      <c r="L4005" s="226"/>
      <c r="M4005" s="101"/>
      <c r="N4005" s="101"/>
    </row>
    <row r="4006" spans="7:14" hidden="1" x14ac:dyDescent="0.3">
      <c r="G4006" s="101"/>
      <c r="H4006" s="101"/>
      <c r="I4006" s="101"/>
      <c r="K4006" s="226"/>
      <c r="L4006" s="226"/>
      <c r="M4006" s="101"/>
      <c r="N4006" s="101"/>
    </row>
    <row r="4007" spans="7:14" hidden="1" x14ac:dyDescent="0.3">
      <c r="G4007" s="101"/>
      <c r="H4007" s="101"/>
      <c r="I4007" s="101"/>
      <c r="K4007" s="226"/>
      <c r="L4007" s="226"/>
      <c r="M4007" s="101"/>
      <c r="N4007" s="101"/>
    </row>
    <row r="4008" spans="7:14" hidden="1" x14ac:dyDescent="0.3">
      <c r="G4008" s="101"/>
      <c r="H4008" s="101"/>
      <c r="I4008" s="101"/>
      <c r="K4008" s="226"/>
      <c r="L4008" s="226"/>
      <c r="M4008" s="101"/>
      <c r="N4008" s="101"/>
    </row>
    <row r="4009" spans="7:14" hidden="1" x14ac:dyDescent="0.3">
      <c r="G4009" s="101"/>
      <c r="H4009" s="101"/>
      <c r="I4009" s="101"/>
      <c r="K4009" s="226"/>
      <c r="L4009" s="226"/>
      <c r="M4009" s="101"/>
      <c r="N4009" s="101"/>
    </row>
    <row r="4010" spans="7:14" hidden="1" x14ac:dyDescent="0.3">
      <c r="G4010" s="101"/>
      <c r="H4010" s="101"/>
      <c r="I4010" s="101"/>
      <c r="K4010" s="226"/>
      <c r="L4010" s="226"/>
      <c r="M4010" s="101"/>
      <c r="N4010" s="101"/>
    </row>
    <row r="4011" spans="7:14" hidden="1" x14ac:dyDescent="0.3">
      <c r="G4011" s="101"/>
      <c r="H4011" s="101"/>
      <c r="I4011" s="101"/>
      <c r="K4011" s="226"/>
      <c r="L4011" s="226"/>
      <c r="M4011" s="101"/>
      <c r="N4011" s="101"/>
    </row>
    <row r="4012" spans="7:14" hidden="1" x14ac:dyDescent="0.3">
      <c r="G4012" s="101"/>
      <c r="H4012" s="101"/>
      <c r="I4012" s="101"/>
      <c r="K4012" s="226"/>
      <c r="L4012" s="226"/>
      <c r="M4012" s="101"/>
      <c r="N4012" s="101"/>
    </row>
    <row r="4013" spans="7:14" hidden="1" x14ac:dyDescent="0.3">
      <c r="G4013" s="101"/>
      <c r="H4013" s="101"/>
      <c r="I4013" s="101"/>
      <c r="K4013" s="226"/>
      <c r="L4013" s="226"/>
      <c r="M4013" s="101"/>
      <c r="N4013" s="101"/>
    </row>
    <row r="4014" spans="7:14" hidden="1" x14ac:dyDescent="0.3">
      <c r="G4014" s="101"/>
      <c r="H4014" s="101"/>
      <c r="I4014" s="101"/>
      <c r="K4014" s="226"/>
      <c r="L4014" s="226"/>
      <c r="M4014" s="101"/>
      <c r="N4014" s="101"/>
    </row>
    <row r="4015" spans="7:14" hidden="1" x14ac:dyDescent="0.3">
      <c r="G4015" s="101"/>
      <c r="H4015" s="101"/>
      <c r="I4015" s="101"/>
      <c r="K4015" s="226"/>
      <c r="L4015" s="226"/>
      <c r="M4015" s="101"/>
      <c r="N4015" s="101"/>
    </row>
    <row r="4016" spans="7:14" hidden="1" x14ac:dyDescent="0.3">
      <c r="G4016" s="101"/>
      <c r="H4016" s="101"/>
      <c r="I4016" s="101"/>
      <c r="K4016" s="226"/>
      <c r="L4016" s="226"/>
      <c r="M4016" s="101"/>
      <c r="N4016" s="101"/>
    </row>
    <row r="4017" spans="7:14" hidden="1" x14ac:dyDescent="0.3">
      <c r="G4017" s="101"/>
      <c r="H4017" s="101"/>
      <c r="I4017" s="101"/>
      <c r="K4017" s="226"/>
      <c r="L4017" s="226"/>
      <c r="M4017" s="101"/>
      <c r="N4017" s="101"/>
    </row>
    <row r="4018" spans="7:14" hidden="1" x14ac:dyDescent="0.3">
      <c r="G4018" s="101"/>
      <c r="H4018" s="101"/>
      <c r="I4018" s="101"/>
      <c r="K4018" s="226"/>
      <c r="L4018" s="226"/>
      <c r="M4018" s="101"/>
      <c r="N4018" s="101"/>
    </row>
    <row r="4019" spans="7:14" hidden="1" x14ac:dyDescent="0.3">
      <c r="G4019" s="101"/>
      <c r="H4019" s="101"/>
      <c r="I4019" s="101"/>
      <c r="K4019" s="226"/>
      <c r="L4019" s="226"/>
      <c r="M4019" s="101"/>
      <c r="N4019" s="101"/>
    </row>
    <row r="4020" spans="7:14" hidden="1" x14ac:dyDescent="0.3">
      <c r="G4020" s="101"/>
      <c r="H4020" s="101"/>
      <c r="I4020" s="101"/>
      <c r="K4020" s="226"/>
      <c r="L4020" s="226"/>
      <c r="M4020" s="101"/>
      <c r="N4020" s="101"/>
    </row>
    <row r="4021" spans="7:14" hidden="1" x14ac:dyDescent="0.3">
      <c r="G4021" s="101"/>
      <c r="H4021" s="101"/>
      <c r="I4021" s="101"/>
      <c r="K4021" s="226"/>
      <c r="L4021" s="226"/>
      <c r="M4021" s="101"/>
      <c r="N4021" s="101"/>
    </row>
    <row r="4022" spans="7:14" hidden="1" x14ac:dyDescent="0.3">
      <c r="G4022" s="101"/>
      <c r="H4022" s="101"/>
      <c r="I4022" s="101"/>
      <c r="K4022" s="226"/>
      <c r="L4022" s="226"/>
      <c r="M4022" s="101"/>
      <c r="N4022" s="101"/>
    </row>
    <row r="4023" spans="7:14" hidden="1" x14ac:dyDescent="0.3">
      <c r="G4023" s="101"/>
      <c r="H4023" s="101"/>
      <c r="I4023" s="101"/>
      <c r="K4023" s="226"/>
      <c r="L4023" s="226"/>
      <c r="M4023" s="101"/>
      <c r="N4023" s="101"/>
    </row>
    <row r="4024" spans="7:14" hidden="1" x14ac:dyDescent="0.3">
      <c r="G4024" s="101"/>
      <c r="H4024" s="101"/>
      <c r="I4024" s="101"/>
      <c r="K4024" s="226"/>
      <c r="L4024" s="226"/>
      <c r="M4024" s="101"/>
      <c r="N4024" s="101"/>
    </row>
    <row r="4025" spans="7:14" hidden="1" x14ac:dyDescent="0.3">
      <c r="G4025" s="101"/>
      <c r="H4025" s="101"/>
      <c r="I4025" s="101"/>
      <c r="K4025" s="226"/>
      <c r="L4025" s="226"/>
      <c r="M4025" s="101"/>
      <c r="N4025" s="101"/>
    </row>
    <row r="4026" spans="7:14" hidden="1" x14ac:dyDescent="0.3">
      <c r="G4026" s="101"/>
      <c r="H4026" s="101"/>
      <c r="I4026" s="101"/>
      <c r="K4026" s="226"/>
      <c r="L4026" s="226"/>
      <c r="M4026" s="101"/>
      <c r="N4026" s="101"/>
    </row>
    <row r="4027" spans="7:14" hidden="1" x14ac:dyDescent="0.3">
      <c r="G4027" s="101"/>
      <c r="H4027" s="101"/>
      <c r="I4027" s="101"/>
      <c r="K4027" s="226"/>
      <c r="L4027" s="226"/>
      <c r="M4027" s="101"/>
      <c r="N4027" s="101"/>
    </row>
    <row r="4028" spans="7:14" hidden="1" x14ac:dyDescent="0.3">
      <c r="G4028" s="101"/>
      <c r="H4028" s="101"/>
      <c r="I4028" s="101"/>
      <c r="K4028" s="226"/>
      <c r="L4028" s="226"/>
      <c r="M4028" s="101"/>
      <c r="N4028" s="101"/>
    </row>
    <row r="4029" spans="7:14" hidden="1" x14ac:dyDescent="0.3">
      <c r="G4029" s="101"/>
      <c r="H4029" s="101"/>
      <c r="I4029" s="101"/>
      <c r="K4029" s="226"/>
      <c r="L4029" s="226"/>
      <c r="M4029" s="101"/>
      <c r="N4029" s="101"/>
    </row>
    <row r="4030" spans="7:14" hidden="1" x14ac:dyDescent="0.3">
      <c r="G4030" s="101"/>
      <c r="H4030" s="101"/>
      <c r="I4030" s="101"/>
      <c r="K4030" s="226"/>
      <c r="L4030" s="226"/>
      <c r="M4030" s="101"/>
      <c r="N4030" s="101"/>
    </row>
    <row r="4031" spans="7:14" hidden="1" x14ac:dyDescent="0.3">
      <c r="G4031" s="101"/>
      <c r="H4031" s="101"/>
      <c r="I4031" s="101"/>
      <c r="K4031" s="226"/>
      <c r="L4031" s="226"/>
      <c r="M4031" s="101"/>
      <c r="N4031" s="101"/>
    </row>
    <row r="4032" spans="7:14" hidden="1" x14ac:dyDescent="0.3">
      <c r="G4032" s="101"/>
      <c r="H4032" s="101"/>
      <c r="I4032" s="101"/>
      <c r="K4032" s="226"/>
      <c r="L4032" s="226"/>
      <c r="M4032" s="101"/>
      <c r="N4032" s="101"/>
    </row>
    <row r="4033" spans="7:14" hidden="1" x14ac:dyDescent="0.3">
      <c r="G4033" s="101"/>
      <c r="H4033" s="101"/>
      <c r="I4033" s="101"/>
      <c r="K4033" s="226"/>
      <c r="L4033" s="226"/>
      <c r="M4033" s="101"/>
      <c r="N4033" s="101"/>
    </row>
    <row r="4034" spans="7:14" hidden="1" x14ac:dyDescent="0.3">
      <c r="G4034" s="101"/>
      <c r="H4034" s="101"/>
      <c r="I4034" s="101"/>
      <c r="K4034" s="226"/>
      <c r="L4034" s="226"/>
      <c r="M4034" s="101"/>
      <c r="N4034" s="101"/>
    </row>
    <row r="4035" spans="7:14" hidden="1" x14ac:dyDescent="0.3">
      <c r="G4035" s="101"/>
      <c r="H4035" s="101"/>
      <c r="I4035" s="101"/>
      <c r="K4035" s="226"/>
      <c r="L4035" s="226"/>
      <c r="M4035" s="101"/>
      <c r="N4035" s="101"/>
    </row>
    <row r="4036" spans="7:14" hidden="1" x14ac:dyDescent="0.3">
      <c r="G4036" s="101"/>
      <c r="H4036" s="101"/>
      <c r="I4036" s="101"/>
      <c r="K4036" s="226"/>
      <c r="L4036" s="226"/>
      <c r="M4036" s="101"/>
      <c r="N4036" s="101"/>
    </row>
    <row r="4037" spans="7:14" hidden="1" x14ac:dyDescent="0.3">
      <c r="G4037" s="101"/>
      <c r="H4037" s="101"/>
      <c r="I4037" s="101"/>
      <c r="K4037" s="226"/>
      <c r="L4037" s="226"/>
      <c r="M4037" s="101"/>
      <c r="N4037" s="101"/>
    </row>
    <row r="4038" spans="7:14" hidden="1" x14ac:dyDescent="0.3">
      <c r="G4038" s="101"/>
      <c r="H4038" s="101"/>
      <c r="I4038" s="101"/>
      <c r="K4038" s="226"/>
      <c r="L4038" s="226"/>
      <c r="M4038" s="101"/>
      <c r="N4038" s="101"/>
    </row>
    <row r="4039" spans="7:14" hidden="1" x14ac:dyDescent="0.3">
      <c r="G4039" s="101"/>
      <c r="H4039" s="101"/>
      <c r="I4039" s="101"/>
      <c r="K4039" s="226"/>
      <c r="L4039" s="226"/>
      <c r="M4039" s="101"/>
      <c r="N4039" s="101"/>
    </row>
    <row r="4040" spans="7:14" hidden="1" x14ac:dyDescent="0.3">
      <c r="G4040" s="101"/>
      <c r="H4040" s="101"/>
      <c r="I4040" s="101"/>
      <c r="K4040" s="226"/>
      <c r="L4040" s="226"/>
      <c r="M4040" s="101"/>
      <c r="N4040" s="101"/>
    </row>
    <row r="4041" spans="7:14" hidden="1" x14ac:dyDescent="0.3">
      <c r="G4041" s="101"/>
      <c r="H4041" s="101"/>
      <c r="I4041" s="101"/>
      <c r="K4041" s="226"/>
      <c r="L4041" s="226"/>
      <c r="M4041" s="101"/>
      <c r="N4041" s="101"/>
    </row>
    <row r="4042" spans="7:14" hidden="1" x14ac:dyDescent="0.3">
      <c r="G4042" s="101"/>
      <c r="H4042" s="101"/>
      <c r="I4042" s="101"/>
      <c r="K4042" s="226"/>
      <c r="L4042" s="226"/>
      <c r="M4042" s="101"/>
      <c r="N4042" s="101"/>
    </row>
    <row r="4043" spans="7:14" hidden="1" x14ac:dyDescent="0.3">
      <c r="G4043" s="101"/>
      <c r="H4043" s="101"/>
      <c r="I4043" s="101"/>
      <c r="K4043" s="226"/>
      <c r="L4043" s="226"/>
      <c r="M4043" s="101"/>
      <c r="N4043" s="101"/>
    </row>
    <row r="4044" spans="7:14" hidden="1" x14ac:dyDescent="0.3">
      <c r="G4044" s="101"/>
      <c r="H4044" s="101"/>
      <c r="I4044" s="101"/>
      <c r="K4044" s="226"/>
      <c r="L4044" s="226"/>
      <c r="M4044" s="101"/>
      <c r="N4044" s="101"/>
    </row>
    <row r="4045" spans="7:14" hidden="1" x14ac:dyDescent="0.3">
      <c r="G4045" s="101"/>
      <c r="H4045" s="101"/>
      <c r="I4045" s="101"/>
      <c r="K4045" s="226"/>
      <c r="L4045" s="226"/>
      <c r="M4045" s="101"/>
      <c r="N4045" s="101"/>
    </row>
    <row r="4046" spans="7:14" hidden="1" x14ac:dyDescent="0.3">
      <c r="G4046" s="101"/>
      <c r="H4046" s="101"/>
      <c r="I4046" s="101"/>
      <c r="K4046" s="226"/>
      <c r="L4046" s="226"/>
      <c r="M4046" s="101"/>
      <c r="N4046" s="101"/>
    </row>
    <row r="4047" spans="7:14" hidden="1" x14ac:dyDescent="0.3">
      <c r="G4047" s="101"/>
      <c r="H4047" s="101"/>
      <c r="I4047" s="101"/>
      <c r="K4047" s="226"/>
      <c r="L4047" s="226"/>
      <c r="M4047" s="101"/>
      <c r="N4047" s="101"/>
    </row>
    <row r="4048" spans="7:14" hidden="1" x14ac:dyDescent="0.3">
      <c r="G4048" s="101"/>
      <c r="H4048" s="101"/>
      <c r="I4048" s="101"/>
      <c r="K4048" s="226"/>
      <c r="L4048" s="226"/>
      <c r="M4048" s="101"/>
      <c r="N4048" s="101"/>
    </row>
    <row r="4049" spans="7:14" hidden="1" x14ac:dyDescent="0.3">
      <c r="G4049" s="101"/>
      <c r="H4049" s="101"/>
      <c r="I4049" s="101"/>
      <c r="K4049" s="226"/>
      <c r="L4049" s="226"/>
      <c r="M4049" s="101"/>
      <c r="N4049" s="101"/>
    </row>
    <row r="4050" spans="7:14" hidden="1" x14ac:dyDescent="0.3">
      <c r="G4050" s="101"/>
      <c r="H4050" s="101"/>
      <c r="I4050" s="101"/>
      <c r="K4050" s="226"/>
      <c r="L4050" s="226"/>
      <c r="M4050" s="101"/>
      <c r="N4050" s="101"/>
    </row>
    <row r="4051" spans="7:14" hidden="1" x14ac:dyDescent="0.3">
      <c r="G4051" s="101"/>
      <c r="H4051" s="101"/>
      <c r="I4051" s="101"/>
      <c r="K4051" s="226"/>
      <c r="L4051" s="226"/>
      <c r="M4051" s="101"/>
      <c r="N4051" s="101"/>
    </row>
    <row r="4052" spans="7:14" hidden="1" x14ac:dyDescent="0.3">
      <c r="G4052" s="101"/>
      <c r="H4052" s="101"/>
      <c r="I4052" s="101"/>
      <c r="K4052" s="226"/>
      <c r="L4052" s="226"/>
      <c r="M4052" s="101"/>
      <c r="N4052" s="101"/>
    </row>
    <row r="4053" spans="7:14" hidden="1" x14ac:dyDescent="0.3">
      <c r="G4053" s="101"/>
      <c r="H4053" s="101"/>
      <c r="I4053" s="101"/>
      <c r="K4053" s="226"/>
      <c r="L4053" s="226"/>
      <c r="M4053" s="101"/>
      <c r="N4053" s="101"/>
    </row>
    <row r="4054" spans="7:14" hidden="1" x14ac:dyDescent="0.3">
      <c r="G4054" s="101"/>
      <c r="H4054" s="101"/>
      <c r="I4054" s="101"/>
      <c r="K4054" s="226"/>
      <c r="L4054" s="226"/>
      <c r="M4054" s="101"/>
      <c r="N4054" s="101"/>
    </row>
    <row r="4055" spans="7:14" hidden="1" x14ac:dyDescent="0.3">
      <c r="G4055" s="101"/>
      <c r="H4055" s="101"/>
      <c r="I4055" s="101"/>
      <c r="K4055" s="226"/>
      <c r="L4055" s="226"/>
      <c r="M4055" s="101"/>
      <c r="N4055" s="101"/>
    </row>
    <row r="4056" spans="7:14" hidden="1" x14ac:dyDescent="0.3">
      <c r="G4056" s="101"/>
      <c r="H4056" s="101"/>
      <c r="I4056" s="101"/>
      <c r="K4056" s="226"/>
      <c r="L4056" s="226"/>
      <c r="M4056" s="101"/>
      <c r="N4056" s="101"/>
    </row>
    <row r="4057" spans="7:14" hidden="1" x14ac:dyDescent="0.3">
      <c r="G4057" s="101"/>
      <c r="H4057" s="101"/>
      <c r="I4057" s="101"/>
      <c r="K4057" s="226"/>
      <c r="L4057" s="226"/>
      <c r="M4057" s="101"/>
      <c r="N4057" s="101"/>
    </row>
    <row r="4058" spans="7:14" hidden="1" x14ac:dyDescent="0.3">
      <c r="G4058" s="101"/>
      <c r="H4058" s="101"/>
      <c r="I4058" s="101"/>
      <c r="K4058" s="226"/>
      <c r="L4058" s="226"/>
      <c r="M4058" s="101"/>
      <c r="N4058" s="101"/>
    </row>
    <row r="4059" spans="7:14" hidden="1" x14ac:dyDescent="0.3">
      <c r="G4059" s="101"/>
      <c r="H4059" s="101"/>
      <c r="I4059" s="101"/>
      <c r="K4059" s="226"/>
      <c r="L4059" s="226"/>
      <c r="M4059" s="101"/>
      <c r="N4059" s="101"/>
    </row>
    <row r="4060" spans="7:14" hidden="1" x14ac:dyDescent="0.3">
      <c r="G4060" s="101"/>
      <c r="H4060" s="101"/>
      <c r="I4060" s="101"/>
      <c r="K4060" s="226"/>
      <c r="L4060" s="226"/>
      <c r="M4060" s="101"/>
      <c r="N4060" s="101"/>
    </row>
    <row r="4061" spans="7:14" hidden="1" x14ac:dyDescent="0.3">
      <c r="G4061" s="101"/>
      <c r="H4061" s="101"/>
      <c r="I4061" s="101"/>
      <c r="K4061" s="226"/>
      <c r="L4061" s="226"/>
      <c r="M4061" s="101"/>
      <c r="N4061" s="101"/>
    </row>
    <row r="4062" spans="7:14" hidden="1" x14ac:dyDescent="0.3">
      <c r="G4062" s="101"/>
      <c r="H4062" s="101"/>
      <c r="I4062" s="101"/>
      <c r="K4062" s="226"/>
      <c r="L4062" s="226"/>
      <c r="M4062" s="101"/>
      <c r="N4062" s="101"/>
    </row>
    <row r="4063" spans="7:14" hidden="1" x14ac:dyDescent="0.3">
      <c r="G4063" s="101"/>
      <c r="H4063" s="101"/>
      <c r="I4063" s="101"/>
      <c r="K4063" s="226"/>
      <c r="L4063" s="226"/>
      <c r="M4063" s="101"/>
      <c r="N4063" s="101"/>
    </row>
    <row r="4064" spans="7:14" hidden="1" x14ac:dyDescent="0.3">
      <c r="G4064" s="101"/>
      <c r="H4064" s="101"/>
      <c r="I4064" s="101"/>
      <c r="K4064" s="226"/>
      <c r="L4064" s="226"/>
      <c r="M4064" s="101"/>
      <c r="N4064" s="101"/>
    </row>
    <row r="4065" spans="7:14" hidden="1" x14ac:dyDescent="0.3">
      <c r="G4065" s="101"/>
      <c r="H4065" s="101"/>
      <c r="I4065" s="101"/>
      <c r="K4065" s="226"/>
      <c r="L4065" s="226"/>
      <c r="M4065" s="101"/>
      <c r="N4065" s="101"/>
    </row>
    <row r="4066" spans="7:14" hidden="1" x14ac:dyDescent="0.3">
      <c r="G4066" s="101"/>
      <c r="H4066" s="101"/>
      <c r="I4066" s="101"/>
      <c r="K4066" s="226"/>
      <c r="L4066" s="226"/>
      <c r="M4066" s="101"/>
      <c r="N4066" s="101"/>
    </row>
    <row r="4067" spans="7:14" hidden="1" x14ac:dyDescent="0.3">
      <c r="G4067" s="101"/>
      <c r="H4067" s="101"/>
      <c r="I4067" s="101"/>
      <c r="K4067" s="226"/>
      <c r="L4067" s="226"/>
      <c r="M4067" s="101"/>
      <c r="N4067" s="101"/>
    </row>
    <row r="4068" spans="7:14" hidden="1" x14ac:dyDescent="0.3">
      <c r="G4068" s="101"/>
      <c r="H4068" s="101"/>
      <c r="I4068" s="101"/>
      <c r="K4068" s="226"/>
      <c r="L4068" s="226"/>
      <c r="M4068" s="101"/>
      <c r="N4068" s="101"/>
    </row>
    <row r="4069" spans="7:14" hidden="1" x14ac:dyDescent="0.3">
      <c r="G4069" s="101"/>
      <c r="H4069" s="101"/>
      <c r="I4069" s="101"/>
      <c r="K4069" s="226"/>
      <c r="L4069" s="226"/>
      <c r="M4069" s="101"/>
      <c r="N4069" s="101"/>
    </row>
    <row r="4070" spans="7:14" hidden="1" x14ac:dyDescent="0.3">
      <c r="G4070" s="101"/>
      <c r="H4070" s="101"/>
      <c r="I4070" s="101"/>
      <c r="K4070" s="226"/>
      <c r="L4070" s="226"/>
      <c r="M4070" s="101"/>
      <c r="N4070" s="101"/>
    </row>
    <row r="4071" spans="7:14" hidden="1" x14ac:dyDescent="0.3">
      <c r="G4071" s="101"/>
      <c r="H4071" s="101"/>
      <c r="I4071" s="101"/>
      <c r="K4071" s="226"/>
      <c r="L4071" s="226"/>
      <c r="M4071" s="101"/>
      <c r="N4071" s="101"/>
    </row>
    <row r="4072" spans="7:14" hidden="1" x14ac:dyDescent="0.3">
      <c r="G4072" s="101"/>
      <c r="H4072" s="101"/>
      <c r="I4072" s="101"/>
      <c r="K4072" s="226"/>
      <c r="L4072" s="226"/>
      <c r="M4072" s="101"/>
      <c r="N4072" s="101"/>
    </row>
    <row r="4073" spans="7:14" hidden="1" x14ac:dyDescent="0.3">
      <c r="G4073" s="101"/>
      <c r="H4073" s="101"/>
      <c r="I4073" s="101"/>
      <c r="K4073" s="226"/>
      <c r="L4073" s="226"/>
      <c r="M4073" s="101"/>
      <c r="N4073" s="101"/>
    </row>
    <row r="4074" spans="7:14" hidden="1" x14ac:dyDescent="0.3">
      <c r="G4074" s="101"/>
      <c r="H4074" s="101"/>
      <c r="I4074" s="101"/>
      <c r="K4074" s="226"/>
      <c r="L4074" s="226"/>
      <c r="M4074" s="101"/>
      <c r="N4074" s="101"/>
    </row>
    <row r="4075" spans="7:14" hidden="1" x14ac:dyDescent="0.3">
      <c r="G4075" s="101"/>
      <c r="H4075" s="101"/>
      <c r="I4075" s="101"/>
      <c r="K4075" s="226"/>
      <c r="L4075" s="226"/>
      <c r="M4075" s="101"/>
      <c r="N4075" s="101"/>
    </row>
    <row r="4076" spans="7:14" hidden="1" x14ac:dyDescent="0.3">
      <c r="G4076" s="101"/>
      <c r="H4076" s="101"/>
      <c r="I4076" s="101"/>
      <c r="K4076" s="226"/>
      <c r="L4076" s="226"/>
      <c r="M4076" s="101"/>
      <c r="N4076" s="101"/>
    </row>
    <row r="4077" spans="7:14" hidden="1" x14ac:dyDescent="0.3">
      <c r="G4077" s="101"/>
      <c r="H4077" s="101"/>
      <c r="I4077" s="101"/>
      <c r="K4077" s="226"/>
      <c r="L4077" s="226"/>
      <c r="M4077" s="101"/>
      <c r="N4077" s="101"/>
    </row>
    <row r="4078" spans="7:14" hidden="1" x14ac:dyDescent="0.3">
      <c r="G4078" s="101"/>
      <c r="H4078" s="101"/>
      <c r="I4078" s="101"/>
      <c r="K4078" s="226"/>
      <c r="L4078" s="226"/>
      <c r="M4078" s="101"/>
      <c r="N4078" s="101"/>
    </row>
    <row r="4079" spans="7:14" hidden="1" x14ac:dyDescent="0.3">
      <c r="G4079" s="101"/>
      <c r="H4079" s="101"/>
      <c r="I4079" s="101"/>
      <c r="K4079" s="226"/>
      <c r="L4079" s="226"/>
      <c r="M4079" s="101"/>
      <c r="N4079" s="101"/>
    </row>
    <row r="4080" spans="7:14" hidden="1" x14ac:dyDescent="0.3">
      <c r="G4080" s="101"/>
      <c r="H4080" s="101"/>
      <c r="I4080" s="101"/>
      <c r="K4080" s="226"/>
      <c r="L4080" s="226"/>
      <c r="M4080" s="101"/>
      <c r="N4080" s="101"/>
    </row>
    <row r="4081" spans="7:14" hidden="1" x14ac:dyDescent="0.3">
      <c r="G4081" s="101"/>
      <c r="H4081" s="101"/>
      <c r="I4081" s="101"/>
      <c r="K4081" s="226"/>
      <c r="L4081" s="226"/>
      <c r="M4081" s="101"/>
      <c r="N4081" s="101"/>
    </row>
    <row r="4082" spans="7:14" hidden="1" x14ac:dyDescent="0.3">
      <c r="G4082" s="101"/>
      <c r="H4082" s="101"/>
      <c r="I4082" s="101"/>
      <c r="K4082" s="226"/>
      <c r="L4082" s="226"/>
      <c r="M4082" s="101"/>
      <c r="N4082" s="101"/>
    </row>
    <row r="4083" spans="7:14" hidden="1" x14ac:dyDescent="0.3">
      <c r="G4083" s="101"/>
      <c r="H4083" s="101"/>
      <c r="I4083" s="101"/>
      <c r="K4083" s="226"/>
      <c r="L4083" s="226"/>
      <c r="M4083" s="101"/>
      <c r="N4083" s="101"/>
    </row>
    <row r="4084" spans="7:14" hidden="1" x14ac:dyDescent="0.3">
      <c r="G4084" s="101"/>
      <c r="H4084" s="101"/>
      <c r="I4084" s="101"/>
      <c r="K4084" s="226"/>
      <c r="L4084" s="226"/>
      <c r="M4084" s="101"/>
      <c r="N4084" s="101"/>
    </row>
    <row r="4085" spans="7:14" hidden="1" x14ac:dyDescent="0.3">
      <c r="G4085" s="101"/>
      <c r="H4085" s="101"/>
      <c r="I4085" s="101"/>
      <c r="K4085" s="226"/>
      <c r="L4085" s="226"/>
      <c r="M4085" s="101"/>
      <c r="N4085" s="101"/>
    </row>
    <row r="4086" spans="7:14" hidden="1" x14ac:dyDescent="0.3">
      <c r="G4086" s="101"/>
      <c r="H4086" s="101"/>
      <c r="I4086" s="101"/>
      <c r="K4086" s="226"/>
      <c r="L4086" s="226"/>
      <c r="M4086" s="101"/>
      <c r="N4086" s="101"/>
    </row>
    <row r="4087" spans="7:14" hidden="1" x14ac:dyDescent="0.3">
      <c r="G4087" s="101"/>
      <c r="H4087" s="101"/>
      <c r="I4087" s="101"/>
      <c r="K4087" s="226"/>
      <c r="L4087" s="226"/>
      <c r="M4087" s="101"/>
      <c r="N4087" s="101"/>
    </row>
    <row r="4088" spans="7:14" hidden="1" x14ac:dyDescent="0.3">
      <c r="G4088" s="101"/>
      <c r="H4088" s="101"/>
      <c r="I4088" s="101"/>
      <c r="K4088" s="226"/>
      <c r="L4088" s="226"/>
      <c r="M4088" s="101"/>
      <c r="N4088" s="101"/>
    </row>
    <row r="4089" spans="7:14" hidden="1" x14ac:dyDescent="0.3">
      <c r="G4089" s="101"/>
      <c r="H4089" s="101"/>
      <c r="I4089" s="101"/>
      <c r="K4089" s="226"/>
      <c r="L4089" s="226"/>
      <c r="M4089" s="101"/>
      <c r="N4089" s="101"/>
    </row>
    <row r="4090" spans="7:14" hidden="1" x14ac:dyDescent="0.3">
      <c r="G4090" s="101"/>
      <c r="H4090" s="101"/>
      <c r="I4090" s="101"/>
      <c r="K4090" s="226"/>
      <c r="L4090" s="226"/>
      <c r="M4090" s="101"/>
      <c r="N4090" s="101"/>
    </row>
    <row r="4091" spans="7:14" hidden="1" x14ac:dyDescent="0.3">
      <c r="G4091" s="101"/>
      <c r="H4091" s="101"/>
      <c r="I4091" s="101"/>
      <c r="K4091" s="226"/>
      <c r="L4091" s="226"/>
      <c r="M4091" s="101"/>
      <c r="N4091" s="101"/>
    </row>
    <row r="4092" spans="7:14" hidden="1" x14ac:dyDescent="0.3">
      <c r="G4092" s="101"/>
      <c r="H4092" s="101"/>
      <c r="I4092" s="101"/>
      <c r="K4092" s="226"/>
      <c r="L4092" s="226"/>
      <c r="M4092" s="101"/>
      <c r="N4092" s="101"/>
    </row>
    <row r="4093" spans="7:14" hidden="1" x14ac:dyDescent="0.3">
      <c r="G4093" s="101"/>
      <c r="H4093" s="101"/>
      <c r="I4093" s="101"/>
      <c r="K4093" s="226"/>
      <c r="L4093" s="226"/>
      <c r="M4093" s="101"/>
      <c r="N4093" s="101"/>
    </row>
    <row r="4094" spans="7:14" hidden="1" x14ac:dyDescent="0.3">
      <c r="G4094" s="101"/>
      <c r="H4094" s="101"/>
      <c r="I4094" s="101"/>
      <c r="K4094" s="226"/>
      <c r="L4094" s="226"/>
      <c r="M4094" s="101"/>
      <c r="N4094" s="101"/>
    </row>
    <row r="4095" spans="7:14" hidden="1" x14ac:dyDescent="0.3">
      <c r="G4095" s="101"/>
      <c r="H4095" s="101"/>
      <c r="I4095" s="101"/>
      <c r="K4095" s="226"/>
      <c r="L4095" s="226"/>
      <c r="M4095" s="101"/>
      <c r="N4095" s="101"/>
    </row>
    <row r="4096" spans="7:14" hidden="1" x14ac:dyDescent="0.3">
      <c r="G4096" s="101"/>
      <c r="H4096" s="101"/>
      <c r="I4096" s="101"/>
      <c r="K4096" s="226"/>
      <c r="L4096" s="226"/>
      <c r="M4096" s="101"/>
      <c r="N4096" s="101"/>
    </row>
    <row r="4097" spans="7:14" hidden="1" x14ac:dyDescent="0.3">
      <c r="G4097" s="101"/>
      <c r="H4097" s="101"/>
      <c r="I4097" s="101"/>
      <c r="K4097" s="226"/>
      <c r="L4097" s="226"/>
      <c r="M4097" s="101"/>
      <c r="N4097" s="101"/>
    </row>
    <row r="4098" spans="7:14" hidden="1" x14ac:dyDescent="0.3">
      <c r="G4098" s="101"/>
      <c r="H4098" s="101"/>
      <c r="I4098" s="101"/>
      <c r="K4098" s="226"/>
      <c r="L4098" s="226"/>
      <c r="M4098" s="101"/>
      <c r="N4098" s="101"/>
    </row>
    <row r="4099" spans="7:14" hidden="1" x14ac:dyDescent="0.3">
      <c r="G4099" s="101"/>
      <c r="H4099" s="101"/>
      <c r="I4099" s="101"/>
      <c r="K4099" s="226"/>
      <c r="L4099" s="226"/>
      <c r="M4099" s="101"/>
      <c r="N4099" s="101"/>
    </row>
    <row r="4100" spans="7:14" hidden="1" x14ac:dyDescent="0.3">
      <c r="G4100" s="101"/>
      <c r="H4100" s="101"/>
      <c r="I4100" s="101"/>
      <c r="K4100" s="226"/>
      <c r="L4100" s="226"/>
      <c r="M4100" s="101"/>
      <c r="N4100" s="101"/>
    </row>
    <row r="4101" spans="7:14" hidden="1" x14ac:dyDescent="0.3">
      <c r="G4101" s="101"/>
      <c r="H4101" s="101"/>
      <c r="I4101" s="101"/>
      <c r="K4101" s="226"/>
      <c r="L4101" s="226"/>
      <c r="M4101" s="101"/>
      <c r="N4101" s="101"/>
    </row>
    <row r="4102" spans="7:14" hidden="1" x14ac:dyDescent="0.3">
      <c r="G4102" s="101"/>
      <c r="H4102" s="101"/>
      <c r="I4102" s="101"/>
      <c r="K4102" s="226"/>
      <c r="L4102" s="226"/>
      <c r="M4102" s="101"/>
      <c r="N4102" s="101"/>
    </row>
    <row r="4103" spans="7:14" hidden="1" x14ac:dyDescent="0.3">
      <c r="G4103" s="101"/>
      <c r="H4103" s="101"/>
      <c r="I4103" s="101"/>
      <c r="K4103" s="226"/>
      <c r="L4103" s="226"/>
      <c r="M4103" s="101"/>
      <c r="N4103" s="101"/>
    </row>
    <row r="4104" spans="7:14" hidden="1" x14ac:dyDescent="0.3">
      <c r="G4104" s="101"/>
      <c r="H4104" s="101"/>
      <c r="I4104" s="101"/>
      <c r="K4104" s="226"/>
      <c r="L4104" s="226"/>
      <c r="M4104" s="101"/>
      <c r="N4104" s="101"/>
    </row>
    <row r="4105" spans="7:14" hidden="1" x14ac:dyDescent="0.3">
      <c r="G4105" s="101"/>
      <c r="H4105" s="101"/>
      <c r="I4105" s="101"/>
      <c r="K4105" s="226"/>
      <c r="L4105" s="226"/>
      <c r="M4105" s="101"/>
      <c r="N4105" s="101"/>
    </row>
    <row r="4106" spans="7:14" hidden="1" x14ac:dyDescent="0.3">
      <c r="G4106" s="101"/>
      <c r="H4106" s="101"/>
      <c r="I4106" s="101"/>
      <c r="K4106" s="226"/>
      <c r="L4106" s="226"/>
      <c r="M4106" s="101"/>
      <c r="N4106" s="101"/>
    </row>
    <row r="4107" spans="7:14" hidden="1" x14ac:dyDescent="0.3">
      <c r="G4107" s="101"/>
      <c r="H4107" s="101"/>
      <c r="I4107" s="101"/>
      <c r="K4107" s="226"/>
      <c r="L4107" s="226"/>
      <c r="M4107" s="101"/>
      <c r="N4107" s="101"/>
    </row>
    <row r="4108" spans="7:14" hidden="1" x14ac:dyDescent="0.3">
      <c r="G4108" s="101"/>
      <c r="H4108" s="101"/>
      <c r="I4108" s="101"/>
      <c r="K4108" s="226"/>
      <c r="L4108" s="226"/>
      <c r="M4108" s="101"/>
      <c r="N4108" s="101"/>
    </row>
    <row r="4109" spans="7:14" hidden="1" x14ac:dyDescent="0.3">
      <c r="G4109" s="101"/>
      <c r="H4109" s="101"/>
      <c r="I4109" s="101"/>
      <c r="K4109" s="226"/>
      <c r="L4109" s="226"/>
      <c r="M4109" s="101"/>
      <c r="N4109" s="101"/>
    </row>
    <row r="4110" spans="7:14" hidden="1" x14ac:dyDescent="0.3">
      <c r="G4110" s="101"/>
      <c r="H4110" s="101"/>
      <c r="I4110" s="101"/>
      <c r="K4110" s="226"/>
      <c r="L4110" s="226"/>
      <c r="M4110" s="101"/>
      <c r="N4110" s="101"/>
    </row>
    <row r="4111" spans="7:14" hidden="1" x14ac:dyDescent="0.3">
      <c r="G4111" s="101"/>
      <c r="H4111" s="101"/>
      <c r="I4111" s="101"/>
      <c r="K4111" s="226"/>
      <c r="L4111" s="226"/>
      <c r="M4111" s="101"/>
      <c r="N4111" s="101"/>
    </row>
    <row r="4112" spans="7:14" hidden="1" x14ac:dyDescent="0.3">
      <c r="G4112" s="101"/>
      <c r="H4112" s="101"/>
      <c r="I4112" s="101"/>
      <c r="K4112" s="226"/>
      <c r="L4112" s="226"/>
      <c r="M4112" s="101"/>
      <c r="N4112" s="101"/>
    </row>
    <row r="4113" spans="7:14" hidden="1" x14ac:dyDescent="0.3">
      <c r="G4113" s="101"/>
      <c r="H4113" s="101"/>
      <c r="I4113" s="101"/>
      <c r="K4113" s="226"/>
      <c r="L4113" s="226"/>
      <c r="M4113" s="101"/>
      <c r="N4113" s="101"/>
    </row>
    <row r="4114" spans="7:14" hidden="1" x14ac:dyDescent="0.3">
      <c r="G4114" s="101"/>
      <c r="H4114" s="101"/>
      <c r="I4114" s="101"/>
      <c r="K4114" s="226"/>
      <c r="L4114" s="226"/>
      <c r="M4114" s="101"/>
      <c r="N4114" s="101"/>
    </row>
    <row r="4115" spans="7:14" hidden="1" x14ac:dyDescent="0.3">
      <c r="G4115" s="101"/>
      <c r="H4115" s="101"/>
      <c r="I4115" s="101"/>
      <c r="K4115" s="226"/>
      <c r="L4115" s="226"/>
      <c r="M4115" s="101"/>
      <c r="N4115" s="101"/>
    </row>
    <row r="4116" spans="7:14" hidden="1" x14ac:dyDescent="0.3">
      <c r="G4116" s="101"/>
      <c r="H4116" s="101"/>
      <c r="I4116" s="101"/>
      <c r="K4116" s="226"/>
      <c r="L4116" s="226"/>
      <c r="M4116" s="101"/>
      <c r="N4116" s="101"/>
    </row>
    <row r="4117" spans="7:14" hidden="1" x14ac:dyDescent="0.3">
      <c r="G4117" s="101"/>
      <c r="H4117" s="101"/>
      <c r="I4117" s="101"/>
      <c r="K4117" s="226"/>
      <c r="L4117" s="226"/>
      <c r="M4117" s="101"/>
      <c r="N4117" s="101"/>
    </row>
    <row r="4118" spans="7:14" hidden="1" x14ac:dyDescent="0.3">
      <c r="G4118" s="101"/>
      <c r="H4118" s="101"/>
      <c r="I4118" s="101"/>
      <c r="K4118" s="226"/>
      <c r="L4118" s="226"/>
      <c r="M4118" s="101"/>
      <c r="N4118" s="101"/>
    </row>
    <row r="4119" spans="7:14" hidden="1" x14ac:dyDescent="0.3">
      <c r="G4119" s="101"/>
      <c r="H4119" s="101"/>
      <c r="I4119" s="101"/>
      <c r="K4119" s="226"/>
      <c r="L4119" s="226"/>
      <c r="M4119" s="101"/>
      <c r="N4119" s="101"/>
    </row>
    <row r="4120" spans="7:14" hidden="1" x14ac:dyDescent="0.3">
      <c r="G4120" s="101"/>
      <c r="H4120" s="101"/>
      <c r="I4120" s="101"/>
      <c r="K4120" s="226"/>
      <c r="L4120" s="226"/>
      <c r="M4120" s="101"/>
      <c r="N4120" s="101"/>
    </row>
    <row r="4121" spans="7:14" hidden="1" x14ac:dyDescent="0.3">
      <c r="G4121" s="101"/>
      <c r="H4121" s="101"/>
      <c r="I4121" s="101"/>
      <c r="K4121" s="226"/>
      <c r="L4121" s="226"/>
      <c r="M4121" s="101"/>
      <c r="N4121" s="101"/>
    </row>
    <row r="4122" spans="7:14" hidden="1" x14ac:dyDescent="0.3">
      <c r="G4122" s="101"/>
      <c r="H4122" s="101"/>
      <c r="I4122" s="101"/>
      <c r="K4122" s="226"/>
      <c r="L4122" s="226"/>
      <c r="M4122" s="101"/>
      <c r="N4122" s="101"/>
    </row>
    <row r="4123" spans="7:14" hidden="1" x14ac:dyDescent="0.3">
      <c r="G4123" s="101"/>
      <c r="H4123" s="101"/>
      <c r="I4123" s="101"/>
      <c r="K4123" s="226"/>
      <c r="L4123" s="226"/>
      <c r="M4123" s="101"/>
      <c r="N4123" s="101"/>
    </row>
    <row r="4124" spans="7:14" hidden="1" x14ac:dyDescent="0.3">
      <c r="G4124" s="101"/>
      <c r="H4124" s="101"/>
      <c r="I4124" s="101"/>
      <c r="K4124" s="226"/>
      <c r="L4124" s="226"/>
      <c r="M4124" s="101"/>
      <c r="N4124" s="101"/>
    </row>
    <row r="4125" spans="7:14" hidden="1" x14ac:dyDescent="0.3">
      <c r="G4125" s="101"/>
      <c r="H4125" s="101"/>
      <c r="I4125" s="101"/>
      <c r="K4125" s="226"/>
      <c r="L4125" s="226"/>
      <c r="M4125" s="101"/>
      <c r="N4125" s="101"/>
    </row>
    <row r="4126" spans="7:14" hidden="1" x14ac:dyDescent="0.3">
      <c r="G4126" s="101"/>
      <c r="H4126" s="101"/>
      <c r="I4126" s="101"/>
      <c r="K4126" s="226"/>
      <c r="L4126" s="226"/>
      <c r="M4126" s="101"/>
      <c r="N4126" s="101"/>
    </row>
    <row r="4127" spans="7:14" hidden="1" x14ac:dyDescent="0.3">
      <c r="G4127" s="101"/>
      <c r="H4127" s="101"/>
      <c r="I4127" s="101"/>
      <c r="K4127" s="226"/>
      <c r="L4127" s="226"/>
      <c r="M4127" s="101"/>
      <c r="N4127" s="101"/>
    </row>
    <row r="4128" spans="7:14" hidden="1" x14ac:dyDescent="0.3">
      <c r="G4128" s="101"/>
      <c r="H4128" s="101"/>
      <c r="I4128" s="101"/>
      <c r="K4128" s="226"/>
      <c r="L4128" s="226"/>
      <c r="M4128" s="101"/>
      <c r="N4128" s="101"/>
    </row>
    <row r="4129" spans="7:14" hidden="1" x14ac:dyDescent="0.3">
      <c r="G4129" s="101"/>
      <c r="H4129" s="101"/>
      <c r="I4129" s="101"/>
      <c r="K4129" s="226"/>
      <c r="L4129" s="226"/>
      <c r="M4129" s="101"/>
      <c r="N4129" s="101"/>
    </row>
    <row r="4130" spans="7:14" hidden="1" x14ac:dyDescent="0.3">
      <c r="G4130" s="101"/>
      <c r="H4130" s="101"/>
      <c r="I4130" s="101"/>
      <c r="K4130" s="226"/>
      <c r="L4130" s="226"/>
      <c r="M4130" s="101"/>
      <c r="N4130" s="101"/>
    </row>
    <row r="4131" spans="7:14" hidden="1" x14ac:dyDescent="0.3">
      <c r="G4131" s="101"/>
      <c r="H4131" s="101"/>
      <c r="I4131" s="101"/>
      <c r="K4131" s="226"/>
      <c r="L4131" s="226"/>
      <c r="M4131" s="101"/>
      <c r="N4131" s="101"/>
    </row>
    <row r="4132" spans="7:14" hidden="1" x14ac:dyDescent="0.3">
      <c r="G4132" s="101"/>
      <c r="H4132" s="101"/>
      <c r="I4132" s="101"/>
      <c r="K4132" s="226"/>
      <c r="L4132" s="226"/>
      <c r="M4132" s="101"/>
      <c r="N4132" s="101"/>
    </row>
    <row r="4133" spans="7:14" hidden="1" x14ac:dyDescent="0.3">
      <c r="G4133" s="101"/>
      <c r="H4133" s="101"/>
      <c r="I4133" s="101"/>
      <c r="K4133" s="226"/>
      <c r="L4133" s="226"/>
      <c r="M4133" s="101"/>
      <c r="N4133" s="101"/>
    </row>
    <row r="4134" spans="7:14" hidden="1" x14ac:dyDescent="0.3">
      <c r="G4134" s="101"/>
      <c r="H4134" s="101"/>
      <c r="I4134" s="101"/>
      <c r="K4134" s="226"/>
      <c r="L4134" s="226"/>
      <c r="M4134" s="101"/>
      <c r="N4134" s="101"/>
    </row>
    <row r="4135" spans="7:14" hidden="1" x14ac:dyDescent="0.3">
      <c r="G4135" s="101"/>
      <c r="H4135" s="101"/>
      <c r="I4135" s="101"/>
      <c r="K4135" s="226"/>
      <c r="L4135" s="226"/>
      <c r="M4135" s="101"/>
      <c r="N4135" s="101"/>
    </row>
    <row r="4136" spans="7:14" hidden="1" x14ac:dyDescent="0.3">
      <c r="G4136" s="101"/>
      <c r="H4136" s="101"/>
      <c r="I4136" s="101"/>
      <c r="K4136" s="226"/>
      <c r="L4136" s="226"/>
      <c r="M4136" s="101"/>
      <c r="N4136" s="101"/>
    </row>
    <row r="4137" spans="7:14" hidden="1" x14ac:dyDescent="0.3">
      <c r="G4137" s="101"/>
      <c r="H4137" s="101"/>
      <c r="I4137" s="101"/>
      <c r="K4137" s="226"/>
      <c r="L4137" s="226"/>
      <c r="M4137" s="101"/>
      <c r="N4137" s="101"/>
    </row>
    <row r="4138" spans="7:14" hidden="1" x14ac:dyDescent="0.3">
      <c r="G4138" s="101"/>
      <c r="H4138" s="101"/>
      <c r="I4138" s="101"/>
      <c r="K4138" s="226"/>
      <c r="L4138" s="226"/>
      <c r="M4138" s="101"/>
      <c r="N4138" s="101"/>
    </row>
    <row r="4139" spans="7:14" hidden="1" x14ac:dyDescent="0.3">
      <c r="G4139" s="101"/>
      <c r="H4139" s="101"/>
      <c r="I4139" s="101"/>
      <c r="K4139" s="226"/>
      <c r="L4139" s="226"/>
      <c r="M4139" s="101"/>
      <c r="N4139" s="101"/>
    </row>
    <row r="4140" spans="7:14" hidden="1" x14ac:dyDescent="0.3">
      <c r="G4140" s="101"/>
      <c r="H4140" s="101"/>
      <c r="I4140" s="101"/>
      <c r="K4140" s="226"/>
      <c r="L4140" s="226"/>
      <c r="M4140" s="101"/>
      <c r="N4140" s="101"/>
    </row>
    <row r="4141" spans="7:14" hidden="1" x14ac:dyDescent="0.3">
      <c r="G4141" s="101"/>
      <c r="H4141" s="101"/>
      <c r="I4141" s="101"/>
      <c r="K4141" s="226"/>
      <c r="L4141" s="226"/>
      <c r="M4141" s="101"/>
      <c r="N4141" s="101"/>
    </row>
    <row r="4142" spans="7:14" hidden="1" x14ac:dyDescent="0.3">
      <c r="G4142" s="101"/>
      <c r="H4142" s="101"/>
      <c r="I4142" s="101"/>
      <c r="K4142" s="226"/>
      <c r="L4142" s="226"/>
      <c r="M4142" s="101"/>
      <c r="N4142" s="101"/>
    </row>
    <row r="4143" spans="7:14" hidden="1" x14ac:dyDescent="0.3">
      <c r="G4143" s="101"/>
      <c r="H4143" s="101"/>
      <c r="I4143" s="101"/>
      <c r="K4143" s="226"/>
      <c r="L4143" s="226"/>
      <c r="M4143" s="101"/>
      <c r="N4143" s="101"/>
    </row>
    <row r="4144" spans="7:14" hidden="1" x14ac:dyDescent="0.3">
      <c r="G4144" s="101"/>
      <c r="H4144" s="101"/>
      <c r="I4144" s="101"/>
      <c r="K4144" s="226"/>
      <c r="L4144" s="226"/>
      <c r="M4144" s="101"/>
      <c r="N4144" s="101"/>
    </row>
    <row r="4145" spans="7:14" hidden="1" x14ac:dyDescent="0.3">
      <c r="G4145" s="101"/>
      <c r="H4145" s="101"/>
      <c r="I4145" s="101"/>
      <c r="K4145" s="226"/>
      <c r="L4145" s="226"/>
      <c r="M4145" s="101"/>
      <c r="N4145" s="101"/>
    </row>
    <row r="4146" spans="7:14" hidden="1" x14ac:dyDescent="0.3">
      <c r="G4146" s="101"/>
      <c r="H4146" s="101"/>
      <c r="I4146" s="101"/>
      <c r="K4146" s="226"/>
      <c r="L4146" s="226"/>
      <c r="M4146" s="101"/>
      <c r="N4146" s="101"/>
    </row>
    <row r="4147" spans="7:14" hidden="1" x14ac:dyDescent="0.3">
      <c r="G4147" s="101"/>
      <c r="H4147" s="101"/>
      <c r="I4147" s="101"/>
      <c r="K4147" s="226"/>
      <c r="L4147" s="226"/>
      <c r="M4147" s="101"/>
      <c r="N4147" s="101"/>
    </row>
    <row r="4148" spans="7:14" hidden="1" x14ac:dyDescent="0.3">
      <c r="G4148" s="101"/>
      <c r="H4148" s="101"/>
      <c r="I4148" s="101"/>
      <c r="K4148" s="226"/>
      <c r="L4148" s="226"/>
      <c r="M4148" s="101"/>
      <c r="N4148" s="101"/>
    </row>
    <row r="4149" spans="7:14" hidden="1" x14ac:dyDescent="0.3">
      <c r="G4149" s="101"/>
      <c r="H4149" s="101"/>
      <c r="I4149" s="101"/>
      <c r="K4149" s="226"/>
      <c r="L4149" s="226"/>
      <c r="M4149" s="101"/>
      <c r="N4149" s="101"/>
    </row>
    <row r="4150" spans="7:14" hidden="1" x14ac:dyDescent="0.3">
      <c r="G4150" s="101"/>
      <c r="H4150" s="101"/>
      <c r="I4150" s="101"/>
      <c r="K4150" s="226"/>
      <c r="L4150" s="226"/>
      <c r="M4150" s="101"/>
      <c r="N4150" s="101"/>
    </row>
    <row r="4151" spans="7:14" hidden="1" x14ac:dyDescent="0.3">
      <c r="G4151" s="101"/>
      <c r="H4151" s="101"/>
      <c r="I4151" s="101"/>
      <c r="K4151" s="226"/>
      <c r="L4151" s="226"/>
      <c r="M4151" s="101"/>
      <c r="N4151" s="101"/>
    </row>
    <row r="4152" spans="7:14" hidden="1" x14ac:dyDescent="0.3">
      <c r="G4152" s="101"/>
      <c r="H4152" s="101"/>
      <c r="I4152" s="101"/>
      <c r="K4152" s="226"/>
      <c r="L4152" s="226"/>
      <c r="M4152" s="101"/>
      <c r="N4152" s="101"/>
    </row>
    <row r="4153" spans="7:14" hidden="1" x14ac:dyDescent="0.3">
      <c r="G4153" s="101"/>
      <c r="H4153" s="101"/>
      <c r="I4153" s="101"/>
      <c r="K4153" s="226"/>
      <c r="L4153" s="226"/>
      <c r="M4153" s="101"/>
      <c r="N4153" s="101"/>
    </row>
    <row r="4154" spans="7:14" hidden="1" x14ac:dyDescent="0.3">
      <c r="G4154" s="101"/>
      <c r="H4154" s="101"/>
      <c r="I4154" s="101"/>
      <c r="K4154" s="226"/>
      <c r="L4154" s="226"/>
      <c r="M4154" s="101"/>
      <c r="N4154" s="101"/>
    </row>
    <row r="4155" spans="7:14" hidden="1" x14ac:dyDescent="0.3">
      <c r="G4155" s="101"/>
      <c r="H4155" s="101"/>
      <c r="I4155" s="101"/>
      <c r="K4155" s="226"/>
      <c r="L4155" s="226"/>
      <c r="M4155" s="101"/>
      <c r="N4155" s="101"/>
    </row>
    <row r="4156" spans="7:14" hidden="1" x14ac:dyDescent="0.3">
      <c r="G4156" s="101"/>
      <c r="H4156" s="101"/>
      <c r="I4156" s="101"/>
      <c r="K4156" s="226"/>
      <c r="L4156" s="226"/>
      <c r="M4156" s="101"/>
      <c r="N4156" s="101"/>
    </row>
    <row r="4157" spans="7:14" hidden="1" x14ac:dyDescent="0.3">
      <c r="G4157" s="101"/>
      <c r="H4157" s="101"/>
      <c r="I4157" s="101"/>
      <c r="K4157" s="226"/>
      <c r="L4157" s="226"/>
      <c r="M4157" s="101"/>
      <c r="N4157" s="101"/>
    </row>
    <row r="4158" spans="7:14" hidden="1" x14ac:dyDescent="0.3">
      <c r="G4158" s="101"/>
      <c r="H4158" s="101"/>
      <c r="I4158" s="101"/>
      <c r="K4158" s="226"/>
      <c r="L4158" s="226"/>
      <c r="M4158" s="101"/>
      <c r="N4158" s="101"/>
    </row>
    <row r="4159" spans="7:14" hidden="1" x14ac:dyDescent="0.3">
      <c r="G4159" s="101"/>
      <c r="H4159" s="101"/>
      <c r="I4159" s="101"/>
      <c r="K4159" s="226"/>
      <c r="L4159" s="226"/>
      <c r="M4159" s="101"/>
      <c r="N4159" s="101"/>
    </row>
    <row r="4160" spans="7:14" hidden="1" x14ac:dyDescent="0.3">
      <c r="G4160" s="101"/>
      <c r="H4160" s="101"/>
      <c r="I4160" s="101"/>
      <c r="K4160" s="226"/>
      <c r="L4160" s="226"/>
      <c r="M4160" s="101"/>
      <c r="N4160" s="101"/>
    </row>
    <row r="4161" spans="7:14" hidden="1" x14ac:dyDescent="0.3">
      <c r="G4161" s="101"/>
      <c r="H4161" s="101"/>
      <c r="I4161" s="101"/>
      <c r="K4161" s="226"/>
      <c r="L4161" s="226"/>
      <c r="M4161" s="101"/>
      <c r="N4161" s="101"/>
    </row>
    <row r="4162" spans="7:14" hidden="1" x14ac:dyDescent="0.3">
      <c r="G4162" s="101"/>
      <c r="H4162" s="101"/>
      <c r="I4162" s="101"/>
      <c r="K4162" s="226"/>
      <c r="L4162" s="226"/>
      <c r="M4162" s="101"/>
      <c r="N4162" s="101"/>
    </row>
    <row r="4163" spans="7:14" hidden="1" x14ac:dyDescent="0.3">
      <c r="G4163" s="101"/>
      <c r="H4163" s="101"/>
      <c r="I4163" s="101"/>
      <c r="K4163" s="226"/>
      <c r="L4163" s="226"/>
      <c r="M4163" s="101"/>
      <c r="N4163" s="101"/>
    </row>
    <row r="4164" spans="7:14" hidden="1" x14ac:dyDescent="0.3">
      <c r="G4164" s="101"/>
      <c r="H4164" s="101"/>
      <c r="I4164" s="101"/>
      <c r="K4164" s="226"/>
      <c r="L4164" s="226"/>
      <c r="M4164" s="101"/>
      <c r="N4164" s="101"/>
    </row>
    <row r="4165" spans="7:14" hidden="1" x14ac:dyDescent="0.3">
      <c r="G4165" s="101"/>
      <c r="H4165" s="101"/>
      <c r="I4165" s="101"/>
      <c r="K4165" s="226"/>
      <c r="L4165" s="226"/>
      <c r="M4165" s="101"/>
      <c r="N4165" s="101"/>
    </row>
    <row r="4166" spans="7:14" hidden="1" x14ac:dyDescent="0.3">
      <c r="G4166" s="101"/>
      <c r="H4166" s="101"/>
      <c r="I4166" s="101"/>
      <c r="K4166" s="226"/>
      <c r="L4166" s="226"/>
      <c r="M4166" s="101"/>
      <c r="N4166" s="101"/>
    </row>
    <row r="4167" spans="7:14" hidden="1" x14ac:dyDescent="0.3">
      <c r="G4167" s="101"/>
      <c r="H4167" s="101"/>
      <c r="I4167" s="101"/>
      <c r="K4167" s="226"/>
      <c r="L4167" s="226"/>
      <c r="M4167" s="101"/>
      <c r="N4167" s="101"/>
    </row>
    <row r="4168" spans="7:14" hidden="1" x14ac:dyDescent="0.3">
      <c r="G4168" s="101"/>
      <c r="H4168" s="101"/>
      <c r="I4168" s="101"/>
      <c r="K4168" s="226"/>
      <c r="L4168" s="226"/>
      <c r="M4168" s="101"/>
      <c r="N4168" s="101"/>
    </row>
    <row r="4169" spans="7:14" hidden="1" x14ac:dyDescent="0.3">
      <c r="G4169" s="101"/>
      <c r="H4169" s="101"/>
      <c r="I4169" s="101"/>
      <c r="K4169" s="226"/>
      <c r="L4169" s="226"/>
      <c r="M4169" s="101"/>
      <c r="N4169" s="101"/>
    </row>
    <row r="4170" spans="7:14" hidden="1" x14ac:dyDescent="0.3">
      <c r="G4170" s="101"/>
      <c r="H4170" s="101"/>
      <c r="I4170" s="101"/>
      <c r="K4170" s="226"/>
      <c r="L4170" s="226"/>
      <c r="M4170" s="101"/>
      <c r="N4170" s="101"/>
    </row>
    <row r="4171" spans="7:14" hidden="1" x14ac:dyDescent="0.3">
      <c r="G4171" s="101"/>
      <c r="H4171" s="101"/>
      <c r="I4171" s="101"/>
      <c r="K4171" s="226"/>
      <c r="L4171" s="226"/>
      <c r="M4171" s="101"/>
      <c r="N4171" s="101"/>
    </row>
    <row r="4172" spans="7:14" hidden="1" x14ac:dyDescent="0.3">
      <c r="G4172" s="101"/>
      <c r="H4172" s="101"/>
      <c r="I4172" s="101"/>
      <c r="K4172" s="226"/>
      <c r="L4172" s="226"/>
      <c r="M4172" s="101"/>
      <c r="N4172" s="101"/>
    </row>
    <row r="4173" spans="7:14" hidden="1" x14ac:dyDescent="0.3">
      <c r="G4173" s="101"/>
      <c r="H4173" s="101"/>
      <c r="I4173" s="101"/>
      <c r="K4173" s="226"/>
      <c r="L4173" s="226"/>
      <c r="M4173" s="101"/>
      <c r="N4173" s="101"/>
    </row>
    <row r="4174" spans="7:14" hidden="1" x14ac:dyDescent="0.3">
      <c r="G4174" s="101"/>
      <c r="H4174" s="101"/>
      <c r="I4174" s="101"/>
      <c r="K4174" s="226"/>
      <c r="L4174" s="226"/>
      <c r="M4174" s="101"/>
      <c r="N4174" s="101"/>
    </row>
    <row r="4175" spans="7:14" hidden="1" x14ac:dyDescent="0.3">
      <c r="G4175" s="101"/>
      <c r="H4175" s="101"/>
      <c r="I4175" s="101"/>
      <c r="K4175" s="226"/>
      <c r="L4175" s="226"/>
      <c r="M4175" s="101"/>
      <c r="N4175" s="101"/>
    </row>
    <row r="4176" spans="7:14" hidden="1" x14ac:dyDescent="0.3">
      <c r="G4176" s="101"/>
      <c r="H4176" s="101"/>
      <c r="I4176" s="101"/>
      <c r="K4176" s="226"/>
      <c r="L4176" s="226"/>
      <c r="M4176" s="101"/>
      <c r="N4176" s="101"/>
    </row>
    <row r="4177" spans="7:14" hidden="1" x14ac:dyDescent="0.3">
      <c r="G4177" s="101"/>
      <c r="H4177" s="101"/>
      <c r="I4177" s="101"/>
      <c r="K4177" s="226"/>
      <c r="L4177" s="226"/>
      <c r="M4177" s="101"/>
      <c r="N4177" s="101"/>
    </row>
    <row r="4178" spans="7:14" hidden="1" x14ac:dyDescent="0.3">
      <c r="G4178" s="101"/>
      <c r="H4178" s="101"/>
      <c r="I4178" s="101"/>
      <c r="K4178" s="226"/>
      <c r="L4178" s="226"/>
      <c r="M4178" s="101"/>
      <c r="N4178" s="101"/>
    </row>
    <row r="4179" spans="7:14" hidden="1" x14ac:dyDescent="0.3">
      <c r="G4179" s="101"/>
      <c r="H4179" s="101"/>
      <c r="I4179" s="101"/>
      <c r="K4179" s="226"/>
      <c r="L4179" s="226"/>
      <c r="M4179" s="101"/>
      <c r="N4179" s="101"/>
    </row>
    <row r="4180" spans="7:14" hidden="1" x14ac:dyDescent="0.3">
      <c r="G4180" s="101"/>
      <c r="H4180" s="101"/>
      <c r="I4180" s="101"/>
      <c r="K4180" s="226"/>
      <c r="L4180" s="226"/>
      <c r="M4180" s="101"/>
      <c r="N4180" s="101"/>
    </row>
    <row r="4181" spans="7:14" hidden="1" x14ac:dyDescent="0.3">
      <c r="G4181" s="101"/>
      <c r="H4181" s="101"/>
      <c r="I4181" s="101"/>
      <c r="K4181" s="226"/>
      <c r="L4181" s="226"/>
      <c r="M4181" s="101"/>
      <c r="N4181" s="101"/>
    </row>
    <row r="4182" spans="7:14" hidden="1" x14ac:dyDescent="0.3">
      <c r="G4182" s="101"/>
      <c r="H4182" s="101"/>
      <c r="I4182" s="101"/>
      <c r="K4182" s="226"/>
      <c r="L4182" s="226"/>
      <c r="M4182" s="101"/>
      <c r="N4182" s="101"/>
    </row>
    <row r="4183" spans="7:14" hidden="1" x14ac:dyDescent="0.3">
      <c r="G4183" s="101"/>
      <c r="H4183" s="101"/>
      <c r="I4183" s="101"/>
      <c r="K4183" s="226"/>
      <c r="L4183" s="226"/>
      <c r="M4183" s="101"/>
      <c r="N4183" s="101"/>
    </row>
    <row r="4184" spans="7:14" hidden="1" x14ac:dyDescent="0.3">
      <c r="G4184" s="101"/>
      <c r="H4184" s="101"/>
      <c r="I4184" s="101"/>
      <c r="K4184" s="226"/>
      <c r="L4184" s="226"/>
      <c r="M4184" s="101"/>
      <c r="N4184" s="101"/>
    </row>
    <row r="4185" spans="7:14" hidden="1" x14ac:dyDescent="0.3">
      <c r="G4185" s="101"/>
      <c r="H4185" s="101"/>
      <c r="I4185" s="101"/>
      <c r="K4185" s="226"/>
      <c r="L4185" s="226"/>
      <c r="M4185" s="101"/>
      <c r="N4185" s="101"/>
    </row>
    <row r="4186" spans="7:14" hidden="1" x14ac:dyDescent="0.3">
      <c r="G4186" s="101"/>
      <c r="H4186" s="101"/>
      <c r="I4186" s="101"/>
      <c r="K4186" s="226"/>
      <c r="L4186" s="226"/>
      <c r="M4186" s="101"/>
      <c r="N4186" s="101"/>
    </row>
    <row r="4187" spans="7:14" hidden="1" x14ac:dyDescent="0.3">
      <c r="G4187" s="101"/>
      <c r="H4187" s="101"/>
      <c r="I4187" s="101"/>
      <c r="K4187" s="226"/>
      <c r="L4187" s="226"/>
      <c r="M4187" s="101"/>
      <c r="N4187" s="101"/>
    </row>
    <row r="4188" spans="7:14" hidden="1" x14ac:dyDescent="0.3">
      <c r="G4188" s="101"/>
      <c r="H4188" s="101"/>
      <c r="I4188" s="101"/>
      <c r="K4188" s="226"/>
      <c r="L4188" s="226"/>
      <c r="M4188" s="101"/>
      <c r="N4188" s="101"/>
    </row>
    <row r="4189" spans="7:14" hidden="1" x14ac:dyDescent="0.3">
      <c r="G4189" s="101"/>
      <c r="H4189" s="101"/>
      <c r="I4189" s="101"/>
      <c r="K4189" s="226"/>
      <c r="L4189" s="226"/>
      <c r="M4189" s="101"/>
      <c r="N4189" s="101"/>
    </row>
    <row r="4190" spans="7:14" hidden="1" x14ac:dyDescent="0.3">
      <c r="G4190" s="101"/>
      <c r="H4190" s="101"/>
      <c r="I4190" s="101"/>
      <c r="K4190" s="226"/>
      <c r="L4190" s="226"/>
      <c r="M4190" s="101"/>
      <c r="N4190" s="101"/>
    </row>
    <row r="4191" spans="7:14" hidden="1" x14ac:dyDescent="0.3">
      <c r="G4191" s="101"/>
      <c r="H4191" s="101"/>
      <c r="I4191" s="101"/>
      <c r="K4191" s="226"/>
      <c r="L4191" s="226"/>
      <c r="M4191" s="101"/>
      <c r="N4191" s="101"/>
    </row>
    <row r="4192" spans="7:14" hidden="1" x14ac:dyDescent="0.3">
      <c r="G4192" s="101"/>
      <c r="H4192" s="101"/>
      <c r="I4192" s="101"/>
      <c r="K4192" s="226"/>
      <c r="L4192" s="226"/>
      <c r="M4192" s="101"/>
      <c r="N4192" s="101"/>
    </row>
    <row r="4193" spans="7:14" hidden="1" x14ac:dyDescent="0.3">
      <c r="G4193" s="101"/>
      <c r="H4193" s="101"/>
      <c r="I4193" s="101"/>
      <c r="K4193" s="226"/>
      <c r="L4193" s="226"/>
      <c r="M4193" s="101"/>
      <c r="N4193" s="101"/>
    </row>
    <row r="4194" spans="7:14" hidden="1" x14ac:dyDescent="0.3">
      <c r="G4194" s="101"/>
      <c r="H4194" s="101"/>
      <c r="I4194" s="101"/>
      <c r="K4194" s="226"/>
      <c r="L4194" s="226"/>
      <c r="M4194" s="101"/>
      <c r="N4194" s="101"/>
    </row>
    <row r="4195" spans="7:14" hidden="1" x14ac:dyDescent="0.3">
      <c r="G4195" s="101"/>
      <c r="H4195" s="101"/>
      <c r="I4195" s="101"/>
      <c r="K4195" s="226"/>
      <c r="L4195" s="226"/>
      <c r="M4195" s="101"/>
      <c r="N4195" s="101"/>
    </row>
    <row r="4196" spans="7:14" hidden="1" x14ac:dyDescent="0.3">
      <c r="G4196" s="101"/>
      <c r="H4196" s="101"/>
      <c r="I4196" s="101"/>
      <c r="K4196" s="226"/>
      <c r="L4196" s="226"/>
      <c r="M4196" s="101"/>
      <c r="N4196" s="101"/>
    </row>
    <row r="4197" spans="7:14" hidden="1" x14ac:dyDescent="0.3">
      <c r="G4197" s="101"/>
      <c r="H4197" s="101"/>
      <c r="I4197" s="101"/>
      <c r="K4197" s="226"/>
      <c r="L4197" s="226"/>
      <c r="M4197" s="101"/>
      <c r="N4197" s="101"/>
    </row>
    <row r="4198" spans="7:14" hidden="1" x14ac:dyDescent="0.3">
      <c r="G4198" s="101"/>
      <c r="H4198" s="101"/>
      <c r="I4198" s="101"/>
      <c r="K4198" s="226"/>
      <c r="L4198" s="226"/>
      <c r="M4198" s="101"/>
      <c r="N4198" s="101"/>
    </row>
    <row r="4199" spans="7:14" hidden="1" x14ac:dyDescent="0.3">
      <c r="G4199" s="101"/>
      <c r="H4199" s="101"/>
      <c r="I4199" s="101"/>
      <c r="K4199" s="226"/>
      <c r="L4199" s="226"/>
      <c r="M4199" s="101"/>
      <c r="N4199" s="101"/>
    </row>
    <row r="4200" spans="7:14" hidden="1" x14ac:dyDescent="0.3">
      <c r="G4200" s="101"/>
      <c r="H4200" s="101"/>
      <c r="I4200" s="101"/>
      <c r="K4200" s="226"/>
      <c r="L4200" s="226"/>
      <c r="M4200" s="101"/>
      <c r="N4200" s="101"/>
    </row>
    <row r="4201" spans="7:14" hidden="1" x14ac:dyDescent="0.3">
      <c r="G4201" s="101"/>
      <c r="H4201" s="101"/>
      <c r="I4201" s="101"/>
      <c r="K4201" s="226"/>
      <c r="L4201" s="226"/>
      <c r="M4201" s="101"/>
      <c r="N4201" s="101"/>
    </row>
    <row r="4202" spans="7:14" hidden="1" x14ac:dyDescent="0.3">
      <c r="G4202" s="101"/>
      <c r="H4202" s="101"/>
      <c r="I4202" s="101"/>
      <c r="K4202" s="226"/>
      <c r="L4202" s="226"/>
      <c r="M4202" s="101"/>
      <c r="N4202" s="101"/>
    </row>
    <row r="4203" spans="7:14" hidden="1" x14ac:dyDescent="0.3">
      <c r="G4203" s="101"/>
      <c r="H4203" s="101"/>
      <c r="I4203" s="101"/>
      <c r="K4203" s="226"/>
      <c r="L4203" s="226"/>
      <c r="M4203" s="101"/>
      <c r="N4203" s="101"/>
    </row>
    <row r="4204" spans="7:14" hidden="1" x14ac:dyDescent="0.3">
      <c r="G4204" s="101"/>
      <c r="H4204" s="101"/>
      <c r="I4204" s="101"/>
      <c r="K4204" s="226"/>
      <c r="L4204" s="226"/>
      <c r="M4204" s="101"/>
      <c r="N4204" s="101"/>
    </row>
    <row r="4205" spans="7:14" hidden="1" x14ac:dyDescent="0.3">
      <c r="G4205" s="101"/>
      <c r="H4205" s="101"/>
      <c r="I4205" s="101"/>
      <c r="K4205" s="226"/>
      <c r="L4205" s="226"/>
      <c r="M4205" s="101"/>
      <c r="N4205" s="101"/>
    </row>
    <row r="4206" spans="7:14" hidden="1" x14ac:dyDescent="0.3">
      <c r="G4206" s="101"/>
      <c r="H4206" s="101"/>
      <c r="I4206" s="101"/>
      <c r="K4206" s="226"/>
      <c r="L4206" s="226"/>
      <c r="M4206" s="101"/>
      <c r="N4206" s="101"/>
    </row>
    <row r="4207" spans="7:14" hidden="1" x14ac:dyDescent="0.3">
      <c r="G4207" s="101"/>
      <c r="H4207" s="101"/>
      <c r="I4207" s="101"/>
      <c r="K4207" s="226"/>
      <c r="L4207" s="226"/>
      <c r="M4207" s="101"/>
      <c r="N4207" s="101"/>
    </row>
    <row r="4208" spans="7:14" hidden="1" x14ac:dyDescent="0.3">
      <c r="G4208" s="101"/>
      <c r="H4208" s="101"/>
      <c r="I4208" s="101"/>
      <c r="K4208" s="226"/>
      <c r="L4208" s="226"/>
      <c r="M4208" s="101"/>
      <c r="N4208" s="101"/>
    </row>
    <row r="4209" spans="7:14" hidden="1" x14ac:dyDescent="0.3">
      <c r="G4209" s="101"/>
      <c r="H4209" s="101"/>
      <c r="I4209" s="101"/>
      <c r="K4209" s="226"/>
      <c r="L4209" s="226"/>
      <c r="M4209" s="101"/>
      <c r="N4209" s="101"/>
    </row>
    <row r="4210" spans="7:14" hidden="1" x14ac:dyDescent="0.3">
      <c r="G4210" s="101"/>
      <c r="H4210" s="101"/>
      <c r="I4210" s="101"/>
      <c r="K4210" s="226"/>
      <c r="L4210" s="226"/>
      <c r="M4210" s="101"/>
      <c r="N4210" s="101"/>
    </row>
    <row r="4211" spans="7:14" hidden="1" x14ac:dyDescent="0.3">
      <c r="G4211" s="101"/>
      <c r="H4211" s="101"/>
      <c r="I4211" s="101"/>
      <c r="K4211" s="226"/>
      <c r="L4211" s="226"/>
      <c r="M4211" s="101"/>
      <c r="N4211" s="101"/>
    </row>
    <row r="4212" spans="7:14" hidden="1" x14ac:dyDescent="0.3">
      <c r="G4212" s="101"/>
      <c r="H4212" s="101"/>
      <c r="I4212" s="101"/>
      <c r="K4212" s="226"/>
      <c r="L4212" s="226"/>
      <c r="M4212" s="101"/>
      <c r="N4212" s="101"/>
    </row>
    <row r="4213" spans="7:14" hidden="1" x14ac:dyDescent="0.3">
      <c r="G4213" s="101"/>
      <c r="H4213" s="101"/>
      <c r="I4213" s="101"/>
      <c r="K4213" s="226"/>
      <c r="L4213" s="226"/>
      <c r="M4213" s="101"/>
      <c r="N4213" s="101"/>
    </row>
    <row r="4214" spans="7:14" hidden="1" x14ac:dyDescent="0.3">
      <c r="G4214" s="101"/>
      <c r="H4214" s="101"/>
      <c r="I4214" s="101"/>
      <c r="K4214" s="226"/>
      <c r="L4214" s="226"/>
      <c r="M4214" s="101"/>
      <c r="N4214" s="101"/>
    </row>
    <row r="4215" spans="7:14" hidden="1" x14ac:dyDescent="0.3">
      <c r="G4215" s="101"/>
      <c r="H4215" s="101"/>
      <c r="I4215" s="101"/>
      <c r="K4215" s="226"/>
      <c r="L4215" s="226"/>
      <c r="M4215" s="101"/>
      <c r="N4215" s="101"/>
    </row>
    <row r="4216" spans="7:14" hidden="1" x14ac:dyDescent="0.3">
      <c r="G4216" s="101"/>
      <c r="H4216" s="101"/>
      <c r="I4216" s="101"/>
      <c r="K4216" s="226"/>
      <c r="L4216" s="226"/>
      <c r="M4216" s="101"/>
      <c r="N4216" s="101"/>
    </row>
    <row r="4217" spans="7:14" hidden="1" x14ac:dyDescent="0.3">
      <c r="G4217" s="101"/>
      <c r="H4217" s="101"/>
      <c r="I4217" s="101"/>
      <c r="K4217" s="226"/>
      <c r="L4217" s="226"/>
      <c r="M4217" s="101"/>
      <c r="N4217" s="101"/>
    </row>
    <row r="4218" spans="7:14" hidden="1" x14ac:dyDescent="0.3">
      <c r="G4218" s="101"/>
      <c r="H4218" s="101"/>
      <c r="I4218" s="101"/>
      <c r="K4218" s="226"/>
      <c r="L4218" s="226"/>
      <c r="M4218" s="101"/>
      <c r="N4218" s="101"/>
    </row>
    <row r="4219" spans="7:14" hidden="1" x14ac:dyDescent="0.3">
      <c r="G4219" s="101"/>
      <c r="H4219" s="101"/>
      <c r="I4219" s="101"/>
      <c r="K4219" s="226"/>
      <c r="L4219" s="226"/>
      <c r="M4219" s="101"/>
      <c r="N4219" s="101"/>
    </row>
    <row r="4220" spans="7:14" hidden="1" x14ac:dyDescent="0.3">
      <c r="G4220" s="101"/>
      <c r="H4220" s="101"/>
      <c r="I4220" s="101"/>
      <c r="K4220" s="226"/>
      <c r="L4220" s="226"/>
      <c r="M4220" s="101"/>
      <c r="N4220" s="101"/>
    </row>
    <row r="4221" spans="7:14" hidden="1" x14ac:dyDescent="0.3">
      <c r="G4221" s="101"/>
      <c r="H4221" s="101"/>
      <c r="I4221" s="101"/>
      <c r="K4221" s="226"/>
      <c r="L4221" s="226"/>
      <c r="M4221" s="101"/>
      <c r="N4221" s="101"/>
    </row>
    <row r="4222" spans="7:14" hidden="1" x14ac:dyDescent="0.3">
      <c r="G4222" s="101"/>
      <c r="H4222" s="101"/>
      <c r="I4222" s="101"/>
      <c r="K4222" s="226"/>
      <c r="L4222" s="226"/>
      <c r="M4222" s="101"/>
      <c r="N4222" s="101"/>
    </row>
    <row r="4223" spans="7:14" hidden="1" x14ac:dyDescent="0.3">
      <c r="G4223" s="101"/>
      <c r="H4223" s="101"/>
      <c r="I4223" s="101"/>
      <c r="K4223" s="226"/>
      <c r="L4223" s="226"/>
      <c r="M4223" s="101"/>
      <c r="N4223" s="101"/>
    </row>
    <row r="4224" spans="7:14" hidden="1" x14ac:dyDescent="0.3">
      <c r="G4224" s="101"/>
      <c r="H4224" s="101"/>
      <c r="I4224" s="101"/>
      <c r="K4224" s="226"/>
      <c r="L4224" s="226"/>
      <c r="M4224" s="101"/>
      <c r="N4224" s="101"/>
    </row>
    <row r="4225" spans="7:14" hidden="1" x14ac:dyDescent="0.3">
      <c r="G4225" s="101"/>
      <c r="H4225" s="101"/>
      <c r="I4225" s="101"/>
      <c r="K4225" s="226"/>
      <c r="L4225" s="226"/>
      <c r="M4225" s="101"/>
      <c r="N4225" s="101"/>
    </row>
    <row r="4226" spans="7:14" hidden="1" x14ac:dyDescent="0.3">
      <c r="G4226" s="101"/>
      <c r="H4226" s="101"/>
      <c r="I4226" s="101"/>
      <c r="K4226" s="226"/>
      <c r="L4226" s="226"/>
      <c r="M4226" s="101"/>
      <c r="N4226" s="101"/>
    </row>
    <row r="4227" spans="7:14" hidden="1" x14ac:dyDescent="0.3">
      <c r="G4227" s="101"/>
      <c r="H4227" s="101"/>
      <c r="I4227" s="101"/>
      <c r="K4227" s="226"/>
      <c r="L4227" s="226"/>
      <c r="M4227" s="101"/>
      <c r="N4227" s="101"/>
    </row>
    <row r="4228" spans="7:14" hidden="1" x14ac:dyDescent="0.3">
      <c r="G4228" s="101"/>
      <c r="H4228" s="101"/>
      <c r="I4228" s="101"/>
      <c r="K4228" s="226"/>
      <c r="L4228" s="226"/>
      <c r="M4228" s="101"/>
      <c r="N4228" s="101"/>
    </row>
    <row r="4229" spans="7:14" hidden="1" x14ac:dyDescent="0.3">
      <c r="G4229" s="101"/>
      <c r="H4229" s="101"/>
      <c r="I4229" s="101"/>
      <c r="K4229" s="226"/>
      <c r="L4229" s="226"/>
      <c r="M4229" s="101"/>
      <c r="N4229" s="101"/>
    </row>
    <row r="4230" spans="7:14" hidden="1" x14ac:dyDescent="0.3">
      <c r="G4230" s="101"/>
      <c r="H4230" s="101"/>
      <c r="I4230" s="101"/>
      <c r="K4230" s="226"/>
      <c r="L4230" s="226"/>
      <c r="M4230" s="101"/>
      <c r="N4230" s="101"/>
    </row>
    <row r="4231" spans="7:14" hidden="1" x14ac:dyDescent="0.3">
      <c r="G4231" s="101"/>
      <c r="H4231" s="101"/>
      <c r="I4231" s="101"/>
      <c r="K4231" s="226"/>
      <c r="L4231" s="226"/>
      <c r="M4231" s="101"/>
      <c r="N4231" s="101"/>
    </row>
    <row r="4232" spans="7:14" hidden="1" x14ac:dyDescent="0.3">
      <c r="G4232" s="101"/>
      <c r="H4232" s="101"/>
      <c r="I4232" s="101"/>
      <c r="K4232" s="226"/>
      <c r="L4232" s="226"/>
      <c r="M4232" s="101"/>
      <c r="N4232" s="101"/>
    </row>
    <row r="4233" spans="7:14" hidden="1" x14ac:dyDescent="0.3">
      <c r="G4233" s="101"/>
      <c r="H4233" s="101"/>
      <c r="I4233" s="101"/>
      <c r="K4233" s="226"/>
      <c r="L4233" s="226"/>
      <c r="M4233" s="101"/>
      <c r="N4233" s="101"/>
    </row>
    <row r="4234" spans="7:14" hidden="1" x14ac:dyDescent="0.3">
      <c r="G4234" s="101"/>
      <c r="H4234" s="101"/>
      <c r="I4234" s="101"/>
      <c r="K4234" s="226"/>
      <c r="L4234" s="226"/>
      <c r="M4234" s="101"/>
      <c r="N4234" s="101"/>
    </row>
    <row r="4235" spans="7:14" hidden="1" x14ac:dyDescent="0.3">
      <c r="G4235" s="101"/>
      <c r="H4235" s="101"/>
      <c r="I4235" s="101"/>
      <c r="K4235" s="226"/>
      <c r="L4235" s="226"/>
      <c r="M4235" s="101"/>
      <c r="N4235" s="101"/>
    </row>
    <row r="4236" spans="7:14" hidden="1" x14ac:dyDescent="0.3">
      <c r="G4236" s="101"/>
      <c r="H4236" s="101"/>
      <c r="I4236" s="101"/>
      <c r="K4236" s="226"/>
      <c r="L4236" s="226"/>
      <c r="M4236" s="101"/>
      <c r="N4236" s="101"/>
    </row>
    <row r="4237" spans="7:14" hidden="1" x14ac:dyDescent="0.3">
      <c r="G4237" s="101"/>
      <c r="H4237" s="101"/>
      <c r="I4237" s="101"/>
      <c r="K4237" s="226"/>
      <c r="L4237" s="226"/>
      <c r="M4237" s="101"/>
      <c r="N4237" s="101"/>
    </row>
    <row r="4238" spans="7:14" hidden="1" x14ac:dyDescent="0.3">
      <c r="G4238" s="101"/>
      <c r="H4238" s="101"/>
      <c r="I4238" s="101"/>
      <c r="K4238" s="226"/>
      <c r="L4238" s="226"/>
      <c r="M4238" s="101"/>
      <c r="N4238" s="101"/>
    </row>
    <row r="4239" spans="7:14" hidden="1" x14ac:dyDescent="0.3">
      <c r="G4239" s="101"/>
      <c r="H4239" s="101"/>
      <c r="I4239" s="101"/>
      <c r="K4239" s="226"/>
      <c r="L4239" s="226"/>
      <c r="M4239" s="101"/>
      <c r="N4239" s="101"/>
    </row>
    <row r="4240" spans="7:14" hidden="1" x14ac:dyDescent="0.3">
      <c r="G4240" s="101"/>
      <c r="H4240" s="101"/>
      <c r="I4240" s="101"/>
      <c r="K4240" s="226"/>
      <c r="L4240" s="226"/>
      <c r="M4240" s="101"/>
      <c r="N4240" s="101"/>
    </row>
    <row r="4241" spans="7:14" hidden="1" x14ac:dyDescent="0.3">
      <c r="G4241" s="101"/>
      <c r="H4241" s="101"/>
      <c r="I4241" s="101"/>
      <c r="K4241" s="226"/>
      <c r="L4241" s="226"/>
      <c r="M4241" s="101"/>
      <c r="N4241" s="101"/>
    </row>
    <row r="4242" spans="7:14" hidden="1" x14ac:dyDescent="0.3">
      <c r="G4242" s="101"/>
      <c r="H4242" s="101"/>
      <c r="I4242" s="101"/>
      <c r="K4242" s="226"/>
      <c r="L4242" s="226"/>
      <c r="M4242" s="101"/>
      <c r="N4242" s="101"/>
    </row>
    <row r="4243" spans="7:14" hidden="1" x14ac:dyDescent="0.3">
      <c r="G4243" s="101"/>
      <c r="H4243" s="101"/>
      <c r="I4243" s="101"/>
      <c r="K4243" s="226"/>
      <c r="L4243" s="226"/>
      <c r="M4243" s="101"/>
      <c r="N4243" s="101"/>
    </row>
    <row r="4244" spans="7:14" hidden="1" x14ac:dyDescent="0.3">
      <c r="G4244" s="101"/>
      <c r="H4244" s="101"/>
      <c r="I4244" s="101"/>
      <c r="K4244" s="226"/>
      <c r="L4244" s="226"/>
      <c r="M4244" s="101"/>
      <c r="N4244" s="101"/>
    </row>
    <row r="4245" spans="7:14" hidden="1" x14ac:dyDescent="0.3">
      <c r="G4245" s="101"/>
      <c r="H4245" s="101"/>
      <c r="I4245" s="101"/>
      <c r="K4245" s="226"/>
      <c r="L4245" s="226"/>
      <c r="M4245" s="101"/>
      <c r="N4245" s="101"/>
    </row>
    <row r="4246" spans="7:14" hidden="1" x14ac:dyDescent="0.3">
      <c r="G4246" s="101"/>
      <c r="H4246" s="101"/>
      <c r="I4246" s="101"/>
      <c r="K4246" s="226"/>
      <c r="L4246" s="226"/>
      <c r="M4246" s="101"/>
      <c r="N4246" s="101"/>
    </row>
    <row r="4247" spans="7:14" hidden="1" x14ac:dyDescent="0.3">
      <c r="G4247" s="101"/>
      <c r="H4247" s="101"/>
      <c r="I4247" s="101"/>
      <c r="K4247" s="226"/>
      <c r="L4247" s="226"/>
      <c r="M4247" s="101"/>
      <c r="N4247" s="101"/>
    </row>
    <row r="4248" spans="7:14" hidden="1" x14ac:dyDescent="0.3">
      <c r="G4248" s="101"/>
      <c r="H4248" s="101"/>
      <c r="I4248" s="101"/>
      <c r="K4248" s="226"/>
      <c r="L4248" s="226"/>
      <c r="M4248" s="101"/>
      <c r="N4248" s="101"/>
    </row>
    <row r="4249" spans="7:14" hidden="1" x14ac:dyDescent="0.3">
      <c r="G4249" s="101"/>
      <c r="H4249" s="101"/>
      <c r="I4249" s="101"/>
      <c r="K4249" s="226"/>
      <c r="L4249" s="226"/>
      <c r="M4249" s="101"/>
      <c r="N4249" s="101"/>
    </row>
    <row r="4250" spans="7:14" hidden="1" x14ac:dyDescent="0.3">
      <c r="G4250" s="101"/>
      <c r="H4250" s="101"/>
      <c r="I4250" s="101"/>
      <c r="K4250" s="226"/>
      <c r="L4250" s="226"/>
      <c r="M4250" s="101"/>
      <c r="N4250" s="101"/>
    </row>
    <row r="4251" spans="7:14" hidden="1" x14ac:dyDescent="0.3">
      <c r="G4251" s="101"/>
      <c r="H4251" s="101"/>
      <c r="I4251" s="101"/>
      <c r="K4251" s="226"/>
      <c r="L4251" s="226"/>
      <c r="M4251" s="101"/>
      <c r="N4251" s="101"/>
    </row>
    <row r="4252" spans="7:14" hidden="1" x14ac:dyDescent="0.3">
      <c r="G4252" s="101"/>
      <c r="H4252" s="101"/>
      <c r="I4252" s="101"/>
      <c r="K4252" s="226"/>
      <c r="L4252" s="226"/>
      <c r="M4252" s="101"/>
      <c r="N4252" s="101"/>
    </row>
    <row r="4253" spans="7:14" hidden="1" x14ac:dyDescent="0.3">
      <c r="G4253" s="101"/>
      <c r="H4253" s="101"/>
      <c r="I4253" s="101"/>
      <c r="K4253" s="226"/>
      <c r="L4253" s="226"/>
      <c r="M4253" s="101"/>
      <c r="N4253" s="101"/>
    </row>
    <row r="4254" spans="7:14" hidden="1" x14ac:dyDescent="0.3">
      <c r="G4254" s="101"/>
      <c r="H4254" s="101"/>
      <c r="I4254" s="101"/>
      <c r="K4254" s="226"/>
      <c r="L4254" s="226"/>
      <c r="M4254" s="101"/>
      <c r="N4254" s="101"/>
    </row>
    <row r="4255" spans="7:14" hidden="1" x14ac:dyDescent="0.3">
      <c r="G4255" s="101"/>
      <c r="H4255" s="101"/>
      <c r="I4255" s="101"/>
      <c r="K4255" s="226"/>
      <c r="L4255" s="226"/>
      <c r="M4255" s="101"/>
      <c r="N4255" s="101"/>
    </row>
    <row r="4256" spans="7:14" hidden="1" x14ac:dyDescent="0.3">
      <c r="G4256" s="101"/>
      <c r="H4256" s="101"/>
      <c r="I4256" s="101"/>
      <c r="K4256" s="226"/>
      <c r="L4256" s="226"/>
      <c r="M4256" s="101"/>
      <c r="N4256" s="101"/>
    </row>
    <row r="4257" spans="7:14" hidden="1" x14ac:dyDescent="0.3">
      <c r="G4257" s="101"/>
      <c r="H4257" s="101"/>
      <c r="I4257" s="101"/>
      <c r="K4257" s="226"/>
      <c r="L4257" s="226"/>
      <c r="M4257" s="101"/>
      <c r="N4257" s="101"/>
    </row>
    <row r="4258" spans="7:14" hidden="1" x14ac:dyDescent="0.3">
      <c r="G4258" s="101"/>
      <c r="H4258" s="101"/>
      <c r="I4258" s="101"/>
      <c r="K4258" s="226"/>
      <c r="L4258" s="226"/>
      <c r="M4258" s="101"/>
      <c r="N4258" s="101"/>
    </row>
    <row r="4259" spans="7:14" hidden="1" x14ac:dyDescent="0.3">
      <c r="G4259" s="101"/>
      <c r="H4259" s="101"/>
      <c r="I4259" s="101"/>
      <c r="K4259" s="226"/>
      <c r="L4259" s="226"/>
      <c r="M4259" s="101"/>
      <c r="N4259" s="101"/>
    </row>
    <row r="4260" spans="7:14" hidden="1" x14ac:dyDescent="0.3">
      <c r="G4260" s="101"/>
      <c r="H4260" s="101"/>
      <c r="I4260" s="101"/>
      <c r="K4260" s="226"/>
      <c r="L4260" s="226"/>
      <c r="M4260" s="101"/>
      <c r="N4260" s="101"/>
    </row>
    <row r="4261" spans="7:14" hidden="1" x14ac:dyDescent="0.3">
      <c r="G4261" s="101"/>
      <c r="H4261" s="101"/>
      <c r="I4261" s="101"/>
      <c r="K4261" s="226"/>
      <c r="L4261" s="226"/>
      <c r="M4261" s="101"/>
      <c r="N4261" s="101"/>
    </row>
    <row r="4262" spans="7:14" hidden="1" x14ac:dyDescent="0.3">
      <c r="G4262" s="101"/>
      <c r="H4262" s="101"/>
      <c r="I4262" s="101"/>
      <c r="K4262" s="226"/>
      <c r="L4262" s="226"/>
      <c r="M4262" s="101"/>
      <c r="N4262" s="101"/>
    </row>
    <row r="4263" spans="7:14" hidden="1" x14ac:dyDescent="0.3">
      <c r="G4263" s="101"/>
      <c r="H4263" s="101"/>
      <c r="I4263" s="101"/>
      <c r="K4263" s="226"/>
      <c r="L4263" s="226"/>
      <c r="M4263" s="101"/>
      <c r="N4263" s="101"/>
    </row>
    <row r="4264" spans="7:14" hidden="1" x14ac:dyDescent="0.3">
      <c r="G4264" s="101"/>
      <c r="H4264" s="101"/>
      <c r="I4264" s="101"/>
      <c r="K4264" s="226"/>
      <c r="L4264" s="226"/>
      <c r="M4264" s="101"/>
      <c r="N4264" s="101"/>
    </row>
    <row r="4265" spans="7:14" hidden="1" x14ac:dyDescent="0.3">
      <c r="G4265" s="101"/>
      <c r="H4265" s="101"/>
      <c r="I4265" s="101"/>
      <c r="K4265" s="226"/>
      <c r="L4265" s="226"/>
      <c r="M4265" s="101"/>
      <c r="N4265" s="101"/>
    </row>
    <row r="4266" spans="7:14" hidden="1" x14ac:dyDescent="0.3">
      <c r="G4266" s="101"/>
      <c r="H4266" s="101"/>
      <c r="I4266" s="101"/>
      <c r="K4266" s="226"/>
      <c r="L4266" s="226"/>
      <c r="M4266" s="101"/>
      <c r="N4266" s="101"/>
    </row>
    <row r="4267" spans="7:14" hidden="1" x14ac:dyDescent="0.3">
      <c r="G4267" s="101"/>
      <c r="H4267" s="101"/>
      <c r="I4267" s="101"/>
      <c r="K4267" s="226"/>
      <c r="L4267" s="226"/>
      <c r="M4267" s="101"/>
      <c r="N4267" s="101"/>
    </row>
    <row r="4268" spans="7:14" hidden="1" x14ac:dyDescent="0.3">
      <c r="G4268" s="101"/>
      <c r="H4268" s="101"/>
      <c r="I4268" s="101"/>
      <c r="K4268" s="226"/>
      <c r="L4268" s="226"/>
      <c r="M4268" s="101"/>
      <c r="N4268" s="101"/>
    </row>
    <row r="4269" spans="7:14" hidden="1" x14ac:dyDescent="0.3">
      <c r="G4269" s="101"/>
      <c r="H4269" s="101"/>
      <c r="I4269" s="101"/>
      <c r="K4269" s="226"/>
      <c r="L4269" s="226"/>
      <c r="M4269" s="101"/>
      <c r="N4269" s="101"/>
    </row>
    <row r="4270" spans="7:14" hidden="1" x14ac:dyDescent="0.3">
      <c r="G4270" s="101"/>
      <c r="H4270" s="101"/>
      <c r="I4270" s="101"/>
      <c r="K4270" s="226"/>
      <c r="L4270" s="226"/>
      <c r="M4270" s="101"/>
      <c r="N4270" s="101"/>
    </row>
    <row r="4271" spans="7:14" hidden="1" x14ac:dyDescent="0.3">
      <c r="G4271" s="101"/>
      <c r="H4271" s="101"/>
      <c r="I4271" s="101"/>
      <c r="K4271" s="226"/>
      <c r="L4271" s="226"/>
      <c r="M4271" s="101"/>
      <c r="N4271" s="101"/>
    </row>
    <row r="4272" spans="7:14" hidden="1" x14ac:dyDescent="0.3">
      <c r="G4272" s="101"/>
      <c r="H4272" s="101"/>
      <c r="I4272" s="101"/>
      <c r="K4272" s="226"/>
      <c r="L4272" s="226"/>
      <c r="M4272" s="101"/>
      <c r="N4272" s="101"/>
    </row>
    <row r="4273" spans="7:14" hidden="1" x14ac:dyDescent="0.3">
      <c r="G4273" s="101"/>
      <c r="H4273" s="101"/>
      <c r="I4273" s="101"/>
      <c r="K4273" s="226"/>
      <c r="L4273" s="226"/>
      <c r="M4273" s="101"/>
      <c r="N4273" s="101"/>
    </row>
    <row r="4274" spans="7:14" hidden="1" x14ac:dyDescent="0.3">
      <c r="G4274" s="101"/>
      <c r="H4274" s="101"/>
      <c r="I4274" s="101"/>
      <c r="K4274" s="226"/>
      <c r="L4274" s="226"/>
      <c r="M4274" s="101"/>
      <c r="N4274" s="101"/>
    </row>
    <row r="4275" spans="7:14" hidden="1" x14ac:dyDescent="0.3">
      <c r="G4275" s="101"/>
      <c r="H4275" s="101"/>
      <c r="I4275" s="101"/>
      <c r="K4275" s="226"/>
      <c r="L4275" s="226"/>
      <c r="M4275" s="101"/>
      <c r="N4275" s="101"/>
    </row>
    <row r="4276" spans="7:14" hidden="1" x14ac:dyDescent="0.3">
      <c r="G4276" s="101"/>
      <c r="H4276" s="101"/>
      <c r="I4276" s="101"/>
      <c r="K4276" s="226"/>
      <c r="L4276" s="226"/>
      <c r="M4276" s="101"/>
      <c r="N4276" s="101"/>
    </row>
    <row r="4277" spans="7:14" hidden="1" x14ac:dyDescent="0.3">
      <c r="G4277" s="101"/>
      <c r="H4277" s="101"/>
      <c r="I4277" s="101"/>
      <c r="K4277" s="226"/>
      <c r="L4277" s="226"/>
      <c r="M4277" s="101"/>
      <c r="N4277" s="101"/>
    </row>
    <row r="4278" spans="7:14" hidden="1" x14ac:dyDescent="0.3">
      <c r="G4278" s="101"/>
      <c r="H4278" s="101"/>
      <c r="I4278" s="101"/>
      <c r="K4278" s="226"/>
      <c r="L4278" s="226"/>
      <c r="M4278" s="101"/>
      <c r="N4278" s="101"/>
    </row>
    <row r="4279" spans="7:14" hidden="1" x14ac:dyDescent="0.3">
      <c r="G4279" s="101"/>
      <c r="H4279" s="101"/>
      <c r="I4279" s="101"/>
      <c r="K4279" s="226"/>
      <c r="L4279" s="226"/>
      <c r="M4279" s="101"/>
      <c r="N4279" s="101"/>
    </row>
    <row r="4280" spans="7:14" hidden="1" x14ac:dyDescent="0.3">
      <c r="G4280" s="101"/>
      <c r="H4280" s="101"/>
      <c r="I4280" s="101"/>
      <c r="K4280" s="226"/>
      <c r="L4280" s="226"/>
      <c r="M4280" s="101"/>
      <c r="N4280" s="101"/>
    </row>
    <row r="4281" spans="7:14" hidden="1" x14ac:dyDescent="0.3">
      <c r="G4281" s="101"/>
      <c r="H4281" s="101"/>
      <c r="I4281" s="101"/>
      <c r="K4281" s="226"/>
      <c r="L4281" s="226"/>
      <c r="M4281" s="101"/>
      <c r="N4281" s="101"/>
    </row>
    <row r="4282" spans="7:14" hidden="1" x14ac:dyDescent="0.3">
      <c r="G4282" s="101"/>
      <c r="H4282" s="101"/>
      <c r="I4282" s="101"/>
      <c r="K4282" s="226"/>
      <c r="L4282" s="226"/>
      <c r="M4282" s="101"/>
      <c r="N4282" s="101"/>
    </row>
    <row r="4283" spans="7:14" hidden="1" x14ac:dyDescent="0.3">
      <c r="G4283" s="101"/>
      <c r="H4283" s="101"/>
      <c r="I4283" s="101"/>
      <c r="K4283" s="226"/>
      <c r="L4283" s="226"/>
      <c r="M4283" s="101"/>
      <c r="N4283" s="101"/>
    </row>
    <row r="4284" spans="7:14" hidden="1" x14ac:dyDescent="0.3">
      <c r="G4284" s="101"/>
      <c r="H4284" s="101"/>
      <c r="I4284" s="101"/>
      <c r="K4284" s="226"/>
      <c r="L4284" s="226"/>
      <c r="M4284" s="101"/>
      <c r="N4284" s="101"/>
    </row>
    <row r="4285" spans="7:14" hidden="1" x14ac:dyDescent="0.3">
      <c r="G4285" s="101"/>
      <c r="H4285" s="101"/>
      <c r="I4285" s="101"/>
      <c r="K4285" s="226"/>
      <c r="L4285" s="226"/>
      <c r="M4285" s="101"/>
      <c r="N4285" s="101"/>
    </row>
    <row r="4286" spans="7:14" hidden="1" x14ac:dyDescent="0.3">
      <c r="G4286" s="101"/>
      <c r="H4286" s="101"/>
      <c r="I4286" s="101"/>
      <c r="K4286" s="226"/>
      <c r="L4286" s="226"/>
      <c r="M4286" s="101"/>
      <c r="N4286" s="101"/>
    </row>
    <row r="4287" spans="7:14" hidden="1" x14ac:dyDescent="0.3">
      <c r="G4287" s="101"/>
      <c r="H4287" s="101"/>
      <c r="I4287" s="101"/>
      <c r="K4287" s="226"/>
      <c r="L4287" s="226"/>
      <c r="M4287" s="101"/>
      <c r="N4287" s="101"/>
    </row>
    <row r="4288" spans="7:14" hidden="1" x14ac:dyDescent="0.3">
      <c r="G4288" s="101"/>
      <c r="H4288" s="101"/>
      <c r="I4288" s="101"/>
      <c r="K4288" s="226"/>
      <c r="L4288" s="226"/>
      <c r="M4288" s="101"/>
      <c r="N4288" s="101"/>
    </row>
    <row r="4289" spans="7:14" hidden="1" x14ac:dyDescent="0.3">
      <c r="G4289" s="101"/>
      <c r="H4289" s="101"/>
      <c r="I4289" s="101"/>
      <c r="K4289" s="226"/>
      <c r="L4289" s="226"/>
      <c r="M4289" s="101"/>
      <c r="N4289" s="101"/>
    </row>
    <row r="4290" spans="7:14" hidden="1" x14ac:dyDescent="0.3">
      <c r="G4290" s="101"/>
      <c r="H4290" s="101"/>
      <c r="I4290" s="101"/>
      <c r="K4290" s="226"/>
      <c r="L4290" s="226"/>
      <c r="M4290" s="101"/>
      <c r="N4290" s="101"/>
    </row>
    <row r="4291" spans="7:14" hidden="1" x14ac:dyDescent="0.3">
      <c r="G4291" s="101"/>
      <c r="H4291" s="101"/>
      <c r="I4291" s="101"/>
      <c r="K4291" s="226"/>
      <c r="L4291" s="226"/>
      <c r="M4291" s="101"/>
      <c r="N4291" s="101"/>
    </row>
    <row r="4292" spans="7:14" hidden="1" x14ac:dyDescent="0.3">
      <c r="G4292" s="101"/>
      <c r="H4292" s="101"/>
      <c r="I4292" s="101"/>
      <c r="K4292" s="226"/>
      <c r="L4292" s="226"/>
      <c r="M4292" s="101"/>
      <c r="N4292" s="101"/>
    </row>
    <row r="4293" spans="7:14" hidden="1" x14ac:dyDescent="0.3">
      <c r="G4293" s="101"/>
      <c r="H4293" s="101"/>
      <c r="I4293" s="101"/>
      <c r="K4293" s="226"/>
      <c r="L4293" s="226"/>
      <c r="M4293" s="101"/>
      <c r="N4293" s="101"/>
    </row>
    <row r="4294" spans="7:14" hidden="1" x14ac:dyDescent="0.3">
      <c r="G4294" s="101"/>
      <c r="H4294" s="101"/>
      <c r="I4294" s="101"/>
      <c r="K4294" s="226"/>
      <c r="L4294" s="226"/>
      <c r="M4294" s="101"/>
      <c r="N4294" s="101"/>
    </row>
    <row r="4295" spans="7:14" hidden="1" x14ac:dyDescent="0.3">
      <c r="G4295" s="101"/>
      <c r="H4295" s="101"/>
      <c r="I4295" s="101"/>
      <c r="K4295" s="226"/>
      <c r="L4295" s="226"/>
      <c r="M4295" s="101"/>
      <c r="N4295" s="101"/>
    </row>
    <row r="4296" spans="7:14" hidden="1" x14ac:dyDescent="0.3">
      <c r="G4296" s="101"/>
      <c r="H4296" s="101"/>
      <c r="I4296" s="101"/>
      <c r="K4296" s="226"/>
      <c r="L4296" s="226"/>
      <c r="M4296" s="101"/>
      <c r="N4296" s="101"/>
    </row>
    <row r="4297" spans="7:14" hidden="1" x14ac:dyDescent="0.3">
      <c r="G4297" s="101"/>
      <c r="H4297" s="101"/>
      <c r="I4297" s="101"/>
      <c r="K4297" s="226"/>
      <c r="L4297" s="226"/>
      <c r="M4297" s="101"/>
      <c r="N4297" s="101"/>
    </row>
    <row r="4298" spans="7:14" hidden="1" x14ac:dyDescent="0.3">
      <c r="G4298" s="101"/>
      <c r="H4298" s="101"/>
      <c r="I4298" s="101"/>
      <c r="K4298" s="226"/>
      <c r="L4298" s="226"/>
      <c r="M4298" s="101"/>
      <c r="N4298" s="101"/>
    </row>
    <row r="4299" spans="7:14" hidden="1" x14ac:dyDescent="0.3">
      <c r="G4299" s="101"/>
      <c r="H4299" s="101"/>
      <c r="I4299" s="101"/>
      <c r="K4299" s="226"/>
      <c r="L4299" s="226"/>
      <c r="M4299" s="101"/>
      <c r="N4299" s="101"/>
    </row>
    <row r="4300" spans="7:14" hidden="1" x14ac:dyDescent="0.3">
      <c r="G4300" s="101"/>
      <c r="H4300" s="101"/>
      <c r="I4300" s="101"/>
      <c r="K4300" s="226"/>
      <c r="L4300" s="226"/>
      <c r="M4300" s="101"/>
      <c r="N4300" s="101"/>
    </row>
    <row r="4301" spans="7:14" hidden="1" x14ac:dyDescent="0.3">
      <c r="G4301" s="101"/>
      <c r="H4301" s="101"/>
      <c r="I4301" s="101"/>
      <c r="K4301" s="226"/>
      <c r="L4301" s="226"/>
      <c r="M4301" s="101"/>
      <c r="N4301" s="101"/>
    </row>
    <row r="4302" spans="7:14" hidden="1" x14ac:dyDescent="0.3">
      <c r="G4302" s="101"/>
      <c r="H4302" s="101"/>
      <c r="I4302" s="101"/>
      <c r="K4302" s="226"/>
      <c r="L4302" s="226"/>
      <c r="M4302" s="101"/>
      <c r="N4302" s="101"/>
    </row>
    <row r="4303" spans="7:14" hidden="1" x14ac:dyDescent="0.3">
      <c r="G4303" s="101"/>
      <c r="H4303" s="101"/>
      <c r="I4303" s="101"/>
      <c r="K4303" s="226"/>
      <c r="L4303" s="226"/>
      <c r="M4303" s="101"/>
      <c r="N4303" s="101"/>
    </row>
    <row r="4304" spans="7:14" hidden="1" x14ac:dyDescent="0.3">
      <c r="G4304" s="101"/>
      <c r="H4304" s="101"/>
      <c r="I4304" s="101"/>
      <c r="K4304" s="226"/>
      <c r="L4304" s="226"/>
      <c r="M4304" s="101"/>
      <c r="N4304" s="101"/>
    </row>
    <row r="4305" spans="7:14" hidden="1" x14ac:dyDescent="0.3">
      <c r="G4305" s="101"/>
      <c r="H4305" s="101"/>
      <c r="I4305" s="101"/>
      <c r="K4305" s="226"/>
      <c r="L4305" s="226"/>
      <c r="M4305" s="101"/>
      <c r="N4305" s="101"/>
    </row>
    <row r="4306" spans="7:14" hidden="1" x14ac:dyDescent="0.3">
      <c r="G4306" s="101"/>
      <c r="H4306" s="101"/>
      <c r="I4306" s="101"/>
      <c r="K4306" s="226"/>
      <c r="L4306" s="226"/>
      <c r="M4306" s="101"/>
      <c r="N4306" s="101"/>
    </row>
    <row r="4307" spans="7:14" hidden="1" x14ac:dyDescent="0.3">
      <c r="G4307" s="101"/>
      <c r="H4307" s="101"/>
      <c r="I4307" s="101"/>
      <c r="K4307" s="226"/>
      <c r="L4307" s="226"/>
      <c r="M4307" s="101"/>
      <c r="N4307" s="101"/>
    </row>
    <row r="4308" spans="7:14" hidden="1" x14ac:dyDescent="0.3">
      <c r="G4308" s="101"/>
      <c r="H4308" s="101"/>
      <c r="I4308" s="101"/>
      <c r="K4308" s="226"/>
      <c r="L4308" s="226"/>
      <c r="M4308" s="101"/>
      <c r="N4308" s="101"/>
    </row>
    <row r="4309" spans="7:14" hidden="1" x14ac:dyDescent="0.3">
      <c r="G4309" s="101"/>
      <c r="H4309" s="101"/>
      <c r="I4309" s="101"/>
      <c r="K4309" s="226"/>
      <c r="L4309" s="226"/>
      <c r="M4309" s="101"/>
      <c r="N4309" s="101"/>
    </row>
    <row r="4310" spans="7:14" hidden="1" x14ac:dyDescent="0.3">
      <c r="G4310" s="101"/>
      <c r="H4310" s="101"/>
      <c r="I4310" s="101"/>
      <c r="K4310" s="226"/>
      <c r="L4310" s="226"/>
      <c r="M4310" s="101"/>
      <c r="N4310" s="101"/>
    </row>
    <row r="4311" spans="7:14" hidden="1" x14ac:dyDescent="0.3">
      <c r="G4311" s="101"/>
      <c r="H4311" s="101"/>
      <c r="I4311" s="101"/>
      <c r="K4311" s="226"/>
      <c r="L4311" s="226"/>
      <c r="M4311" s="101"/>
      <c r="N4311" s="101"/>
    </row>
    <row r="4312" spans="7:14" hidden="1" x14ac:dyDescent="0.3">
      <c r="G4312" s="101"/>
      <c r="H4312" s="101"/>
      <c r="I4312" s="101"/>
      <c r="K4312" s="226"/>
      <c r="L4312" s="226"/>
      <c r="M4312" s="101"/>
      <c r="N4312" s="101"/>
    </row>
    <row r="4313" spans="7:14" hidden="1" x14ac:dyDescent="0.3">
      <c r="G4313" s="101"/>
      <c r="H4313" s="101"/>
      <c r="I4313" s="101"/>
      <c r="K4313" s="226"/>
      <c r="L4313" s="226"/>
      <c r="M4313" s="101"/>
      <c r="N4313" s="101"/>
    </row>
    <row r="4314" spans="7:14" hidden="1" x14ac:dyDescent="0.3">
      <c r="G4314" s="101"/>
      <c r="H4314" s="101"/>
      <c r="I4314" s="101"/>
      <c r="K4314" s="226"/>
      <c r="L4314" s="226"/>
      <c r="M4314" s="101"/>
      <c r="N4314" s="101"/>
    </row>
    <row r="4315" spans="7:14" hidden="1" x14ac:dyDescent="0.3">
      <c r="G4315" s="101"/>
      <c r="H4315" s="101"/>
      <c r="I4315" s="101"/>
      <c r="K4315" s="226"/>
      <c r="L4315" s="226"/>
      <c r="M4315" s="101"/>
      <c r="N4315" s="101"/>
    </row>
    <row r="4316" spans="7:14" hidden="1" x14ac:dyDescent="0.3">
      <c r="G4316" s="101"/>
      <c r="H4316" s="101"/>
      <c r="I4316" s="101"/>
      <c r="K4316" s="226"/>
      <c r="L4316" s="226"/>
      <c r="M4316" s="101"/>
      <c r="N4316" s="101"/>
    </row>
    <row r="4317" spans="7:14" hidden="1" x14ac:dyDescent="0.3">
      <c r="G4317" s="101"/>
      <c r="H4317" s="101"/>
      <c r="I4317" s="101"/>
      <c r="K4317" s="226"/>
      <c r="L4317" s="226"/>
      <c r="M4317" s="101"/>
      <c r="N4317" s="101"/>
    </row>
    <row r="4318" spans="7:14" hidden="1" x14ac:dyDescent="0.3">
      <c r="G4318" s="101"/>
      <c r="H4318" s="101"/>
      <c r="I4318" s="101"/>
      <c r="K4318" s="226"/>
      <c r="L4318" s="226"/>
      <c r="M4318" s="101"/>
      <c r="N4318" s="101"/>
    </row>
    <row r="4319" spans="7:14" hidden="1" x14ac:dyDescent="0.3">
      <c r="G4319" s="101"/>
      <c r="H4319" s="101"/>
      <c r="I4319" s="101"/>
      <c r="K4319" s="226"/>
      <c r="L4319" s="226"/>
      <c r="M4319" s="101"/>
      <c r="N4319" s="101"/>
    </row>
    <row r="4320" spans="7:14" hidden="1" x14ac:dyDescent="0.3">
      <c r="G4320" s="101"/>
      <c r="H4320" s="101"/>
      <c r="I4320" s="101"/>
      <c r="K4320" s="226"/>
      <c r="L4320" s="226"/>
      <c r="M4320" s="101"/>
      <c r="N4320" s="101"/>
    </row>
    <row r="4321" spans="7:14" hidden="1" x14ac:dyDescent="0.3">
      <c r="G4321" s="101"/>
      <c r="H4321" s="101"/>
      <c r="I4321" s="101"/>
      <c r="K4321" s="226"/>
      <c r="L4321" s="226"/>
      <c r="M4321" s="101"/>
      <c r="N4321" s="101"/>
    </row>
    <row r="4322" spans="7:14" hidden="1" x14ac:dyDescent="0.3">
      <c r="G4322" s="101"/>
      <c r="H4322" s="101"/>
      <c r="I4322" s="101"/>
      <c r="K4322" s="226"/>
      <c r="L4322" s="226"/>
      <c r="M4322" s="101"/>
      <c r="N4322" s="101"/>
    </row>
    <row r="4323" spans="7:14" hidden="1" x14ac:dyDescent="0.3">
      <c r="G4323" s="101"/>
      <c r="H4323" s="101"/>
      <c r="I4323" s="101"/>
      <c r="K4323" s="226"/>
      <c r="L4323" s="226"/>
      <c r="M4323" s="101"/>
      <c r="N4323" s="101"/>
    </row>
    <row r="4324" spans="7:14" hidden="1" x14ac:dyDescent="0.3">
      <c r="G4324" s="101"/>
      <c r="H4324" s="101"/>
      <c r="I4324" s="101"/>
      <c r="K4324" s="226"/>
      <c r="L4324" s="226"/>
      <c r="M4324" s="101"/>
      <c r="N4324" s="101"/>
    </row>
    <row r="4325" spans="7:14" hidden="1" x14ac:dyDescent="0.3">
      <c r="G4325" s="101"/>
      <c r="H4325" s="101"/>
      <c r="I4325" s="101"/>
      <c r="K4325" s="226"/>
      <c r="L4325" s="226"/>
      <c r="M4325" s="101"/>
      <c r="N4325" s="101"/>
    </row>
    <row r="4326" spans="7:14" hidden="1" x14ac:dyDescent="0.3">
      <c r="G4326" s="101"/>
      <c r="H4326" s="101"/>
      <c r="I4326" s="101"/>
      <c r="K4326" s="226"/>
      <c r="L4326" s="226"/>
      <c r="M4326" s="101"/>
      <c r="N4326" s="101"/>
    </row>
    <row r="4327" spans="7:14" hidden="1" x14ac:dyDescent="0.3">
      <c r="G4327" s="101"/>
      <c r="H4327" s="101"/>
      <c r="I4327" s="101"/>
      <c r="K4327" s="226"/>
      <c r="L4327" s="226"/>
      <c r="M4327" s="101"/>
      <c r="N4327" s="101"/>
    </row>
    <row r="4328" spans="7:14" hidden="1" x14ac:dyDescent="0.3">
      <c r="G4328" s="101"/>
      <c r="H4328" s="101"/>
      <c r="I4328" s="101"/>
      <c r="K4328" s="226"/>
      <c r="L4328" s="226"/>
      <c r="M4328" s="101"/>
      <c r="N4328" s="101"/>
    </row>
    <row r="4329" spans="7:14" hidden="1" x14ac:dyDescent="0.3">
      <c r="G4329" s="101"/>
      <c r="H4329" s="101"/>
      <c r="I4329" s="101"/>
      <c r="K4329" s="226"/>
      <c r="L4329" s="226"/>
      <c r="M4329" s="101"/>
      <c r="N4329" s="101"/>
    </row>
    <row r="4330" spans="7:14" hidden="1" x14ac:dyDescent="0.3">
      <c r="G4330" s="101"/>
      <c r="H4330" s="101"/>
      <c r="I4330" s="101"/>
      <c r="K4330" s="226"/>
      <c r="L4330" s="226"/>
      <c r="M4330" s="101"/>
      <c r="N4330" s="101"/>
    </row>
    <row r="4331" spans="7:14" hidden="1" x14ac:dyDescent="0.3">
      <c r="G4331" s="101"/>
      <c r="H4331" s="101"/>
      <c r="I4331" s="101"/>
      <c r="K4331" s="226"/>
      <c r="L4331" s="226"/>
      <c r="M4331" s="101"/>
      <c r="N4331" s="101"/>
    </row>
    <row r="4332" spans="7:14" hidden="1" x14ac:dyDescent="0.3">
      <c r="G4332" s="101"/>
      <c r="H4332" s="101"/>
      <c r="I4332" s="101"/>
      <c r="K4332" s="226"/>
      <c r="L4332" s="226"/>
      <c r="M4332" s="101"/>
      <c r="N4332" s="101"/>
    </row>
    <row r="4333" spans="7:14" hidden="1" x14ac:dyDescent="0.3">
      <c r="G4333" s="101"/>
      <c r="H4333" s="101"/>
      <c r="I4333" s="101"/>
      <c r="K4333" s="226"/>
      <c r="L4333" s="226"/>
      <c r="M4333" s="101"/>
      <c r="N4333" s="101"/>
    </row>
    <row r="4334" spans="7:14" hidden="1" x14ac:dyDescent="0.3">
      <c r="G4334" s="101"/>
      <c r="H4334" s="101"/>
      <c r="I4334" s="101"/>
      <c r="K4334" s="226"/>
      <c r="L4334" s="226"/>
      <c r="M4334" s="101"/>
      <c r="N4334" s="101"/>
    </row>
    <row r="4335" spans="7:14" hidden="1" x14ac:dyDescent="0.3">
      <c r="G4335" s="101"/>
      <c r="H4335" s="101"/>
      <c r="I4335" s="101"/>
      <c r="K4335" s="226"/>
      <c r="L4335" s="226"/>
      <c r="M4335" s="101"/>
      <c r="N4335" s="101"/>
    </row>
    <row r="4336" spans="7:14" hidden="1" x14ac:dyDescent="0.3">
      <c r="G4336" s="101"/>
      <c r="H4336" s="101"/>
      <c r="I4336" s="101"/>
      <c r="K4336" s="226"/>
      <c r="L4336" s="226"/>
      <c r="M4336" s="101"/>
      <c r="N4336" s="101"/>
    </row>
    <row r="4337" spans="7:14" hidden="1" x14ac:dyDescent="0.3">
      <c r="G4337" s="101"/>
      <c r="H4337" s="101"/>
      <c r="I4337" s="101"/>
      <c r="K4337" s="226"/>
      <c r="L4337" s="226"/>
      <c r="M4337" s="101"/>
      <c r="N4337" s="101"/>
    </row>
    <row r="4338" spans="7:14" hidden="1" x14ac:dyDescent="0.3">
      <c r="G4338" s="101"/>
      <c r="H4338" s="101"/>
      <c r="I4338" s="101"/>
      <c r="K4338" s="226"/>
      <c r="L4338" s="226"/>
      <c r="M4338" s="101"/>
      <c r="N4338" s="101"/>
    </row>
    <row r="4339" spans="7:14" hidden="1" x14ac:dyDescent="0.3">
      <c r="G4339" s="101"/>
      <c r="H4339" s="101"/>
      <c r="I4339" s="101"/>
      <c r="K4339" s="226"/>
      <c r="L4339" s="226"/>
      <c r="M4339" s="101"/>
      <c r="N4339" s="101"/>
    </row>
    <row r="4340" spans="7:14" hidden="1" x14ac:dyDescent="0.3">
      <c r="G4340" s="101"/>
      <c r="H4340" s="101"/>
      <c r="I4340" s="101"/>
      <c r="K4340" s="226"/>
      <c r="L4340" s="226"/>
      <c r="M4340" s="101"/>
      <c r="N4340" s="101"/>
    </row>
    <row r="4341" spans="7:14" hidden="1" x14ac:dyDescent="0.3">
      <c r="G4341" s="101"/>
      <c r="H4341" s="101"/>
      <c r="I4341" s="101"/>
      <c r="K4341" s="226"/>
      <c r="L4341" s="226"/>
      <c r="M4341" s="101"/>
      <c r="N4341" s="101"/>
    </row>
    <row r="4342" spans="7:14" hidden="1" x14ac:dyDescent="0.3">
      <c r="G4342" s="101"/>
      <c r="H4342" s="101"/>
      <c r="I4342" s="101"/>
      <c r="K4342" s="226"/>
      <c r="L4342" s="226"/>
      <c r="M4342" s="101"/>
      <c r="N4342" s="101"/>
    </row>
    <row r="4343" spans="7:14" hidden="1" x14ac:dyDescent="0.3">
      <c r="G4343" s="101"/>
      <c r="H4343" s="101"/>
      <c r="I4343" s="101"/>
      <c r="K4343" s="226"/>
      <c r="L4343" s="226"/>
      <c r="M4343" s="101"/>
      <c r="N4343" s="101"/>
    </row>
    <row r="4344" spans="7:14" hidden="1" x14ac:dyDescent="0.3">
      <c r="G4344" s="101"/>
      <c r="H4344" s="101"/>
      <c r="I4344" s="101"/>
      <c r="K4344" s="226"/>
      <c r="L4344" s="226"/>
      <c r="M4344" s="101"/>
      <c r="N4344" s="101"/>
    </row>
    <row r="4345" spans="7:14" hidden="1" x14ac:dyDescent="0.3">
      <c r="G4345" s="101"/>
      <c r="H4345" s="101"/>
      <c r="I4345" s="101"/>
      <c r="K4345" s="226"/>
      <c r="L4345" s="226"/>
      <c r="M4345" s="101"/>
      <c r="N4345" s="101"/>
    </row>
    <row r="4346" spans="7:14" hidden="1" x14ac:dyDescent="0.3">
      <c r="G4346" s="101"/>
      <c r="H4346" s="101"/>
      <c r="I4346" s="101"/>
      <c r="K4346" s="226"/>
      <c r="L4346" s="226"/>
      <c r="M4346" s="101"/>
      <c r="N4346" s="101"/>
    </row>
    <row r="4347" spans="7:14" hidden="1" x14ac:dyDescent="0.3">
      <c r="G4347" s="101"/>
      <c r="H4347" s="101"/>
      <c r="I4347" s="101"/>
      <c r="K4347" s="226"/>
      <c r="L4347" s="226"/>
      <c r="M4347" s="101"/>
      <c r="N4347" s="101"/>
    </row>
    <row r="4348" spans="7:14" hidden="1" x14ac:dyDescent="0.3">
      <c r="G4348" s="101"/>
      <c r="H4348" s="101"/>
      <c r="I4348" s="101"/>
      <c r="K4348" s="226"/>
      <c r="L4348" s="226"/>
      <c r="M4348" s="101"/>
      <c r="N4348" s="101"/>
    </row>
    <row r="4349" spans="7:14" hidden="1" x14ac:dyDescent="0.3">
      <c r="G4349" s="101"/>
      <c r="H4349" s="101"/>
      <c r="I4349" s="101"/>
      <c r="K4349" s="226"/>
      <c r="L4349" s="226"/>
      <c r="M4349" s="101"/>
      <c r="N4349" s="101"/>
    </row>
    <row r="4350" spans="7:14" hidden="1" x14ac:dyDescent="0.3">
      <c r="G4350" s="101"/>
      <c r="H4350" s="101"/>
      <c r="I4350" s="101"/>
      <c r="K4350" s="226"/>
      <c r="L4350" s="226"/>
      <c r="M4350" s="101"/>
      <c r="N4350" s="101"/>
    </row>
    <row r="4351" spans="7:14" hidden="1" x14ac:dyDescent="0.3">
      <c r="G4351" s="101"/>
      <c r="H4351" s="101"/>
      <c r="I4351" s="101"/>
      <c r="K4351" s="226"/>
      <c r="L4351" s="226"/>
      <c r="M4351" s="101"/>
      <c r="N4351" s="101"/>
    </row>
    <row r="4352" spans="7:14" hidden="1" x14ac:dyDescent="0.3">
      <c r="G4352" s="101"/>
      <c r="H4352" s="101"/>
      <c r="I4352" s="101"/>
      <c r="K4352" s="226"/>
      <c r="L4352" s="226"/>
      <c r="M4352" s="101"/>
      <c r="N4352" s="101"/>
    </row>
    <row r="4353" spans="7:14" hidden="1" x14ac:dyDescent="0.3">
      <c r="G4353" s="101"/>
      <c r="H4353" s="101"/>
      <c r="I4353" s="101"/>
      <c r="K4353" s="226"/>
      <c r="L4353" s="226"/>
      <c r="M4353" s="101"/>
      <c r="N4353" s="101"/>
    </row>
    <row r="4354" spans="7:14" hidden="1" x14ac:dyDescent="0.3">
      <c r="G4354" s="101"/>
      <c r="H4354" s="101"/>
      <c r="I4354" s="101"/>
      <c r="K4354" s="226"/>
      <c r="L4354" s="226"/>
      <c r="M4354" s="101"/>
      <c r="N4354" s="101"/>
    </row>
    <row r="4355" spans="7:14" hidden="1" x14ac:dyDescent="0.3">
      <c r="G4355" s="101"/>
      <c r="H4355" s="101"/>
      <c r="I4355" s="101"/>
      <c r="K4355" s="226"/>
      <c r="L4355" s="226"/>
      <c r="M4355" s="101"/>
      <c r="N4355" s="101"/>
    </row>
    <row r="4356" spans="7:14" hidden="1" x14ac:dyDescent="0.3">
      <c r="G4356" s="101"/>
      <c r="H4356" s="101"/>
      <c r="I4356" s="101"/>
      <c r="K4356" s="226"/>
      <c r="L4356" s="226"/>
      <c r="M4356" s="101"/>
      <c r="N4356" s="101"/>
    </row>
    <row r="4357" spans="7:14" hidden="1" x14ac:dyDescent="0.3">
      <c r="G4357" s="101"/>
      <c r="H4357" s="101"/>
      <c r="I4357" s="101"/>
      <c r="K4357" s="226"/>
      <c r="L4357" s="226"/>
      <c r="M4357" s="101"/>
      <c r="N4357" s="101"/>
    </row>
    <row r="4358" spans="7:14" hidden="1" x14ac:dyDescent="0.3">
      <c r="G4358" s="101"/>
      <c r="H4358" s="101"/>
      <c r="I4358" s="101"/>
      <c r="K4358" s="226"/>
      <c r="L4358" s="226"/>
      <c r="M4358" s="101"/>
      <c r="N4358" s="101"/>
    </row>
    <row r="4359" spans="7:14" hidden="1" x14ac:dyDescent="0.3">
      <c r="G4359" s="101"/>
      <c r="H4359" s="101"/>
      <c r="I4359" s="101"/>
      <c r="K4359" s="226"/>
      <c r="L4359" s="226"/>
      <c r="M4359" s="101"/>
      <c r="N4359" s="101"/>
    </row>
    <row r="4360" spans="7:14" hidden="1" x14ac:dyDescent="0.3">
      <c r="G4360" s="101"/>
      <c r="H4360" s="101"/>
      <c r="I4360" s="101"/>
      <c r="K4360" s="226"/>
      <c r="L4360" s="226"/>
      <c r="M4360" s="101"/>
      <c r="N4360" s="101"/>
    </row>
    <row r="4361" spans="7:14" hidden="1" x14ac:dyDescent="0.3">
      <c r="G4361" s="101"/>
      <c r="H4361" s="101"/>
      <c r="I4361" s="101"/>
      <c r="K4361" s="226"/>
      <c r="L4361" s="226"/>
      <c r="M4361" s="101"/>
      <c r="N4361" s="101"/>
    </row>
    <row r="4362" spans="7:14" hidden="1" x14ac:dyDescent="0.3">
      <c r="G4362" s="101"/>
      <c r="H4362" s="101"/>
      <c r="I4362" s="101"/>
      <c r="K4362" s="226"/>
      <c r="L4362" s="226"/>
      <c r="M4362" s="101"/>
      <c r="N4362" s="101"/>
    </row>
    <row r="4363" spans="7:14" hidden="1" x14ac:dyDescent="0.3">
      <c r="G4363" s="101"/>
      <c r="H4363" s="101"/>
      <c r="I4363" s="101"/>
      <c r="K4363" s="226"/>
      <c r="L4363" s="226"/>
      <c r="M4363" s="101"/>
      <c r="N4363" s="101"/>
    </row>
    <row r="4364" spans="7:14" hidden="1" x14ac:dyDescent="0.3">
      <c r="G4364" s="101"/>
      <c r="H4364" s="101"/>
      <c r="I4364" s="101"/>
      <c r="K4364" s="226"/>
      <c r="L4364" s="226"/>
      <c r="M4364" s="101"/>
      <c r="N4364" s="101"/>
    </row>
    <row r="4365" spans="7:14" hidden="1" x14ac:dyDescent="0.3">
      <c r="G4365" s="101"/>
      <c r="H4365" s="101"/>
      <c r="I4365" s="101"/>
      <c r="K4365" s="226"/>
      <c r="L4365" s="226"/>
      <c r="M4365" s="101"/>
      <c r="N4365" s="101"/>
    </row>
    <row r="4366" spans="7:14" hidden="1" x14ac:dyDescent="0.3">
      <c r="G4366" s="101"/>
      <c r="H4366" s="101"/>
      <c r="I4366" s="101"/>
      <c r="K4366" s="226"/>
      <c r="L4366" s="226"/>
      <c r="M4366" s="101"/>
      <c r="N4366" s="101"/>
    </row>
    <row r="4367" spans="7:14" hidden="1" x14ac:dyDescent="0.3">
      <c r="G4367" s="101"/>
      <c r="H4367" s="101"/>
      <c r="I4367" s="101"/>
      <c r="K4367" s="226"/>
      <c r="L4367" s="226"/>
      <c r="M4367" s="101"/>
      <c r="N4367" s="101"/>
    </row>
    <row r="4368" spans="7:14" hidden="1" x14ac:dyDescent="0.3">
      <c r="G4368" s="101"/>
      <c r="H4368" s="101"/>
      <c r="I4368" s="101"/>
      <c r="K4368" s="226"/>
      <c r="L4368" s="226"/>
      <c r="M4368" s="101"/>
      <c r="N4368" s="101"/>
    </row>
    <row r="4369" spans="7:14" hidden="1" x14ac:dyDescent="0.3">
      <c r="G4369" s="101"/>
      <c r="H4369" s="101"/>
      <c r="I4369" s="101"/>
      <c r="K4369" s="226"/>
      <c r="L4369" s="226"/>
      <c r="M4369" s="101"/>
      <c r="N4369" s="101"/>
    </row>
    <row r="4370" spans="7:14" hidden="1" x14ac:dyDescent="0.3">
      <c r="G4370" s="101"/>
      <c r="H4370" s="101"/>
      <c r="I4370" s="101"/>
      <c r="K4370" s="226"/>
      <c r="L4370" s="226"/>
      <c r="M4370" s="101"/>
      <c r="N4370" s="101"/>
    </row>
    <row r="4371" spans="7:14" hidden="1" x14ac:dyDescent="0.3">
      <c r="G4371" s="101"/>
      <c r="H4371" s="101"/>
      <c r="I4371" s="101"/>
      <c r="K4371" s="226"/>
      <c r="L4371" s="226"/>
      <c r="M4371" s="101"/>
      <c r="N4371" s="101"/>
    </row>
    <row r="4372" spans="7:14" hidden="1" x14ac:dyDescent="0.3">
      <c r="G4372" s="101"/>
      <c r="H4372" s="101"/>
      <c r="I4372" s="101"/>
      <c r="K4372" s="226"/>
      <c r="L4372" s="226"/>
      <c r="M4372" s="101"/>
      <c r="N4372" s="101"/>
    </row>
    <row r="4373" spans="7:14" hidden="1" x14ac:dyDescent="0.3">
      <c r="G4373" s="101"/>
      <c r="H4373" s="101"/>
      <c r="I4373" s="101"/>
      <c r="K4373" s="226"/>
      <c r="L4373" s="226"/>
      <c r="M4373" s="101"/>
      <c r="N4373" s="101"/>
    </row>
    <row r="4374" spans="7:14" hidden="1" x14ac:dyDescent="0.3">
      <c r="G4374" s="101"/>
      <c r="H4374" s="101"/>
      <c r="I4374" s="101"/>
      <c r="K4374" s="226"/>
      <c r="L4374" s="226"/>
      <c r="M4374" s="101"/>
      <c r="N4374" s="101"/>
    </row>
    <row r="4375" spans="7:14" hidden="1" x14ac:dyDescent="0.3">
      <c r="G4375" s="101"/>
      <c r="H4375" s="101"/>
      <c r="I4375" s="101"/>
      <c r="K4375" s="226"/>
      <c r="L4375" s="226"/>
      <c r="M4375" s="101"/>
      <c r="N4375" s="101"/>
    </row>
    <row r="4376" spans="7:14" hidden="1" x14ac:dyDescent="0.3">
      <c r="G4376" s="101"/>
      <c r="H4376" s="101"/>
      <c r="I4376" s="101"/>
      <c r="K4376" s="226"/>
      <c r="L4376" s="226"/>
      <c r="M4376" s="101"/>
      <c r="N4376" s="101"/>
    </row>
    <row r="4377" spans="7:14" hidden="1" x14ac:dyDescent="0.3">
      <c r="G4377" s="101"/>
      <c r="H4377" s="101"/>
      <c r="I4377" s="101"/>
      <c r="K4377" s="226"/>
      <c r="L4377" s="226"/>
      <c r="M4377" s="101"/>
      <c r="N4377" s="101"/>
    </row>
    <row r="4378" spans="7:14" hidden="1" x14ac:dyDescent="0.3">
      <c r="G4378" s="101"/>
      <c r="H4378" s="101"/>
      <c r="I4378" s="101"/>
      <c r="K4378" s="226"/>
      <c r="L4378" s="226"/>
      <c r="M4378" s="101"/>
      <c r="N4378" s="101"/>
    </row>
    <row r="4379" spans="7:14" hidden="1" x14ac:dyDescent="0.3">
      <c r="G4379" s="101"/>
      <c r="H4379" s="101"/>
      <c r="I4379" s="101"/>
      <c r="K4379" s="226"/>
      <c r="L4379" s="226"/>
      <c r="M4379" s="101"/>
      <c r="N4379" s="101"/>
    </row>
    <row r="4380" spans="7:14" hidden="1" x14ac:dyDescent="0.3">
      <c r="G4380" s="101"/>
      <c r="H4380" s="101"/>
      <c r="I4380" s="101"/>
      <c r="K4380" s="226"/>
      <c r="L4380" s="226"/>
      <c r="M4380" s="101"/>
      <c r="N4380" s="101"/>
    </row>
    <row r="4381" spans="7:14" hidden="1" x14ac:dyDescent="0.3">
      <c r="G4381" s="101"/>
      <c r="H4381" s="101"/>
      <c r="I4381" s="101"/>
      <c r="K4381" s="226"/>
      <c r="L4381" s="226"/>
      <c r="M4381" s="101"/>
      <c r="N4381" s="101"/>
    </row>
    <row r="4382" spans="7:14" hidden="1" x14ac:dyDescent="0.3">
      <c r="G4382" s="101"/>
      <c r="H4382" s="101"/>
      <c r="I4382" s="101"/>
      <c r="K4382" s="226"/>
      <c r="L4382" s="226"/>
      <c r="M4382" s="101"/>
      <c r="N4382" s="101"/>
    </row>
    <row r="4383" spans="7:14" hidden="1" x14ac:dyDescent="0.3">
      <c r="G4383" s="101"/>
      <c r="H4383" s="101"/>
      <c r="I4383" s="101"/>
      <c r="K4383" s="226"/>
      <c r="L4383" s="226"/>
      <c r="M4383" s="101"/>
      <c r="N4383" s="101"/>
    </row>
    <row r="4384" spans="7:14" hidden="1" x14ac:dyDescent="0.3">
      <c r="G4384" s="101"/>
      <c r="H4384" s="101"/>
      <c r="I4384" s="101"/>
      <c r="K4384" s="226"/>
      <c r="L4384" s="226"/>
      <c r="M4384" s="101"/>
      <c r="N4384" s="101"/>
    </row>
    <row r="4385" spans="7:14" hidden="1" x14ac:dyDescent="0.3">
      <c r="G4385" s="101"/>
      <c r="H4385" s="101"/>
      <c r="I4385" s="101"/>
      <c r="K4385" s="226"/>
      <c r="L4385" s="226"/>
      <c r="M4385" s="101"/>
      <c r="N4385" s="101"/>
    </row>
    <row r="4386" spans="7:14" hidden="1" x14ac:dyDescent="0.3">
      <c r="G4386" s="101"/>
      <c r="H4386" s="101"/>
      <c r="I4386" s="101"/>
      <c r="K4386" s="226"/>
      <c r="L4386" s="226"/>
      <c r="M4386" s="101"/>
      <c r="N4386" s="101"/>
    </row>
    <row r="4387" spans="7:14" hidden="1" x14ac:dyDescent="0.3">
      <c r="G4387" s="101"/>
      <c r="H4387" s="101"/>
      <c r="I4387" s="101"/>
      <c r="K4387" s="226"/>
      <c r="L4387" s="226"/>
      <c r="M4387" s="101"/>
      <c r="N4387" s="101"/>
    </row>
    <row r="4388" spans="7:14" hidden="1" x14ac:dyDescent="0.3">
      <c r="G4388" s="101"/>
      <c r="H4388" s="101"/>
      <c r="I4388" s="101"/>
      <c r="K4388" s="226"/>
      <c r="L4388" s="226"/>
      <c r="M4388" s="101"/>
      <c r="N4388" s="101"/>
    </row>
    <row r="4389" spans="7:14" hidden="1" x14ac:dyDescent="0.3">
      <c r="G4389" s="101"/>
      <c r="H4389" s="101"/>
      <c r="I4389" s="101"/>
      <c r="K4389" s="226"/>
      <c r="L4389" s="226"/>
      <c r="M4389" s="101"/>
      <c r="N4389" s="101"/>
    </row>
    <row r="4390" spans="7:14" hidden="1" x14ac:dyDescent="0.3">
      <c r="G4390" s="101"/>
      <c r="H4390" s="101"/>
      <c r="I4390" s="101"/>
      <c r="K4390" s="226"/>
      <c r="L4390" s="226"/>
      <c r="M4390" s="101"/>
      <c r="N4390" s="101"/>
    </row>
    <row r="4391" spans="7:14" hidden="1" x14ac:dyDescent="0.3">
      <c r="G4391" s="101"/>
      <c r="H4391" s="101"/>
      <c r="I4391" s="101"/>
      <c r="K4391" s="226"/>
      <c r="L4391" s="226"/>
      <c r="M4391" s="101"/>
      <c r="N4391" s="101"/>
    </row>
    <row r="4392" spans="7:14" hidden="1" x14ac:dyDescent="0.3">
      <c r="G4392" s="101"/>
      <c r="H4392" s="101"/>
      <c r="I4392" s="101"/>
      <c r="K4392" s="226"/>
      <c r="L4392" s="226"/>
      <c r="M4392" s="101"/>
      <c r="N4392" s="101"/>
    </row>
    <row r="4393" spans="7:14" hidden="1" x14ac:dyDescent="0.3">
      <c r="G4393" s="101"/>
      <c r="H4393" s="101"/>
      <c r="I4393" s="101"/>
      <c r="K4393" s="226"/>
      <c r="L4393" s="226"/>
      <c r="M4393" s="101"/>
      <c r="N4393" s="101"/>
    </row>
    <row r="4394" spans="7:14" hidden="1" x14ac:dyDescent="0.3">
      <c r="G4394" s="101"/>
      <c r="H4394" s="101"/>
      <c r="I4394" s="101"/>
      <c r="K4394" s="226"/>
      <c r="L4394" s="226"/>
      <c r="M4394" s="101"/>
      <c r="N4394" s="101"/>
    </row>
    <row r="4395" spans="7:14" hidden="1" x14ac:dyDescent="0.3">
      <c r="G4395" s="101"/>
      <c r="H4395" s="101"/>
      <c r="I4395" s="101"/>
      <c r="K4395" s="226"/>
      <c r="L4395" s="226"/>
      <c r="M4395" s="101"/>
      <c r="N4395" s="101"/>
    </row>
    <row r="4396" spans="7:14" hidden="1" x14ac:dyDescent="0.3">
      <c r="G4396" s="101"/>
      <c r="H4396" s="101"/>
      <c r="I4396" s="101"/>
      <c r="K4396" s="226"/>
      <c r="L4396" s="226"/>
      <c r="M4396" s="101"/>
      <c r="N4396" s="101"/>
    </row>
    <row r="4397" spans="7:14" hidden="1" x14ac:dyDescent="0.3">
      <c r="G4397" s="101"/>
      <c r="H4397" s="101"/>
      <c r="I4397" s="101"/>
      <c r="K4397" s="226"/>
      <c r="L4397" s="226"/>
      <c r="M4397" s="101"/>
      <c r="N4397" s="101"/>
    </row>
    <row r="4398" spans="7:14" hidden="1" x14ac:dyDescent="0.3">
      <c r="G4398" s="101"/>
      <c r="H4398" s="101"/>
      <c r="I4398" s="101"/>
      <c r="K4398" s="226"/>
      <c r="L4398" s="226"/>
      <c r="M4398" s="101"/>
      <c r="N4398" s="101"/>
    </row>
    <row r="4399" spans="7:14" hidden="1" x14ac:dyDescent="0.3">
      <c r="G4399" s="101"/>
      <c r="H4399" s="101"/>
      <c r="I4399" s="101"/>
      <c r="K4399" s="226"/>
      <c r="L4399" s="226"/>
      <c r="M4399" s="101"/>
      <c r="N4399" s="101"/>
    </row>
    <row r="4400" spans="7:14" hidden="1" x14ac:dyDescent="0.3">
      <c r="G4400" s="101"/>
      <c r="H4400" s="101"/>
      <c r="I4400" s="101"/>
      <c r="K4400" s="226"/>
      <c r="L4400" s="226"/>
      <c r="M4400" s="101"/>
      <c r="N4400" s="101"/>
    </row>
    <row r="4401" spans="7:14" hidden="1" x14ac:dyDescent="0.3">
      <c r="G4401" s="101"/>
      <c r="H4401" s="101"/>
      <c r="I4401" s="101"/>
      <c r="K4401" s="226"/>
      <c r="L4401" s="226"/>
      <c r="M4401" s="101"/>
      <c r="N4401" s="101"/>
    </row>
    <row r="4402" spans="7:14" hidden="1" x14ac:dyDescent="0.3">
      <c r="G4402" s="101"/>
      <c r="H4402" s="101"/>
      <c r="I4402" s="101"/>
      <c r="K4402" s="226"/>
      <c r="L4402" s="226"/>
      <c r="M4402" s="101"/>
      <c r="N4402" s="101"/>
    </row>
    <row r="4403" spans="7:14" hidden="1" x14ac:dyDescent="0.3">
      <c r="G4403" s="101"/>
      <c r="H4403" s="101"/>
      <c r="I4403" s="101"/>
      <c r="K4403" s="226"/>
      <c r="L4403" s="226"/>
      <c r="M4403" s="101"/>
      <c r="N4403" s="101"/>
    </row>
    <row r="4404" spans="7:14" hidden="1" x14ac:dyDescent="0.3">
      <c r="G4404" s="101"/>
      <c r="H4404" s="101"/>
      <c r="I4404" s="101"/>
      <c r="K4404" s="226"/>
      <c r="L4404" s="226"/>
      <c r="M4404" s="101"/>
      <c r="N4404" s="101"/>
    </row>
    <row r="4405" spans="7:14" hidden="1" x14ac:dyDescent="0.3">
      <c r="G4405" s="101"/>
      <c r="H4405" s="101"/>
      <c r="I4405" s="101"/>
      <c r="K4405" s="226"/>
      <c r="L4405" s="226"/>
      <c r="M4405" s="101"/>
      <c r="N4405" s="101"/>
    </row>
    <row r="4406" spans="7:14" hidden="1" x14ac:dyDescent="0.3">
      <c r="G4406" s="101"/>
      <c r="H4406" s="101"/>
      <c r="I4406" s="101"/>
      <c r="K4406" s="226"/>
      <c r="L4406" s="226"/>
      <c r="M4406" s="101"/>
      <c r="N4406" s="101"/>
    </row>
    <row r="4407" spans="7:14" hidden="1" x14ac:dyDescent="0.3">
      <c r="G4407" s="101"/>
      <c r="H4407" s="101"/>
      <c r="I4407" s="101"/>
      <c r="K4407" s="226"/>
      <c r="L4407" s="226"/>
      <c r="M4407" s="101"/>
      <c r="N4407" s="101"/>
    </row>
    <row r="4408" spans="7:14" hidden="1" x14ac:dyDescent="0.3">
      <c r="G4408" s="101"/>
      <c r="H4408" s="101"/>
      <c r="I4408" s="101"/>
      <c r="K4408" s="226"/>
      <c r="L4408" s="226"/>
      <c r="M4408" s="101"/>
      <c r="N4408" s="101"/>
    </row>
    <row r="4409" spans="7:14" hidden="1" x14ac:dyDescent="0.3">
      <c r="G4409" s="101"/>
      <c r="H4409" s="101"/>
      <c r="I4409" s="101"/>
      <c r="K4409" s="226"/>
      <c r="L4409" s="226"/>
      <c r="M4409" s="101"/>
      <c r="N4409" s="101"/>
    </row>
    <row r="4410" spans="7:14" hidden="1" x14ac:dyDescent="0.3">
      <c r="G4410" s="101"/>
      <c r="H4410" s="101"/>
      <c r="I4410" s="101"/>
      <c r="K4410" s="226"/>
      <c r="L4410" s="226"/>
      <c r="M4410" s="101"/>
      <c r="N4410" s="101"/>
    </row>
    <row r="4411" spans="7:14" hidden="1" x14ac:dyDescent="0.3">
      <c r="G4411" s="101"/>
      <c r="H4411" s="101"/>
      <c r="I4411" s="101"/>
      <c r="K4411" s="226"/>
      <c r="L4411" s="226"/>
      <c r="M4411" s="101"/>
      <c r="N4411" s="101"/>
    </row>
    <row r="4412" spans="7:14" hidden="1" x14ac:dyDescent="0.3">
      <c r="G4412" s="101"/>
      <c r="H4412" s="101"/>
      <c r="I4412" s="101"/>
      <c r="K4412" s="226"/>
      <c r="L4412" s="226"/>
      <c r="M4412" s="101"/>
      <c r="N4412" s="101"/>
    </row>
    <row r="4413" spans="7:14" hidden="1" x14ac:dyDescent="0.3">
      <c r="G4413" s="101"/>
      <c r="H4413" s="101"/>
      <c r="I4413" s="101"/>
      <c r="K4413" s="226"/>
      <c r="L4413" s="226"/>
      <c r="M4413" s="101"/>
      <c r="N4413" s="101"/>
    </row>
    <row r="4414" spans="7:14" hidden="1" x14ac:dyDescent="0.3">
      <c r="G4414" s="101"/>
      <c r="H4414" s="101"/>
      <c r="I4414" s="101"/>
      <c r="K4414" s="226"/>
      <c r="L4414" s="226"/>
      <c r="M4414" s="101"/>
      <c r="N4414" s="101"/>
    </row>
    <row r="4415" spans="7:14" hidden="1" x14ac:dyDescent="0.3">
      <c r="G4415" s="101"/>
      <c r="H4415" s="101"/>
      <c r="I4415" s="101"/>
      <c r="K4415" s="226"/>
      <c r="L4415" s="226"/>
      <c r="M4415" s="101"/>
      <c r="N4415" s="101"/>
    </row>
    <row r="4416" spans="7:14" hidden="1" x14ac:dyDescent="0.3">
      <c r="G4416" s="101"/>
      <c r="H4416" s="101"/>
      <c r="I4416" s="101"/>
      <c r="K4416" s="226"/>
      <c r="L4416" s="226"/>
      <c r="M4416" s="101"/>
      <c r="N4416" s="101"/>
    </row>
    <row r="4417" spans="7:14" hidden="1" x14ac:dyDescent="0.3">
      <c r="G4417" s="101"/>
      <c r="H4417" s="101"/>
      <c r="I4417" s="101"/>
      <c r="K4417" s="226"/>
      <c r="L4417" s="226"/>
      <c r="M4417" s="101"/>
      <c r="N4417" s="101"/>
    </row>
    <row r="4418" spans="7:14" hidden="1" x14ac:dyDescent="0.3">
      <c r="G4418" s="101"/>
      <c r="H4418" s="101"/>
      <c r="I4418" s="101"/>
      <c r="K4418" s="226"/>
      <c r="L4418" s="226"/>
      <c r="M4418" s="101"/>
      <c r="N4418" s="101"/>
    </row>
    <row r="4419" spans="7:14" hidden="1" x14ac:dyDescent="0.3">
      <c r="G4419" s="101"/>
      <c r="H4419" s="101"/>
      <c r="I4419" s="101"/>
      <c r="K4419" s="226"/>
      <c r="L4419" s="226"/>
      <c r="M4419" s="101"/>
      <c r="N4419" s="101"/>
    </row>
    <row r="4420" spans="7:14" hidden="1" x14ac:dyDescent="0.3">
      <c r="G4420" s="101"/>
      <c r="H4420" s="101"/>
      <c r="I4420" s="101"/>
      <c r="K4420" s="226"/>
      <c r="L4420" s="226"/>
      <c r="M4420" s="101"/>
      <c r="N4420" s="101"/>
    </row>
    <row r="4421" spans="7:14" hidden="1" x14ac:dyDescent="0.3">
      <c r="G4421" s="101"/>
      <c r="H4421" s="101"/>
      <c r="I4421" s="101"/>
      <c r="K4421" s="226"/>
      <c r="L4421" s="226"/>
      <c r="M4421" s="101"/>
      <c r="N4421" s="101"/>
    </row>
    <row r="4422" spans="7:14" hidden="1" x14ac:dyDescent="0.3">
      <c r="G4422" s="101"/>
      <c r="H4422" s="101"/>
      <c r="I4422" s="101"/>
      <c r="K4422" s="226"/>
      <c r="L4422" s="226"/>
      <c r="M4422" s="101"/>
      <c r="N4422" s="101"/>
    </row>
    <row r="4423" spans="7:14" hidden="1" x14ac:dyDescent="0.3">
      <c r="G4423" s="101"/>
      <c r="H4423" s="101"/>
      <c r="I4423" s="101"/>
      <c r="K4423" s="226"/>
      <c r="L4423" s="226"/>
      <c r="M4423" s="101"/>
      <c r="N4423" s="101"/>
    </row>
    <row r="4424" spans="7:14" hidden="1" x14ac:dyDescent="0.3">
      <c r="G4424" s="101"/>
      <c r="H4424" s="101"/>
      <c r="I4424" s="101"/>
      <c r="K4424" s="226"/>
      <c r="L4424" s="226"/>
      <c r="M4424" s="101"/>
      <c r="N4424" s="101"/>
    </row>
    <row r="4425" spans="7:14" hidden="1" x14ac:dyDescent="0.3">
      <c r="G4425" s="101"/>
      <c r="H4425" s="101"/>
      <c r="I4425" s="101"/>
      <c r="K4425" s="226"/>
      <c r="L4425" s="226"/>
      <c r="M4425" s="101"/>
      <c r="N4425" s="101"/>
    </row>
    <row r="4426" spans="7:14" hidden="1" x14ac:dyDescent="0.3">
      <c r="G4426" s="101"/>
      <c r="H4426" s="101"/>
      <c r="I4426" s="101"/>
      <c r="K4426" s="226"/>
      <c r="L4426" s="226"/>
      <c r="M4426" s="101"/>
      <c r="N4426" s="101"/>
    </row>
    <row r="4427" spans="7:14" hidden="1" x14ac:dyDescent="0.3">
      <c r="G4427" s="101"/>
      <c r="H4427" s="101"/>
      <c r="I4427" s="101"/>
      <c r="K4427" s="226"/>
      <c r="L4427" s="226"/>
      <c r="M4427" s="101"/>
      <c r="N4427" s="101"/>
    </row>
    <row r="4428" spans="7:14" hidden="1" x14ac:dyDescent="0.3">
      <c r="G4428" s="101"/>
      <c r="H4428" s="101"/>
      <c r="I4428" s="101"/>
      <c r="K4428" s="226"/>
      <c r="L4428" s="226"/>
      <c r="M4428" s="101"/>
      <c r="N4428" s="101"/>
    </row>
    <row r="4429" spans="7:14" hidden="1" x14ac:dyDescent="0.3">
      <c r="G4429" s="101"/>
      <c r="H4429" s="101"/>
      <c r="I4429" s="101"/>
      <c r="K4429" s="226"/>
      <c r="L4429" s="226"/>
      <c r="M4429" s="101"/>
      <c r="N4429" s="101"/>
    </row>
    <row r="4430" spans="7:14" hidden="1" x14ac:dyDescent="0.3">
      <c r="G4430" s="101"/>
      <c r="H4430" s="101"/>
      <c r="I4430" s="101"/>
      <c r="K4430" s="226"/>
      <c r="L4430" s="226"/>
      <c r="M4430" s="101"/>
      <c r="N4430" s="101"/>
    </row>
    <row r="4431" spans="7:14" hidden="1" x14ac:dyDescent="0.3">
      <c r="G4431" s="101"/>
      <c r="H4431" s="101"/>
      <c r="I4431" s="101"/>
      <c r="K4431" s="226"/>
      <c r="L4431" s="226"/>
      <c r="M4431" s="101"/>
      <c r="N4431" s="101"/>
    </row>
    <row r="4432" spans="7:14" hidden="1" x14ac:dyDescent="0.3">
      <c r="G4432" s="101"/>
      <c r="H4432" s="101"/>
      <c r="I4432" s="101"/>
      <c r="K4432" s="226"/>
      <c r="L4432" s="226"/>
      <c r="M4432" s="101"/>
      <c r="N4432" s="101"/>
    </row>
    <row r="4433" spans="7:14" hidden="1" x14ac:dyDescent="0.3">
      <c r="G4433" s="101"/>
      <c r="H4433" s="101"/>
      <c r="I4433" s="101"/>
      <c r="K4433" s="226"/>
      <c r="L4433" s="226"/>
      <c r="M4433" s="101"/>
      <c r="N4433" s="101"/>
    </row>
    <row r="4434" spans="7:14" hidden="1" x14ac:dyDescent="0.3">
      <c r="G4434" s="101"/>
      <c r="H4434" s="101"/>
      <c r="I4434" s="101"/>
      <c r="K4434" s="226"/>
      <c r="L4434" s="226"/>
      <c r="M4434" s="101"/>
      <c r="N4434" s="101"/>
    </row>
    <row r="4435" spans="7:14" hidden="1" x14ac:dyDescent="0.3">
      <c r="G4435" s="101"/>
      <c r="H4435" s="101"/>
      <c r="I4435" s="101"/>
      <c r="K4435" s="226"/>
      <c r="L4435" s="226"/>
      <c r="M4435" s="101"/>
      <c r="N4435" s="101"/>
    </row>
    <row r="4436" spans="7:14" hidden="1" x14ac:dyDescent="0.3">
      <c r="G4436" s="101"/>
      <c r="H4436" s="101"/>
      <c r="I4436" s="101"/>
      <c r="K4436" s="226"/>
      <c r="L4436" s="226"/>
      <c r="M4436" s="101"/>
      <c r="N4436" s="101"/>
    </row>
    <row r="4437" spans="7:14" hidden="1" x14ac:dyDescent="0.3">
      <c r="G4437" s="101"/>
      <c r="H4437" s="101"/>
      <c r="I4437" s="101"/>
      <c r="K4437" s="226"/>
      <c r="L4437" s="226"/>
      <c r="M4437" s="101"/>
      <c r="N4437" s="101"/>
    </row>
    <row r="4438" spans="7:14" hidden="1" x14ac:dyDescent="0.3">
      <c r="G4438" s="101"/>
      <c r="H4438" s="101"/>
      <c r="I4438" s="101"/>
      <c r="K4438" s="226"/>
      <c r="L4438" s="226"/>
      <c r="M4438" s="101"/>
      <c r="N4438" s="101"/>
    </row>
    <row r="4439" spans="7:14" hidden="1" x14ac:dyDescent="0.3">
      <c r="G4439" s="101"/>
      <c r="H4439" s="101"/>
      <c r="I4439" s="101"/>
      <c r="K4439" s="226"/>
      <c r="L4439" s="226"/>
      <c r="M4439" s="101"/>
      <c r="N4439" s="101"/>
    </row>
    <row r="4440" spans="7:14" hidden="1" x14ac:dyDescent="0.3">
      <c r="G4440" s="101"/>
      <c r="H4440" s="101"/>
      <c r="I4440" s="101"/>
      <c r="K4440" s="226"/>
      <c r="L4440" s="226"/>
      <c r="M4440" s="101"/>
      <c r="N4440" s="101"/>
    </row>
    <row r="4441" spans="7:14" hidden="1" x14ac:dyDescent="0.3">
      <c r="G4441" s="101"/>
      <c r="H4441" s="101"/>
      <c r="I4441" s="101"/>
      <c r="K4441" s="226"/>
      <c r="L4441" s="226"/>
      <c r="M4441" s="101"/>
      <c r="N4441" s="101"/>
    </row>
    <row r="4442" spans="7:14" hidden="1" x14ac:dyDescent="0.3">
      <c r="G4442" s="101"/>
      <c r="H4442" s="101"/>
      <c r="I4442" s="101"/>
      <c r="K4442" s="226"/>
      <c r="L4442" s="226"/>
      <c r="M4442" s="101"/>
      <c r="N4442" s="101"/>
    </row>
    <row r="4443" spans="7:14" hidden="1" x14ac:dyDescent="0.3">
      <c r="G4443" s="101"/>
      <c r="H4443" s="101"/>
      <c r="I4443" s="101"/>
      <c r="K4443" s="226"/>
      <c r="L4443" s="226"/>
      <c r="M4443" s="101"/>
      <c r="N4443" s="101"/>
    </row>
    <row r="4444" spans="7:14" hidden="1" x14ac:dyDescent="0.3">
      <c r="G4444" s="101"/>
      <c r="H4444" s="101"/>
      <c r="I4444" s="101"/>
      <c r="K4444" s="226"/>
      <c r="L4444" s="226"/>
      <c r="M4444" s="101"/>
      <c r="N4444" s="101"/>
    </row>
    <row r="4445" spans="7:14" hidden="1" x14ac:dyDescent="0.3">
      <c r="G4445" s="101"/>
      <c r="H4445" s="101"/>
      <c r="I4445" s="101"/>
      <c r="K4445" s="226"/>
      <c r="L4445" s="226"/>
      <c r="M4445" s="101"/>
      <c r="N4445" s="101"/>
    </row>
    <row r="4446" spans="7:14" hidden="1" x14ac:dyDescent="0.3">
      <c r="G4446" s="101"/>
      <c r="H4446" s="101"/>
      <c r="I4446" s="101"/>
      <c r="K4446" s="226"/>
      <c r="L4446" s="226"/>
      <c r="M4446" s="101"/>
      <c r="N4446" s="101"/>
    </row>
    <row r="4447" spans="7:14" hidden="1" x14ac:dyDescent="0.3">
      <c r="G4447" s="101"/>
      <c r="H4447" s="101"/>
      <c r="I4447" s="101"/>
      <c r="K4447" s="226"/>
      <c r="L4447" s="226"/>
      <c r="M4447" s="101"/>
      <c r="N4447" s="101"/>
    </row>
    <row r="4448" spans="7:14" hidden="1" x14ac:dyDescent="0.3">
      <c r="G4448" s="101"/>
      <c r="H4448" s="101"/>
      <c r="I4448" s="101"/>
      <c r="K4448" s="226"/>
      <c r="L4448" s="226"/>
      <c r="M4448" s="101"/>
      <c r="N4448" s="101"/>
    </row>
    <row r="4449" spans="7:14" hidden="1" x14ac:dyDescent="0.3">
      <c r="G4449" s="101"/>
      <c r="H4449" s="101"/>
      <c r="I4449" s="101"/>
      <c r="K4449" s="226"/>
      <c r="L4449" s="226"/>
      <c r="M4449" s="101"/>
      <c r="N4449" s="101"/>
    </row>
    <row r="4450" spans="7:14" hidden="1" x14ac:dyDescent="0.3">
      <c r="G4450" s="101"/>
      <c r="H4450" s="101"/>
      <c r="I4450" s="101"/>
      <c r="K4450" s="226"/>
      <c r="L4450" s="226"/>
      <c r="M4450" s="101"/>
      <c r="N4450" s="101"/>
    </row>
    <row r="4451" spans="7:14" hidden="1" x14ac:dyDescent="0.3">
      <c r="G4451" s="101"/>
      <c r="H4451" s="101"/>
      <c r="I4451" s="101"/>
      <c r="K4451" s="226"/>
      <c r="L4451" s="226"/>
      <c r="M4451" s="101"/>
      <c r="N4451" s="101"/>
    </row>
    <row r="4452" spans="7:14" hidden="1" x14ac:dyDescent="0.3">
      <c r="G4452" s="101"/>
      <c r="H4452" s="101"/>
      <c r="I4452" s="101"/>
      <c r="K4452" s="226"/>
      <c r="L4452" s="226"/>
      <c r="M4452" s="101"/>
      <c r="N4452" s="101"/>
    </row>
    <row r="4453" spans="7:14" hidden="1" x14ac:dyDescent="0.3">
      <c r="G4453" s="101"/>
      <c r="H4453" s="101"/>
      <c r="I4453" s="101"/>
      <c r="K4453" s="226"/>
      <c r="L4453" s="226"/>
      <c r="M4453" s="101"/>
      <c r="N4453" s="101"/>
    </row>
    <row r="4454" spans="7:14" hidden="1" x14ac:dyDescent="0.3">
      <c r="G4454" s="101"/>
      <c r="H4454" s="101"/>
      <c r="I4454" s="101"/>
      <c r="K4454" s="226"/>
      <c r="L4454" s="226"/>
      <c r="M4454" s="101"/>
      <c r="N4454" s="101"/>
    </row>
    <row r="4455" spans="7:14" hidden="1" x14ac:dyDescent="0.3">
      <c r="G4455" s="101"/>
      <c r="H4455" s="101"/>
      <c r="I4455" s="101"/>
      <c r="K4455" s="226"/>
      <c r="L4455" s="226"/>
      <c r="M4455" s="101"/>
      <c r="N4455" s="101"/>
    </row>
    <row r="4456" spans="7:14" hidden="1" x14ac:dyDescent="0.3">
      <c r="G4456" s="101"/>
      <c r="H4456" s="101"/>
      <c r="I4456" s="101"/>
      <c r="K4456" s="226"/>
      <c r="L4456" s="226"/>
      <c r="M4456" s="101"/>
      <c r="N4456" s="101"/>
    </row>
    <row r="4457" spans="7:14" hidden="1" x14ac:dyDescent="0.3">
      <c r="G4457" s="101"/>
      <c r="H4457" s="101"/>
      <c r="I4457" s="101"/>
      <c r="K4457" s="226"/>
      <c r="L4457" s="226"/>
      <c r="M4457" s="101"/>
      <c r="N4457" s="101"/>
    </row>
    <row r="4458" spans="7:14" hidden="1" x14ac:dyDescent="0.3">
      <c r="G4458" s="101"/>
      <c r="H4458" s="101"/>
      <c r="I4458" s="101"/>
      <c r="K4458" s="226"/>
      <c r="L4458" s="226"/>
      <c r="M4458" s="101"/>
      <c r="N4458" s="101"/>
    </row>
    <row r="4459" spans="7:14" hidden="1" x14ac:dyDescent="0.3">
      <c r="G4459" s="101"/>
      <c r="H4459" s="101"/>
      <c r="I4459" s="101"/>
      <c r="K4459" s="226"/>
      <c r="L4459" s="226"/>
      <c r="M4459" s="101"/>
      <c r="N4459" s="101"/>
    </row>
    <row r="4460" spans="7:14" hidden="1" x14ac:dyDescent="0.3">
      <c r="G4460" s="101"/>
      <c r="H4460" s="101"/>
      <c r="I4460" s="101"/>
      <c r="K4460" s="226"/>
      <c r="L4460" s="226"/>
      <c r="M4460" s="101"/>
      <c r="N4460" s="101"/>
    </row>
    <row r="4461" spans="7:14" hidden="1" x14ac:dyDescent="0.3">
      <c r="G4461" s="101"/>
      <c r="H4461" s="101"/>
      <c r="I4461" s="101"/>
      <c r="K4461" s="226"/>
      <c r="L4461" s="226"/>
      <c r="M4461" s="101"/>
      <c r="N4461" s="101"/>
    </row>
    <row r="4462" spans="7:14" hidden="1" x14ac:dyDescent="0.3">
      <c r="G4462" s="101"/>
      <c r="H4462" s="101"/>
      <c r="I4462" s="101"/>
      <c r="K4462" s="226"/>
      <c r="L4462" s="226"/>
      <c r="M4462" s="101"/>
      <c r="N4462" s="101"/>
    </row>
    <row r="4463" spans="7:14" hidden="1" x14ac:dyDescent="0.3">
      <c r="G4463" s="101"/>
      <c r="H4463" s="101"/>
      <c r="I4463" s="101"/>
      <c r="K4463" s="226"/>
      <c r="L4463" s="226"/>
      <c r="M4463" s="101"/>
      <c r="N4463" s="101"/>
    </row>
    <row r="4464" spans="7:14" hidden="1" x14ac:dyDescent="0.3">
      <c r="G4464" s="101"/>
      <c r="H4464" s="101"/>
      <c r="I4464" s="101"/>
      <c r="K4464" s="226"/>
      <c r="L4464" s="226"/>
      <c r="M4464" s="101"/>
      <c r="N4464" s="101"/>
    </row>
    <row r="4465" spans="7:14" hidden="1" x14ac:dyDescent="0.3">
      <c r="G4465" s="101"/>
      <c r="H4465" s="101"/>
      <c r="I4465" s="101"/>
      <c r="K4465" s="226"/>
      <c r="L4465" s="226"/>
      <c r="M4465" s="101"/>
      <c r="N4465" s="101"/>
    </row>
    <row r="4466" spans="7:14" hidden="1" x14ac:dyDescent="0.3">
      <c r="G4466" s="101"/>
      <c r="H4466" s="101"/>
      <c r="I4466" s="101"/>
      <c r="K4466" s="226"/>
      <c r="L4466" s="226"/>
      <c r="M4466" s="101"/>
      <c r="N4466" s="101"/>
    </row>
    <row r="4467" spans="7:14" hidden="1" x14ac:dyDescent="0.3">
      <c r="G4467" s="101"/>
      <c r="H4467" s="101"/>
      <c r="I4467" s="101"/>
      <c r="K4467" s="226"/>
      <c r="L4467" s="226"/>
      <c r="M4467" s="101"/>
      <c r="N4467" s="101"/>
    </row>
    <row r="4468" spans="7:14" hidden="1" x14ac:dyDescent="0.3">
      <c r="G4468" s="101"/>
      <c r="H4468" s="101"/>
      <c r="I4468" s="101"/>
      <c r="K4468" s="226"/>
      <c r="L4468" s="226"/>
      <c r="M4468" s="101"/>
      <c r="N4468" s="101"/>
    </row>
    <row r="4469" spans="7:14" hidden="1" x14ac:dyDescent="0.3">
      <c r="G4469" s="101"/>
      <c r="H4469" s="101"/>
      <c r="I4469" s="101"/>
      <c r="K4469" s="226"/>
      <c r="L4469" s="226"/>
      <c r="M4469" s="101"/>
      <c r="N4469" s="101"/>
    </row>
    <row r="4470" spans="7:14" hidden="1" x14ac:dyDescent="0.3">
      <c r="G4470" s="101"/>
      <c r="H4470" s="101"/>
      <c r="I4470" s="101"/>
      <c r="K4470" s="226"/>
      <c r="L4470" s="226"/>
      <c r="M4470" s="101"/>
      <c r="N4470" s="101"/>
    </row>
    <row r="4471" spans="7:14" hidden="1" x14ac:dyDescent="0.3">
      <c r="G4471" s="101"/>
      <c r="H4471" s="101"/>
      <c r="I4471" s="101"/>
      <c r="K4471" s="226"/>
      <c r="L4471" s="226"/>
      <c r="M4471" s="101"/>
      <c r="N4471" s="101"/>
    </row>
    <row r="4472" spans="7:14" hidden="1" x14ac:dyDescent="0.3">
      <c r="G4472" s="101"/>
      <c r="H4472" s="101"/>
      <c r="I4472" s="101"/>
      <c r="K4472" s="226"/>
      <c r="L4472" s="226"/>
      <c r="M4472" s="101"/>
      <c r="N4472" s="101"/>
    </row>
    <row r="4473" spans="7:14" hidden="1" x14ac:dyDescent="0.3">
      <c r="G4473" s="101"/>
      <c r="H4473" s="101"/>
      <c r="I4473" s="101"/>
      <c r="K4473" s="226"/>
      <c r="L4473" s="226"/>
      <c r="M4473" s="101"/>
      <c r="N4473" s="101"/>
    </row>
    <row r="4474" spans="7:14" hidden="1" x14ac:dyDescent="0.3">
      <c r="G4474" s="101"/>
      <c r="H4474" s="101"/>
      <c r="I4474" s="101"/>
      <c r="K4474" s="226"/>
      <c r="L4474" s="226"/>
      <c r="M4474" s="101"/>
      <c r="N4474" s="101"/>
    </row>
    <row r="4475" spans="7:14" hidden="1" x14ac:dyDescent="0.3">
      <c r="G4475" s="101"/>
      <c r="H4475" s="101"/>
      <c r="I4475" s="101"/>
      <c r="K4475" s="226"/>
      <c r="L4475" s="226"/>
      <c r="M4475" s="101"/>
      <c r="N4475" s="101"/>
    </row>
    <row r="4476" spans="7:14" hidden="1" x14ac:dyDescent="0.3">
      <c r="G4476" s="101"/>
      <c r="H4476" s="101"/>
      <c r="I4476" s="101"/>
      <c r="K4476" s="226"/>
      <c r="L4476" s="226"/>
      <c r="M4476" s="101"/>
      <c r="N4476" s="101"/>
    </row>
    <row r="4477" spans="7:14" hidden="1" x14ac:dyDescent="0.3">
      <c r="G4477" s="101"/>
      <c r="H4477" s="101"/>
      <c r="I4477" s="101"/>
      <c r="K4477" s="226"/>
      <c r="L4477" s="226"/>
      <c r="M4477" s="101"/>
      <c r="N4477" s="101"/>
    </row>
    <row r="4478" spans="7:14" hidden="1" x14ac:dyDescent="0.3">
      <c r="G4478" s="101"/>
      <c r="H4478" s="101"/>
      <c r="I4478" s="101"/>
      <c r="K4478" s="226"/>
      <c r="L4478" s="226"/>
      <c r="M4478" s="101"/>
      <c r="N4478" s="101"/>
    </row>
    <row r="4479" spans="7:14" hidden="1" x14ac:dyDescent="0.3">
      <c r="G4479" s="101"/>
      <c r="H4479" s="101"/>
      <c r="I4479" s="101"/>
      <c r="K4479" s="226"/>
      <c r="L4479" s="226"/>
      <c r="M4479" s="101"/>
      <c r="N4479" s="101"/>
    </row>
    <row r="4480" spans="7:14" hidden="1" x14ac:dyDescent="0.3">
      <c r="G4480" s="101"/>
      <c r="H4480" s="101"/>
      <c r="I4480" s="101"/>
      <c r="K4480" s="226"/>
      <c r="L4480" s="226"/>
      <c r="M4480" s="101"/>
      <c r="N4480" s="101"/>
    </row>
    <row r="4481" spans="7:14" hidden="1" x14ac:dyDescent="0.3">
      <c r="G4481" s="101"/>
      <c r="H4481" s="101"/>
      <c r="I4481" s="101"/>
      <c r="K4481" s="226"/>
      <c r="L4481" s="226"/>
      <c r="M4481" s="101"/>
      <c r="N4481" s="101"/>
    </row>
    <row r="4482" spans="7:14" hidden="1" x14ac:dyDescent="0.3">
      <c r="G4482" s="101"/>
      <c r="H4482" s="101"/>
      <c r="I4482" s="101"/>
      <c r="K4482" s="226"/>
      <c r="L4482" s="226"/>
      <c r="M4482" s="101"/>
      <c r="N4482" s="101"/>
    </row>
    <row r="4483" spans="7:14" hidden="1" x14ac:dyDescent="0.3">
      <c r="G4483" s="101"/>
      <c r="H4483" s="101"/>
      <c r="I4483" s="101"/>
      <c r="K4483" s="226"/>
      <c r="L4483" s="226"/>
      <c r="M4483" s="101"/>
      <c r="N4483" s="101"/>
    </row>
    <row r="4484" spans="7:14" hidden="1" x14ac:dyDescent="0.3">
      <c r="G4484" s="101"/>
      <c r="H4484" s="101"/>
      <c r="I4484" s="101"/>
      <c r="K4484" s="226"/>
      <c r="L4484" s="226"/>
      <c r="M4484" s="101"/>
      <c r="N4484" s="101"/>
    </row>
    <row r="4485" spans="7:14" hidden="1" x14ac:dyDescent="0.3">
      <c r="G4485" s="101"/>
      <c r="H4485" s="101"/>
      <c r="I4485" s="101"/>
      <c r="K4485" s="226"/>
      <c r="L4485" s="226"/>
      <c r="M4485" s="101"/>
      <c r="N4485" s="101"/>
    </row>
    <row r="4486" spans="7:14" hidden="1" x14ac:dyDescent="0.3">
      <c r="G4486" s="101"/>
      <c r="H4486" s="101"/>
      <c r="I4486" s="101"/>
      <c r="K4486" s="226"/>
      <c r="L4486" s="226"/>
      <c r="M4486" s="101"/>
      <c r="N4486" s="101"/>
    </row>
    <row r="4487" spans="7:14" hidden="1" x14ac:dyDescent="0.3">
      <c r="G4487" s="101"/>
      <c r="H4487" s="101"/>
      <c r="I4487" s="101"/>
      <c r="K4487" s="226"/>
      <c r="L4487" s="226"/>
      <c r="M4487" s="101"/>
      <c r="N4487" s="101"/>
    </row>
    <row r="4488" spans="7:14" hidden="1" x14ac:dyDescent="0.3">
      <c r="G4488" s="101"/>
      <c r="H4488" s="101"/>
      <c r="I4488" s="101"/>
      <c r="K4488" s="226"/>
      <c r="L4488" s="226"/>
      <c r="M4488" s="101"/>
      <c r="N4488" s="101"/>
    </row>
    <row r="4489" spans="7:14" hidden="1" x14ac:dyDescent="0.3">
      <c r="G4489" s="101"/>
      <c r="H4489" s="101"/>
      <c r="I4489" s="101"/>
      <c r="K4489" s="226"/>
      <c r="L4489" s="226"/>
      <c r="M4489" s="101"/>
      <c r="N4489" s="101"/>
    </row>
    <row r="4490" spans="7:14" hidden="1" x14ac:dyDescent="0.3">
      <c r="G4490" s="101"/>
      <c r="H4490" s="101"/>
      <c r="I4490" s="101"/>
      <c r="K4490" s="226"/>
      <c r="L4490" s="226"/>
      <c r="M4490" s="101"/>
      <c r="N4490" s="101"/>
    </row>
    <row r="4491" spans="7:14" hidden="1" x14ac:dyDescent="0.3">
      <c r="G4491" s="101"/>
      <c r="H4491" s="101"/>
      <c r="I4491" s="101"/>
      <c r="K4491" s="226"/>
      <c r="L4491" s="226"/>
      <c r="M4491" s="101"/>
      <c r="N4491" s="101"/>
    </row>
    <row r="4492" spans="7:14" hidden="1" x14ac:dyDescent="0.3">
      <c r="G4492" s="101"/>
      <c r="H4492" s="101"/>
      <c r="I4492" s="101"/>
      <c r="K4492" s="226"/>
      <c r="L4492" s="226"/>
      <c r="M4492" s="101"/>
      <c r="N4492" s="101"/>
    </row>
    <row r="4493" spans="7:14" hidden="1" x14ac:dyDescent="0.3">
      <c r="G4493" s="101"/>
      <c r="H4493" s="101"/>
      <c r="I4493" s="101"/>
      <c r="K4493" s="226"/>
      <c r="L4493" s="226"/>
      <c r="M4493" s="101"/>
      <c r="N4493" s="101"/>
    </row>
    <row r="4494" spans="7:14" hidden="1" x14ac:dyDescent="0.3">
      <c r="G4494" s="101"/>
      <c r="H4494" s="101"/>
      <c r="I4494" s="101"/>
      <c r="K4494" s="226"/>
      <c r="L4494" s="226"/>
      <c r="M4494" s="101"/>
      <c r="N4494" s="101"/>
    </row>
    <row r="4495" spans="7:14" hidden="1" x14ac:dyDescent="0.3">
      <c r="G4495" s="101"/>
      <c r="H4495" s="101"/>
      <c r="I4495" s="101"/>
      <c r="K4495" s="226"/>
      <c r="L4495" s="226"/>
      <c r="M4495" s="101"/>
      <c r="N4495" s="101"/>
    </row>
    <row r="4496" spans="7:14" hidden="1" x14ac:dyDescent="0.3">
      <c r="G4496" s="101"/>
      <c r="H4496" s="101"/>
      <c r="I4496" s="101"/>
      <c r="K4496" s="226"/>
      <c r="L4496" s="226"/>
      <c r="M4496" s="101"/>
      <c r="N4496" s="101"/>
    </row>
    <row r="4497" spans="7:14" hidden="1" x14ac:dyDescent="0.3">
      <c r="G4497" s="101"/>
      <c r="H4497" s="101"/>
      <c r="I4497" s="101"/>
      <c r="K4497" s="226"/>
      <c r="L4497" s="226"/>
      <c r="M4497" s="101"/>
      <c r="N4497" s="101"/>
    </row>
    <row r="4498" spans="7:14" hidden="1" x14ac:dyDescent="0.3">
      <c r="G4498" s="101"/>
      <c r="H4498" s="101"/>
      <c r="I4498" s="101"/>
      <c r="K4498" s="226"/>
      <c r="L4498" s="226"/>
      <c r="M4498" s="101"/>
      <c r="N4498" s="101"/>
    </row>
    <row r="4499" spans="7:14" hidden="1" x14ac:dyDescent="0.3">
      <c r="G4499" s="101"/>
      <c r="H4499" s="101"/>
      <c r="I4499" s="101"/>
      <c r="K4499" s="226"/>
      <c r="L4499" s="226"/>
      <c r="M4499" s="101"/>
      <c r="N4499" s="101"/>
    </row>
    <row r="4500" spans="7:14" hidden="1" x14ac:dyDescent="0.3">
      <c r="G4500" s="101"/>
      <c r="H4500" s="101"/>
      <c r="I4500" s="101"/>
      <c r="K4500" s="226"/>
      <c r="L4500" s="226"/>
      <c r="M4500" s="101"/>
      <c r="N4500" s="101"/>
    </row>
    <row r="4501" spans="7:14" hidden="1" x14ac:dyDescent="0.3">
      <c r="G4501" s="101"/>
      <c r="H4501" s="101"/>
      <c r="I4501" s="101"/>
      <c r="K4501" s="226"/>
      <c r="L4501" s="226"/>
      <c r="M4501" s="101"/>
      <c r="N4501" s="101"/>
    </row>
    <row r="4502" spans="7:14" hidden="1" x14ac:dyDescent="0.3">
      <c r="G4502" s="101"/>
      <c r="H4502" s="101"/>
      <c r="I4502" s="101"/>
      <c r="K4502" s="226"/>
      <c r="L4502" s="226"/>
      <c r="M4502" s="101"/>
      <c r="N4502" s="101"/>
    </row>
    <row r="4503" spans="7:14" hidden="1" x14ac:dyDescent="0.3">
      <c r="G4503" s="101"/>
      <c r="H4503" s="101"/>
      <c r="I4503" s="101"/>
      <c r="K4503" s="226"/>
      <c r="L4503" s="226"/>
      <c r="M4503" s="101"/>
      <c r="N4503" s="101"/>
    </row>
    <row r="4504" spans="7:14" hidden="1" x14ac:dyDescent="0.3">
      <c r="G4504" s="101"/>
      <c r="H4504" s="101"/>
      <c r="I4504" s="101"/>
      <c r="K4504" s="226"/>
      <c r="L4504" s="226"/>
      <c r="M4504" s="101"/>
      <c r="N4504" s="101"/>
    </row>
    <row r="4505" spans="7:14" hidden="1" x14ac:dyDescent="0.3">
      <c r="G4505" s="101"/>
      <c r="H4505" s="101"/>
      <c r="I4505" s="101"/>
      <c r="K4505" s="226"/>
      <c r="L4505" s="226"/>
      <c r="M4505" s="101"/>
      <c r="N4505" s="101"/>
    </row>
    <row r="4506" spans="7:14" hidden="1" x14ac:dyDescent="0.3">
      <c r="G4506" s="101"/>
      <c r="H4506" s="101"/>
      <c r="I4506" s="101"/>
      <c r="K4506" s="226"/>
      <c r="L4506" s="226"/>
      <c r="M4506" s="101"/>
      <c r="N4506" s="101"/>
    </row>
    <row r="4507" spans="7:14" hidden="1" x14ac:dyDescent="0.3">
      <c r="G4507" s="101"/>
      <c r="H4507" s="101"/>
      <c r="I4507" s="101"/>
      <c r="K4507" s="226"/>
      <c r="L4507" s="226"/>
      <c r="M4507" s="101"/>
      <c r="N4507" s="101"/>
    </row>
    <row r="4508" spans="7:14" hidden="1" x14ac:dyDescent="0.3">
      <c r="G4508" s="101"/>
      <c r="H4508" s="101"/>
      <c r="I4508" s="101"/>
      <c r="K4508" s="226"/>
      <c r="L4508" s="226"/>
      <c r="M4508" s="101"/>
      <c r="N4508" s="101"/>
    </row>
    <row r="4509" spans="7:14" hidden="1" x14ac:dyDescent="0.3">
      <c r="G4509" s="101"/>
      <c r="H4509" s="101"/>
      <c r="I4509" s="101"/>
      <c r="K4509" s="226"/>
      <c r="L4509" s="226"/>
      <c r="M4509" s="101"/>
      <c r="N4509" s="101"/>
    </row>
    <row r="4510" spans="7:14" hidden="1" x14ac:dyDescent="0.3">
      <c r="G4510" s="101"/>
      <c r="H4510" s="101"/>
      <c r="I4510" s="101"/>
      <c r="K4510" s="226"/>
      <c r="L4510" s="226"/>
      <c r="M4510" s="101"/>
      <c r="N4510" s="101"/>
    </row>
    <row r="4511" spans="7:14" hidden="1" x14ac:dyDescent="0.3">
      <c r="G4511" s="101"/>
      <c r="H4511" s="101"/>
      <c r="I4511" s="101"/>
      <c r="K4511" s="226"/>
      <c r="L4511" s="226"/>
      <c r="M4511" s="101"/>
      <c r="N4511" s="101"/>
    </row>
    <row r="4512" spans="7:14" hidden="1" x14ac:dyDescent="0.3">
      <c r="G4512" s="101"/>
      <c r="H4512" s="101"/>
      <c r="I4512" s="101"/>
      <c r="K4512" s="226"/>
      <c r="L4512" s="226"/>
      <c r="M4512" s="101"/>
      <c r="N4512" s="101"/>
    </row>
    <row r="4513" spans="7:14" hidden="1" x14ac:dyDescent="0.3">
      <c r="G4513" s="101"/>
      <c r="H4513" s="101"/>
      <c r="I4513" s="101"/>
      <c r="K4513" s="226"/>
      <c r="L4513" s="226"/>
      <c r="M4513" s="101"/>
      <c r="N4513" s="101"/>
    </row>
    <row r="4514" spans="7:14" hidden="1" x14ac:dyDescent="0.3">
      <c r="G4514" s="101"/>
      <c r="H4514" s="101"/>
      <c r="I4514" s="101"/>
      <c r="K4514" s="226"/>
      <c r="L4514" s="226"/>
      <c r="M4514" s="101"/>
      <c r="N4514" s="101"/>
    </row>
    <row r="4515" spans="7:14" hidden="1" x14ac:dyDescent="0.3">
      <c r="G4515" s="101"/>
      <c r="H4515" s="101"/>
      <c r="I4515" s="101"/>
      <c r="K4515" s="226"/>
      <c r="L4515" s="226"/>
      <c r="M4515" s="101"/>
      <c r="N4515" s="101"/>
    </row>
    <row r="4516" spans="7:14" hidden="1" x14ac:dyDescent="0.3">
      <c r="G4516" s="101"/>
      <c r="H4516" s="101"/>
      <c r="I4516" s="101"/>
      <c r="K4516" s="226"/>
      <c r="L4516" s="226"/>
      <c r="M4516" s="101"/>
      <c r="N4516" s="101"/>
    </row>
    <row r="4517" spans="7:14" hidden="1" x14ac:dyDescent="0.3">
      <c r="G4517" s="101"/>
      <c r="H4517" s="101"/>
      <c r="I4517" s="101"/>
      <c r="K4517" s="226"/>
      <c r="L4517" s="226"/>
      <c r="M4517" s="101"/>
      <c r="N4517" s="101"/>
    </row>
    <row r="4518" spans="7:14" hidden="1" x14ac:dyDescent="0.3">
      <c r="G4518" s="101"/>
      <c r="H4518" s="101"/>
      <c r="I4518" s="101"/>
      <c r="K4518" s="226"/>
      <c r="L4518" s="226"/>
      <c r="M4518" s="101"/>
      <c r="N4518" s="101"/>
    </row>
    <row r="4519" spans="7:14" hidden="1" x14ac:dyDescent="0.3">
      <c r="G4519" s="101"/>
      <c r="H4519" s="101"/>
      <c r="I4519" s="101"/>
      <c r="K4519" s="226"/>
      <c r="L4519" s="226"/>
      <c r="M4519" s="101"/>
      <c r="N4519" s="101"/>
    </row>
    <row r="4520" spans="7:14" hidden="1" x14ac:dyDescent="0.3">
      <c r="G4520" s="101"/>
      <c r="H4520" s="101"/>
      <c r="I4520" s="101"/>
      <c r="K4520" s="226"/>
      <c r="L4520" s="226"/>
      <c r="M4520" s="101"/>
      <c r="N4520" s="101"/>
    </row>
    <row r="4521" spans="7:14" hidden="1" x14ac:dyDescent="0.3">
      <c r="G4521" s="101"/>
      <c r="H4521" s="101"/>
      <c r="I4521" s="101"/>
      <c r="K4521" s="226"/>
      <c r="L4521" s="226"/>
      <c r="M4521" s="101"/>
      <c r="N4521" s="101"/>
    </row>
    <row r="4522" spans="7:14" hidden="1" x14ac:dyDescent="0.3">
      <c r="G4522" s="101"/>
      <c r="H4522" s="101"/>
      <c r="I4522" s="101"/>
      <c r="K4522" s="226"/>
      <c r="L4522" s="226"/>
      <c r="M4522" s="101"/>
      <c r="N4522" s="101"/>
    </row>
    <row r="4523" spans="7:14" hidden="1" x14ac:dyDescent="0.3">
      <c r="G4523" s="101"/>
      <c r="H4523" s="101"/>
      <c r="I4523" s="101"/>
      <c r="K4523" s="226"/>
      <c r="L4523" s="226"/>
      <c r="M4523" s="101"/>
      <c r="N4523" s="101"/>
    </row>
    <row r="4524" spans="7:14" hidden="1" x14ac:dyDescent="0.3">
      <c r="G4524" s="101"/>
      <c r="H4524" s="101"/>
      <c r="I4524" s="101"/>
      <c r="K4524" s="226"/>
      <c r="L4524" s="226"/>
      <c r="M4524" s="101"/>
      <c r="N4524" s="101"/>
    </row>
    <row r="4525" spans="7:14" hidden="1" x14ac:dyDescent="0.3">
      <c r="G4525" s="101"/>
      <c r="H4525" s="101"/>
      <c r="I4525" s="101"/>
      <c r="K4525" s="226"/>
      <c r="L4525" s="226"/>
      <c r="M4525" s="101"/>
      <c r="N4525" s="101"/>
    </row>
    <row r="4526" spans="7:14" hidden="1" x14ac:dyDescent="0.3">
      <c r="G4526" s="101"/>
      <c r="H4526" s="101"/>
      <c r="I4526" s="101"/>
      <c r="K4526" s="226"/>
      <c r="L4526" s="226"/>
      <c r="M4526" s="101"/>
      <c r="N4526" s="101"/>
    </row>
    <row r="4527" spans="7:14" hidden="1" x14ac:dyDescent="0.3">
      <c r="G4527" s="101"/>
      <c r="H4527" s="101"/>
      <c r="I4527" s="101"/>
      <c r="K4527" s="226"/>
      <c r="L4527" s="226"/>
      <c r="M4527" s="101"/>
      <c r="N4527" s="101"/>
    </row>
    <row r="4528" spans="7:14" hidden="1" x14ac:dyDescent="0.3">
      <c r="G4528" s="101"/>
      <c r="H4528" s="101"/>
      <c r="I4528" s="101"/>
      <c r="K4528" s="226"/>
      <c r="L4528" s="226"/>
      <c r="M4528" s="101"/>
      <c r="N4528" s="101"/>
    </row>
    <row r="4529" spans="7:14" hidden="1" x14ac:dyDescent="0.3">
      <c r="G4529" s="101"/>
      <c r="H4529" s="101"/>
      <c r="I4529" s="101"/>
      <c r="K4529" s="226"/>
      <c r="L4529" s="226"/>
      <c r="M4529" s="101"/>
      <c r="N4529" s="101"/>
    </row>
    <row r="4530" spans="7:14" hidden="1" x14ac:dyDescent="0.3">
      <c r="G4530" s="101"/>
      <c r="H4530" s="101"/>
      <c r="I4530" s="101"/>
      <c r="K4530" s="226"/>
      <c r="L4530" s="226"/>
      <c r="M4530" s="101"/>
      <c r="N4530" s="101"/>
    </row>
    <row r="4531" spans="7:14" hidden="1" x14ac:dyDescent="0.3">
      <c r="G4531" s="101"/>
      <c r="H4531" s="101"/>
      <c r="I4531" s="101"/>
      <c r="K4531" s="226"/>
      <c r="L4531" s="226"/>
      <c r="M4531" s="101"/>
      <c r="N4531" s="101"/>
    </row>
    <row r="4532" spans="7:14" hidden="1" x14ac:dyDescent="0.3">
      <c r="G4532" s="101"/>
      <c r="H4532" s="101"/>
      <c r="I4532" s="101"/>
      <c r="K4532" s="226"/>
      <c r="L4532" s="226"/>
      <c r="M4532" s="101"/>
      <c r="N4532" s="101"/>
    </row>
    <row r="4533" spans="7:14" hidden="1" x14ac:dyDescent="0.3">
      <c r="G4533" s="101"/>
      <c r="H4533" s="101"/>
      <c r="I4533" s="101"/>
      <c r="K4533" s="226"/>
      <c r="L4533" s="226"/>
      <c r="M4533" s="101"/>
      <c r="N4533" s="101"/>
    </row>
    <row r="4534" spans="7:14" hidden="1" x14ac:dyDescent="0.3">
      <c r="G4534" s="101"/>
      <c r="H4534" s="101"/>
      <c r="I4534" s="101"/>
      <c r="K4534" s="226"/>
      <c r="L4534" s="226"/>
      <c r="M4534" s="101"/>
      <c r="N4534" s="101"/>
    </row>
    <row r="4535" spans="7:14" hidden="1" x14ac:dyDescent="0.3">
      <c r="G4535" s="101"/>
      <c r="H4535" s="101"/>
      <c r="I4535" s="101"/>
      <c r="K4535" s="226"/>
      <c r="L4535" s="226"/>
      <c r="M4535" s="101"/>
      <c r="N4535" s="101"/>
    </row>
    <row r="4536" spans="7:14" hidden="1" x14ac:dyDescent="0.3">
      <c r="G4536" s="101"/>
      <c r="H4536" s="101"/>
      <c r="I4536" s="101"/>
      <c r="K4536" s="226"/>
      <c r="L4536" s="226"/>
      <c r="M4536" s="101"/>
      <c r="N4536" s="101"/>
    </row>
    <row r="4537" spans="7:14" hidden="1" x14ac:dyDescent="0.3">
      <c r="G4537" s="101"/>
      <c r="H4537" s="101"/>
      <c r="I4537" s="101"/>
      <c r="K4537" s="226"/>
      <c r="L4537" s="226"/>
      <c r="M4537" s="101"/>
      <c r="N4537" s="101"/>
    </row>
    <row r="4538" spans="7:14" hidden="1" x14ac:dyDescent="0.3">
      <c r="G4538" s="101"/>
      <c r="H4538" s="101"/>
      <c r="I4538" s="101"/>
      <c r="K4538" s="226"/>
      <c r="L4538" s="226"/>
      <c r="M4538" s="101"/>
      <c r="N4538" s="101"/>
    </row>
    <row r="4539" spans="7:14" hidden="1" x14ac:dyDescent="0.3">
      <c r="G4539" s="101"/>
      <c r="H4539" s="101"/>
      <c r="I4539" s="101"/>
      <c r="K4539" s="226"/>
      <c r="L4539" s="226"/>
      <c r="M4539" s="101"/>
      <c r="N4539" s="101"/>
    </row>
    <row r="4540" spans="7:14" hidden="1" x14ac:dyDescent="0.3">
      <c r="G4540" s="101"/>
      <c r="H4540" s="101"/>
      <c r="I4540" s="101"/>
      <c r="K4540" s="226"/>
      <c r="L4540" s="226"/>
      <c r="M4540" s="101"/>
      <c r="N4540" s="101"/>
    </row>
    <row r="4541" spans="7:14" hidden="1" x14ac:dyDescent="0.3">
      <c r="G4541" s="101"/>
      <c r="H4541" s="101"/>
      <c r="I4541" s="101"/>
      <c r="K4541" s="226"/>
      <c r="L4541" s="226"/>
      <c r="M4541" s="101"/>
      <c r="N4541" s="101"/>
    </row>
    <row r="4542" spans="7:14" hidden="1" x14ac:dyDescent="0.3">
      <c r="G4542" s="101"/>
      <c r="H4542" s="101"/>
      <c r="I4542" s="101"/>
      <c r="K4542" s="226"/>
      <c r="L4542" s="226"/>
      <c r="M4542" s="101"/>
      <c r="N4542" s="101"/>
    </row>
    <row r="4543" spans="7:14" hidden="1" x14ac:dyDescent="0.3">
      <c r="G4543" s="101"/>
      <c r="H4543" s="101"/>
      <c r="I4543" s="101"/>
      <c r="K4543" s="226"/>
      <c r="L4543" s="226"/>
      <c r="M4543" s="101"/>
      <c r="N4543" s="101"/>
    </row>
    <row r="4544" spans="7:14" hidden="1" x14ac:dyDescent="0.3">
      <c r="G4544" s="101"/>
      <c r="H4544" s="101"/>
      <c r="I4544" s="101"/>
      <c r="K4544" s="226"/>
      <c r="L4544" s="226"/>
      <c r="M4544" s="101"/>
      <c r="N4544" s="101"/>
    </row>
    <row r="4545" spans="7:14" hidden="1" x14ac:dyDescent="0.3">
      <c r="G4545" s="101"/>
      <c r="H4545" s="101"/>
      <c r="I4545" s="101"/>
      <c r="K4545" s="226"/>
      <c r="L4545" s="226"/>
      <c r="M4545" s="101"/>
      <c r="N4545" s="101"/>
    </row>
    <row r="4546" spans="7:14" hidden="1" x14ac:dyDescent="0.3">
      <c r="G4546" s="101"/>
      <c r="H4546" s="101"/>
      <c r="I4546" s="101"/>
      <c r="K4546" s="226"/>
      <c r="L4546" s="226"/>
      <c r="M4546" s="101"/>
      <c r="N4546" s="101"/>
    </row>
    <row r="4547" spans="7:14" hidden="1" x14ac:dyDescent="0.3">
      <c r="G4547" s="101"/>
      <c r="H4547" s="101"/>
      <c r="I4547" s="101"/>
      <c r="K4547" s="226"/>
      <c r="L4547" s="226"/>
      <c r="M4547" s="101"/>
      <c r="N4547" s="101"/>
    </row>
    <row r="4548" spans="7:14" hidden="1" x14ac:dyDescent="0.3">
      <c r="G4548" s="101"/>
      <c r="H4548" s="101"/>
      <c r="I4548" s="101"/>
      <c r="K4548" s="226"/>
      <c r="L4548" s="226"/>
      <c r="M4548" s="101"/>
      <c r="N4548" s="101"/>
    </row>
    <row r="4549" spans="7:14" hidden="1" x14ac:dyDescent="0.3">
      <c r="G4549" s="101"/>
      <c r="H4549" s="101"/>
      <c r="I4549" s="101"/>
      <c r="K4549" s="226"/>
      <c r="L4549" s="226"/>
      <c r="M4549" s="101"/>
      <c r="N4549" s="101"/>
    </row>
    <row r="4550" spans="7:14" hidden="1" x14ac:dyDescent="0.3">
      <c r="G4550" s="101"/>
      <c r="H4550" s="101"/>
      <c r="I4550" s="101"/>
      <c r="K4550" s="226"/>
      <c r="L4550" s="226"/>
      <c r="M4550" s="101"/>
      <c r="N4550" s="101"/>
    </row>
    <row r="4551" spans="7:14" hidden="1" x14ac:dyDescent="0.3">
      <c r="G4551" s="101"/>
      <c r="H4551" s="101"/>
      <c r="I4551" s="101"/>
      <c r="K4551" s="226"/>
      <c r="L4551" s="226"/>
      <c r="M4551" s="101"/>
      <c r="N4551" s="101"/>
    </row>
    <row r="4552" spans="7:14" hidden="1" x14ac:dyDescent="0.3">
      <c r="G4552" s="101"/>
      <c r="H4552" s="101"/>
      <c r="I4552" s="101"/>
      <c r="K4552" s="226"/>
      <c r="L4552" s="226"/>
      <c r="M4552" s="101"/>
      <c r="N4552" s="101"/>
    </row>
    <row r="4553" spans="7:14" hidden="1" x14ac:dyDescent="0.3">
      <c r="G4553" s="101"/>
      <c r="H4553" s="101"/>
      <c r="I4553" s="101"/>
      <c r="K4553" s="226"/>
      <c r="L4553" s="226"/>
      <c r="M4553" s="101"/>
      <c r="N4553" s="101"/>
    </row>
    <row r="4554" spans="7:14" hidden="1" x14ac:dyDescent="0.3">
      <c r="G4554" s="101"/>
      <c r="H4554" s="101"/>
      <c r="I4554" s="101"/>
      <c r="K4554" s="226"/>
      <c r="L4554" s="226"/>
      <c r="M4554" s="101"/>
      <c r="N4554" s="101"/>
    </row>
    <row r="4555" spans="7:14" hidden="1" x14ac:dyDescent="0.3">
      <c r="G4555" s="101"/>
      <c r="H4555" s="101"/>
      <c r="I4555" s="101"/>
      <c r="K4555" s="226"/>
      <c r="L4555" s="226"/>
      <c r="M4555" s="101"/>
      <c r="N4555" s="101"/>
    </row>
    <row r="4556" spans="7:14" hidden="1" x14ac:dyDescent="0.3">
      <c r="G4556" s="101"/>
      <c r="H4556" s="101"/>
      <c r="I4556" s="101"/>
      <c r="K4556" s="226"/>
      <c r="L4556" s="226"/>
      <c r="M4556" s="101"/>
      <c r="N4556" s="101"/>
    </row>
    <row r="4557" spans="7:14" hidden="1" x14ac:dyDescent="0.3">
      <c r="G4557" s="101"/>
      <c r="H4557" s="101"/>
      <c r="I4557" s="101"/>
      <c r="K4557" s="226"/>
      <c r="L4557" s="226"/>
      <c r="M4557" s="101"/>
      <c r="N4557" s="101"/>
    </row>
    <row r="4558" spans="7:14" hidden="1" x14ac:dyDescent="0.3">
      <c r="G4558" s="101"/>
      <c r="H4558" s="101"/>
      <c r="I4558" s="101"/>
      <c r="K4558" s="226"/>
      <c r="L4558" s="226"/>
      <c r="M4558" s="101"/>
      <c r="N4558" s="101"/>
    </row>
    <row r="4559" spans="7:14" hidden="1" x14ac:dyDescent="0.3">
      <c r="G4559" s="101"/>
      <c r="H4559" s="101"/>
      <c r="I4559" s="101"/>
      <c r="K4559" s="226"/>
      <c r="L4559" s="226"/>
      <c r="M4559" s="101"/>
      <c r="N4559" s="101"/>
    </row>
    <row r="4560" spans="7:14" hidden="1" x14ac:dyDescent="0.3">
      <c r="G4560" s="101"/>
      <c r="H4560" s="101"/>
      <c r="I4560" s="101"/>
      <c r="K4560" s="226"/>
      <c r="L4560" s="226"/>
      <c r="M4560" s="101"/>
      <c r="N4560" s="101"/>
    </row>
    <row r="4561" spans="7:14" hidden="1" x14ac:dyDescent="0.3">
      <c r="G4561" s="101"/>
      <c r="H4561" s="101"/>
      <c r="I4561" s="101"/>
      <c r="K4561" s="226"/>
      <c r="L4561" s="226"/>
      <c r="M4561" s="101"/>
      <c r="N4561" s="101"/>
    </row>
    <row r="4562" spans="7:14" hidden="1" x14ac:dyDescent="0.3">
      <c r="G4562" s="101"/>
      <c r="H4562" s="101"/>
      <c r="I4562" s="101"/>
      <c r="K4562" s="226"/>
      <c r="L4562" s="226"/>
      <c r="M4562" s="101"/>
      <c r="N4562" s="101"/>
    </row>
    <row r="4563" spans="7:14" hidden="1" x14ac:dyDescent="0.3">
      <c r="G4563" s="101"/>
      <c r="H4563" s="101"/>
      <c r="I4563" s="101"/>
      <c r="K4563" s="226"/>
      <c r="L4563" s="226"/>
      <c r="M4563" s="101"/>
      <c r="N4563" s="101"/>
    </row>
    <row r="4564" spans="7:14" hidden="1" x14ac:dyDescent="0.3">
      <c r="G4564" s="101"/>
      <c r="H4564" s="101"/>
      <c r="I4564" s="101"/>
      <c r="K4564" s="226"/>
      <c r="L4564" s="226"/>
      <c r="M4564" s="101"/>
      <c r="N4564" s="101"/>
    </row>
    <row r="4565" spans="7:14" hidden="1" x14ac:dyDescent="0.3">
      <c r="G4565" s="101"/>
      <c r="H4565" s="101"/>
      <c r="I4565" s="101"/>
      <c r="K4565" s="226"/>
      <c r="L4565" s="226"/>
      <c r="M4565" s="101"/>
      <c r="N4565" s="101"/>
    </row>
    <row r="4566" spans="7:14" hidden="1" x14ac:dyDescent="0.3">
      <c r="G4566" s="101"/>
      <c r="H4566" s="101"/>
      <c r="I4566" s="101"/>
      <c r="K4566" s="226"/>
      <c r="L4566" s="226"/>
      <c r="M4566" s="101"/>
      <c r="N4566" s="101"/>
    </row>
    <row r="4567" spans="7:14" hidden="1" x14ac:dyDescent="0.3">
      <c r="G4567" s="101"/>
      <c r="H4567" s="101"/>
      <c r="I4567" s="101"/>
      <c r="K4567" s="226"/>
      <c r="L4567" s="226"/>
      <c r="M4567" s="101"/>
      <c r="N4567" s="101"/>
    </row>
    <row r="4568" spans="7:14" hidden="1" x14ac:dyDescent="0.3">
      <c r="G4568" s="101"/>
      <c r="H4568" s="101"/>
      <c r="I4568" s="101"/>
      <c r="K4568" s="226"/>
      <c r="L4568" s="226"/>
      <c r="M4568" s="101"/>
      <c r="N4568" s="101"/>
    </row>
    <row r="4569" spans="7:14" hidden="1" x14ac:dyDescent="0.3">
      <c r="G4569" s="101"/>
      <c r="H4569" s="101"/>
      <c r="I4569" s="101"/>
      <c r="K4569" s="226"/>
      <c r="L4569" s="226"/>
      <c r="M4569" s="101"/>
      <c r="N4569" s="101"/>
    </row>
    <row r="4570" spans="7:14" hidden="1" x14ac:dyDescent="0.3">
      <c r="G4570" s="101"/>
      <c r="H4570" s="101"/>
      <c r="I4570" s="101"/>
      <c r="K4570" s="226"/>
      <c r="L4570" s="226"/>
      <c r="M4570" s="101"/>
      <c r="N4570" s="101"/>
    </row>
    <row r="4571" spans="7:14" hidden="1" x14ac:dyDescent="0.3">
      <c r="G4571" s="101"/>
      <c r="H4571" s="101"/>
      <c r="I4571" s="101"/>
      <c r="K4571" s="226"/>
      <c r="L4571" s="226"/>
      <c r="M4571" s="101"/>
      <c r="N4571" s="101"/>
    </row>
    <row r="4572" spans="7:14" hidden="1" x14ac:dyDescent="0.3">
      <c r="G4572" s="101"/>
      <c r="H4572" s="101"/>
      <c r="I4572" s="101"/>
      <c r="K4572" s="226"/>
      <c r="L4572" s="226"/>
      <c r="M4572" s="101"/>
      <c r="N4572" s="101"/>
    </row>
    <row r="4573" spans="7:14" hidden="1" x14ac:dyDescent="0.3">
      <c r="G4573" s="101"/>
      <c r="H4573" s="101"/>
      <c r="I4573" s="101"/>
      <c r="K4573" s="226"/>
      <c r="L4573" s="226"/>
      <c r="M4573" s="101"/>
      <c r="N4573" s="101"/>
    </row>
    <row r="4574" spans="7:14" hidden="1" x14ac:dyDescent="0.3">
      <c r="G4574" s="101"/>
      <c r="H4574" s="101"/>
      <c r="I4574" s="101"/>
      <c r="K4574" s="226"/>
      <c r="L4574" s="226"/>
      <c r="M4574" s="101"/>
      <c r="N4574" s="101"/>
    </row>
    <row r="4575" spans="7:14" hidden="1" x14ac:dyDescent="0.3">
      <c r="G4575" s="101"/>
      <c r="H4575" s="101"/>
      <c r="I4575" s="101"/>
      <c r="K4575" s="226"/>
      <c r="L4575" s="226"/>
      <c r="M4575" s="101"/>
      <c r="N4575" s="101"/>
    </row>
    <row r="4576" spans="7:14" hidden="1" x14ac:dyDescent="0.3">
      <c r="G4576" s="101"/>
      <c r="H4576" s="101"/>
      <c r="I4576" s="101"/>
      <c r="K4576" s="226"/>
      <c r="L4576" s="226"/>
      <c r="M4576" s="101"/>
      <c r="N4576" s="101"/>
    </row>
    <row r="4577" spans="7:14" hidden="1" x14ac:dyDescent="0.3">
      <c r="G4577" s="101"/>
      <c r="H4577" s="101"/>
      <c r="I4577" s="101"/>
      <c r="K4577" s="226"/>
      <c r="L4577" s="226"/>
      <c r="M4577" s="101"/>
      <c r="N4577" s="101"/>
    </row>
    <row r="4578" spans="7:14" hidden="1" x14ac:dyDescent="0.3">
      <c r="G4578" s="101"/>
      <c r="H4578" s="101"/>
      <c r="I4578" s="101"/>
      <c r="K4578" s="226"/>
      <c r="L4578" s="226"/>
      <c r="M4578" s="101"/>
      <c r="N4578" s="101"/>
    </row>
    <row r="4579" spans="7:14" hidden="1" x14ac:dyDescent="0.3">
      <c r="G4579" s="101"/>
      <c r="H4579" s="101"/>
      <c r="I4579" s="101"/>
      <c r="K4579" s="226"/>
      <c r="L4579" s="226"/>
      <c r="M4579" s="101"/>
      <c r="N4579" s="101"/>
    </row>
    <row r="4580" spans="7:14" hidden="1" x14ac:dyDescent="0.3">
      <c r="G4580" s="101"/>
      <c r="H4580" s="101"/>
      <c r="I4580" s="101"/>
      <c r="K4580" s="226"/>
      <c r="L4580" s="226"/>
      <c r="M4580" s="101"/>
      <c r="N4580" s="101"/>
    </row>
    <row r="4581" spans="7:14" hidden="1" x14ac:dyDescent="0.3">
      <c r="G4581" s="101"/>
      <c r="H4581" s="101"/>
      <c r="I4581" s="101"/>
      <c r="K4581" s="226"/>
      <c r="L4581" s="226"/>
      <c r="M4581" s="101"/>
      <c r="N4581" s="101"/>
    </row>
    <row r="4582" spans="7:14" hidden="1" x14ac:dyDescent="0.3">
      <c r="G4582" s="101"/>
      <c r="H4582" s="101"/>
      <c r="I4582" s="101"/>
      <c r="K4582" s="226"/>
      <c r="L4582" s="226"/>
      <c r="M4582" s="101"/>
      <c r="N4582" s="101"/>
    </row>
    <row r="4583" spans="7:14" hidden="1" x14ac:dyDescent="0.3">
      <c r="G4583" s="101"/>
      <c r="H4583" s="101"/>
      <c r="I4583" s="101"/>
      <c r="K4583" s="226"/>
      <c r="L4583" s="226"/>
      <c r="M4583" s="101"/>
      <c r="N4583" s="101"/>
    </row>
    <row r="4584" spans="7:14" hidden="1" x14ac:dyDescent="0.3">
      <c r="G4584" s="101"/>
      <c r="H4584" s="101"/>
      <c r="I4584" s="101"/>
      <c r="K4584" s="226"/>
      <c r="L4584" s="226"/>
      <c r="M4584" s="101"/>
      <c r="N4584" s="101"/>
    </row>
    <row r="4585" spans="7:14" hidden="1" x14ac:dyDescent="0.3">
      <c r="G4585" s="101"/>
      <c r="H4585" s="101"/>
      <c r="I4585" s="101"/>
      <c r="K4585" s="226"/>
      <c r="L4585" s="226"/>
      <c r="M4585" s="101"/>
      <c r="N4585" s="101"/>
    </row>
    <row r="4586" spans="7:14" hidden="1" x14ac:dyDescent="0.3">
      <c r="G4586" s="101"/>
      <c r="H4586" s="101"/>
      <c r="I4586" s="101"/>
      <c r="K4586" s="226"/>
      <c r="L4586" s="226"/>
      <c r="M4586" s="101"/>
      <c r="N4586" s="101"/>
    </row>
    <row r="4587" spans="7:14" hidden="1" x14ac:dyDescent="0.3">
      <c r="G4587" s="101"/>
      <c r="H4587" s="101"/>
      <c r="I4587" s="101"/>
      <c r="K4587" s="226"/>
      <c r="L4587" s="226"/>
      <c r="M4587" s="101"/>
      <c r="N4587" s="101"/>
    </row>
    <row r="4588" spans="7:14" hidden="1" x14ac:dyDescent="0.3">
      <c r="G4588" s="101"/>
      <c r="H4588" s="101"/>
      <c r="I4588" s="101"/>
      <c r="K4588" s="226"/>
      <c r="L4588" s="226"/>
      <c r="M4588" s="101"/>
      <c r="N4588" s="101"/>
    </row>
    <row r="4589" spans="7:14" hidden="1" x14ac:dyDescent="0.3">
      <c r="G4589" s="101"/>
      <c r="H4589" s="101"/>
      <c r="I4589" s="101"/>
      <c r="K4589" s="226"/>
      <c r="L4589" s="226"/>
      <c r="M4589" s="101"/>
      <c r="N4589" s="101"/>
    </row>
    <row r="4590" spans="7:14" hidden="1" x14ac:dyDescent="0.3">
      <c r="G4590" s="101"/>
      <c r="H4590" s="101"/>
      <c r="I4590" s="101"/>
      <c r="K4590" s="226"/>
      <c r="L4590" s="226"/>
      <c r="M4590" s="101"/>
      <c r="N4590" s="101"/>
    </row>
    <row r="4591" spans="7:14" hidden="1" x14ac:dyDescent="0.3">
      <c r="G4591" s="101"/>
      <c r="H4591" s="101"/>
      <c r="I4591" s="101"/>
      <c r="K4591" s="226"/>
      <c r="L4591" s="226"/>
      <c r="M4591" s="101"/>
      <c r="N4591" s="101"/>
    </row>
    <row r="4592" spans="7:14" hidden="1" x14ac:dyDescent="0.3">
      <c r="G4592" s="101"/>
      <c r="H4592" s="101"/>
      <c r="I4592" s="101"/>
      <c r="K4592" s="226"/>
      <c r="L4592" s="226"/>
      <c r="M4592" s="101"/>
      <c r="N4592" s="101"/>
    </row>
    <row r="4593" spans="7:14" hidden="1" x14ac:dyDescent="0.3">
      <c r="G4593" s="101"/>
      <c r="H4593" s="101"/>
      <c r="I4593" s="101"/>
      <c r="K4593" s="226"/>
      <c r="L4593" s="226"/>
      <c r="M4593" s="101"/>
      <c r="N4593" s="101"/>
    </row>
    <row r="4594" spans="7:14" hidden="1" x14ac:dyDescent="0.3">
      <c r="G4594" s="101"/>
      <c r="H4594" s="101"/>
      <c r="I4594" s="101"/>
      <c r="K4594" s="226"/>
      <c r="L4594" s="226"/>
      <c r="M4594" s="101"/>
      <c r="N4594" s="101"/>
    </row>
    <row r="4595" spans="7:14" hidden="1" x14ac:dyDescent="0.3">
      <c r="G4595" s="101"/>
      <c r="H4595" s="101"/>
      <c r="I4595" s="101"/>
      <c r="K4595" s="226"/>
      <c r="L4595" s="226"/>
      <c r="M4595" s="101"/>
      <c r="N4595" s="101"/>
    </row>
    <row r="4596" spans="7:14" hidden="1" x14ac:dyDescent="0.3">
      <c r="G4596" s="101"/>
      <c r="H4596" s="101"/>
      <c r="I4596" s="101"/>
      <c r="K4596" s="226"/>
      <c r="L4596" s="226"/>
      <c r="M4596" s="101"/>
      <c r="N4596" s="101"/>
    </row>
    <row r="4597" spans="7:14" hidden="1" x14ac:dyDescent="0.3">
      <c r="G4597" s="101"/>
      <c r="H4597" s="101"/>
      <c r="I4597" s="101"/>
      <c r="K4597" s="226"/>
      <c r="L4597" s="226"/>
      <c r="M4597" s="101"/>
      <c r="N4597" s="101"/>
    </row>
    <row r="4598" spans="7:14" hidden="1" x14ac:dyDescent="0.3">
      <c r="G4598" s="101"/>
      <c r="H4598" s="101"/>
      <c r="I4598" s="101"/>
      <c r="K4598" s="226"/>
      <c r="L4598" s="226"/>
      <c r="M4598" s="101"/>
      <c r="N4598" s="101"/>
    </row>
    <row r="4599" spans="7:14" hidden="1" x14ac:dyDescent="0.3">
      <c r="G4599" s="101"/>
      <c r="H4599" s="101"/>
      <c r="I4599" s="101"/>
      <c r="K4599" s="226"/>
      <c r="L4599" s="226"/>
      <c r="M4599" s="101"/>
      <c r="N4599" s="101"/>
    </row>
    <row r="4600" spans="7:14" hidden="1" x14ac:dyDescent="0.3">
      <c r="G4600" s="101"/>
      <c r="H4600" s="101"/>
      <c r="I4600" s="101"/>
      <c r="K4600" s="226"/>
      <c r="L4600" s="226"/>
      <c r="M4600" s="101"/>
      <c r="N4600" s="101"/>
    </row>
    <row r="4601" spans="7:14" hidden="1" x14ac:dyDescent="0.3">
      <c r="G4601" s="101"/>
      <c r="H4601" s="101"/>
      <c r="I4601" s="101"/>
      <c r="K4601" s="226"/>
      <c r="L4601" s="226"/>
      <c r="M4601" s="101"/>
      <c r="N4601" s="101"/>
    </row>
    <row r="4602" spans="7:14" hidden="1" x14ac:dyDescent="0.3">
      <c r="G4602" s="101"/>
      <c r="H4602" s="101"/>
      <c r="I4602" s="101"/>
      <c r="K4602" s="226"/>
      <c r="L4602" s="226"/>
      <c r="M4602" s="101"/>
      <c r="N4602" s="101"/>
    </row>
    <row r="4603" spans="7:14" hidden="1" x14ac:dyDescent="0.3">
      <c r="G4603" s="101"/>
      <c r="H4603" s="101"/>
      <c r="I4603" s="101"/>
      <c r="K4603" s="226"/>
      <c r="L4603" s="226"/>
      <c r="M4603" s="101"/>
      <c r="N4603" s="101"/>
    </row>
    <row r="4604" spans="7:14" hidden="1" x14ac:dyDescent="0.3">
      <c r="G4604" s="101"/>
      <c r="H4604" s="101"/>
      <c r="I4604" s="101"/>
      <c r="K4604" s="226"/>
      <c r="L4604" s="226"/>
      <c r="M4604" s="101"/>
      <c r="N4604" s="101"/>
    </row>
    <row r="4605" spans="7:14" hidden="1" x14ac:dyDescent="0.3">
      <c r="G4605" s="101"/>
      <c r="H4605" s="101"/>
      <c r="I4605" s="101"/>
      <c r="K4605" s="226"/>
      <c r="L4605" s="226"/>
      <c r="M4605" s="101"/>
      <c r="N4605" s="101"/>
    </row>
    <row r="4606" spans="7:14" hidden="1" x14ac:dyDescent="0.3">
      <c r="G4606" s="101"/>
      <c r="H4606" s="101"/>
      <c r="I4606" s="101"/>
      <c r="K4606" s="226"/>
      <c r="L4606" s="226"/>
      <c r="M4606" s="101"/>
      <c r="N4606" s="101"/>
    </row>
    <row r="4607" spans="7:14" hidden="1" x14ac:dyDescent="0.3">
      <c r="G4607" s="101"/>
      <c r="H4607" s="101"/>
      <c r="I4607" s="101"/>
      <c r="K4607" s="226"/>
      <c r="L4607" s="226"/>
      <c r="M4607" s="101"/>
      <c r="N4607" s="101"/>
    </row>
    <row r="4608" spans="7:14" hidden="1" x14ac:dyDescent="0.3">
      <c r="G4608" s="101"/>
      <c r="H4608" s="101"/>
      <c r="I4608" s="101"/>
      <c r="K4608" s="226"/>
      <c r="L4608" s="226"/>
      <c r="M4608" s="101"/>
      <c r="N4608" s="101"/>
    </row>
    <row r="4609" spans="7:14" hidden="1" x14ac:dyDescent="0.3">
      <c r="G4609" s="101"/>
      <c r="H4609" s="101"/>
      <c r="I4609" s="101"/>
      <c r="K4609" s="226"/>
      <c r="L4609" s="226"/>
      <c r="M4609" s="101"/>
      <c r="N4609" s="101"/>
    </row>
    <row r="4610" spans="7:14" hidden="1" x14ac:dyDescent="0.3">
      <c r="G4610" s="101"/>
      <c r="H4610" s="101"/>
      <c r="I4610" s="101"/>
      <c r="K4610" s="226"/>
      <c r="L4610" s="226"/>
      <c r="M4610" s="101"/>
      <c r="N4610" s="101"/>
    </row>
    <row r="4611" spans="7:14" hidden="1" x14ac:dyDescent="0.3">
      <c r="G4611" s="101"/>
      <c r="H4611" s="101"/>
      <c r="I4611" s="101"/>
      <c r="K4611" s="226"/>
      <c r="L4611" s="226"/>
      <c r="M4611" s="101"/>
      <c r="N4611" s="101"/>
    </row>
    <row r="4612" spans="7:14" hidden="1" x14ac:dyDescent="0.3">
      <c r="G4612" s="101"/>
      <c r="H4612" s="101"/>
      <c r="I4612" s="101"/>
      <c r="K4612" s="226"/>
      <c r="L4612" s="226"/>
      <c r="M4612" s="101"/>
      <c r="N4612" s="101"/>
    </row>
    <row r="4613" spans="7:14" hidden="1" x14ac:dyDescent="0.3">
      <c r="G4613" s="101"/>
      <c r="H4613" s="101"/>
      <c r="I4613" s="101"/>
      <c r="K4613" s="226"/>
      <c r="L4613" s="226"/>
      <c r="M4613" s="101"/>
      <c r="N4613" s="101"/>
    </row>
    <row r="4614" spans="7:14" hidden="1" x14ac:dyDescent="0.3">
      <c r="G4614" s="101"/>
      <c r="H4614" s="101"/>
      <c r="I4614" s="101"/>
      <c r="K4614" s="226"/>
      <c r="L4614" s="226"/>
      <c r="M4614" s="101"/>
      <c r="N4614" s="101"/>
    </row>
    <row r="4615" spans="7:14" hidden="1" x14ac:dyDescent="0.3">
      <c r="G4615" s="101"/>
      <c r="H4615" s="101"/>
      <c r="I4615" s="101"/>
      <c r="K4615" s="226"/>
      <c r="L4615" s="226"/>
      <c r="M4615" s="101"/>
      <c r="N4615" s="101"/>
    </row>
    <row r="4616" spans="7:14" hidden="1" x14ac:dyDescent="0.3">
      <c r="G4616" s="101"/>
      <c r="H4616" s="101"/>
      <c r="I4616" s="101"/>
      <c r="K4616" s="226"/>
      <c r="L4616" s="226"/>
      <c r="M4616" s="101"/>
      <c r="N4616" s="101"/>
    </row>
    <row r="4617" spans="7:14" hidden="1" x14ac:dyDescent="0.3">
      <c r="G4617" s="101"/>
      <c r="H4617" s="101"/>
      <c r="I4617" s="101"/>
      <c r="K4617" s="226"/>
      <c r="L4617" s="226"/>
      <c r="M4617" s="101"/>
      <c r="N4617" s="101"/>
    </row>
    <row r="4618" spans="7:14" hidden="1" x14ac:dyDescent="0.3">
      <c r="G4618" s="101"/>
      <c r="H4618" s="101"/>
      <c r="I4618" s="101"/>
      <c r="K4618" s="226"/>
      <c r="L4618" s="226"/>
      <c r="M4618" s="101"/>
      <c r="N4618" s="101"/>
    </row>
    <row r="4619" spans="7:14" hidden="1" x14ac:dyDescent="0.3">
      <c r="G4619" s="101"/>
      <c r="H4619" s="101"/>
      <c r="I4619" s="101"/>
      <c r="K4619" s="226"/>
      <c r="L4619" s="226"/>
      <c r="M4619" s="101"/>
      <c r="N4619" s="101"/>
    </row>
    <row r="4620" spans="7:14" hidden="1" x14ac:dyDescent="0.3">
      <c r="G4620" s="101"/>
      <c r="H4620" s="101"/>
      <c r="I4620" s="101"/>
      <c r="K4620" s="226"/>
      <c r="L4620" s="226"/>
      <c r="M4620" s="101"/>
      <c r="N4620" s="101"/>
    </row>
    <row r="4621" spans="7:14" hidden="1" x14ac:dyDescent="0.3">
      <c r="G4621" s="101"/>
      <c r="H4621" s="101"/>
      <c r="I4621" s="101"/>
      <c r="K4621" s="226"/>
      <c r="L4621" s="226"/>
      <c r="M4621" s="101"/>
      <c r="N4621" s="101"/>
    </row>
    <row r="4622" spans="7:14" hidden="1" x14ac:dyDescent="0.3">
      <c r="G4622" s="101"/>
      <c r="H4622" s="101"/>
      <c r="I4622" s="101"/>
      <c r="K4622" s="226"/>
      <c r="L4622" s="226"/>
      <c r="M4622" s="101"/>
      <c r="N4622" s="101"/>
    </row>
    <row r="4623" spans="7:14" hidden="1" x14ac:dyDescent="0.3">
      <c r="G4623" s="101"/>
      <c r="H4623" s="101"/>
      <c r="I4623" s="101"/>
      <c r="K4623" s="226"/>
      <c r="L4623" s="226"/>
      <c r="M4623" s="101"/>
      <c r="N4623" s="101"/>
    </row>
    <row r="4624" spans="7:14" hidden="1" x14ac:dyDescent="0.3">
      <c r="G4624" s="101"/>
      <c r="H4624" s="101"/>
      <c r="I4624" s="101"/>
      <c r="K4624" s="226"/>
      <c r="L4624" s="226"/>
      <c r="M4624" s="101"/>
      <c r="N4624" s="101"/>
    </row>
    <row r="4625" spans="7:14" hidden="1" x14ac:dyDescent="0.3">
      <c r="G4625" s="101"/>
      <c r="H4625" s="101"/>
      <c r="I4625" s="101"/>
      <c r="K4625" s="226"/>
      <c r="L4625" s="226"/>
      <c r="M4625" s="101"/>
      <c r="N4625" s="101"/>
    </row>
    <row r="4626" spans="7:14" hidden="1" x14ac:dyDescent="0.3">
      <c r="G4626" s="101"/>
      <c r="H4626" s="101"/>
      <c r="I4626" s="101"/>
      <c r="K4626" s="226"/>
      <c r="L4626" s="226"/>
      <c r="M4626" s="101"/>
      <c r="N4626" s="101"/>
    </row>
    <row r="4627" spans="7:14" hidden="1" x14ac:dyDescent="0.3">
      <c r="G4627" s="101"/>
      <c r="H4627" s="101"/>
      <c r="I4627" s="101"/>
      <c r="K4627" s="226"/>
      <c r="L4627" s="226"/>
      <c r="M4627" s="101"/>
      <c r="N4627" s="101"/>
    </row>
    <row r="4628" spans="7:14" hidden="1" x14ac:dyDescent="0.3">
      <c r="G4628" s="101"/>
      <c r="H4628" s="101"/>
      <c r="I4628" s="101"/>
      <c r="K4628" s="226"/>
      <c r="L4628" s="226"/>
      <c r="M4628" s="101"/>
      <c r="N4628" s="101"/>
    </row>
    <row r="4629" spans="7:14" hidden="1" x14ac:dyDescent="0.3">
      <c r="G4629" s="101"/>
      <c r="H4629" s="101"/>
      <c r="I4629" s="101"/>
      <c r="K4629" s="226"/>
      <c r="L4629" s="226"/>
      <c r="M4629" s="101"/>
      <c r="N4629" s="101"/>
    </row>
    <row r="4630" spans="7:14" hidden="1" x14ac:dyDescent="0.3">
      <c r="G4630" s="101"/>
      <c r="H4630" s="101"/>
      <c r="I4630" s="101"/>
      <c r="K4630" s="226"/>
      <c r="L4630" s="226"/>
      <c r="M4630" s="101"/>
      <c r="N4630" s="101"/>
    </row>
    <row r="4631" spans="7:14" hidden="1" x14ac:dyDescent="0.3">
      <c r="G4631" s="101"/>
      <c r="H4631" s="101"/>
      <c r="I4631" s="101"/>
      <c r="K4631" s="226"/>
      <c r="L4631" s="226"/>
      <c r="M4631" s="101"/>
      <c r="N4631" s="101"/>
    </row>
    <row r="4632" spans="7:14" hidden="1" x14ac:dyDescent="0.3">
      <c r="G4632" s="101"/>
      <c r="H4632" s="101"/>
      <c r="I4632" s="101"/>
      <c r="K4632" s="226"/>
      <c r="L4632" s="226"/>
      <c r="M4632" s="101"/>
      <c r="N4632" s="101"/>
    </row>
    <row r="4633" spans="7:14" hidden="1" x14ac:dyDescent="0.3">
      <c r="G4633" s="101"/>
      <c r="H4633" s="101"/>
      <c r="I4633" s="101"/>
      <c r="K4633" s="226"/>
      <c r="L4633" s="226"/>
      <c r="M4633" s="101"/>
      <c r="N4633" s="101"/>
    </row>
    <row r="4634" spans="7:14" hidden="1" x14ac:dyDescent="0.3">
      <c r="G4634" s="101"/>
      <c r="H4634" s="101"/>
      <c r="I4634" s="101"/>
      <c r="K4634" s="226"/>
      <c r="L4634" s="226"/>
      <c r="M4634" s="101"/>
      <c r="N4634" s="101"/>
    </row>
    <row r="4635" spans="7:14" hidden="1" x14ac:dyDescent="0.3">
      <c r="G4635" s="101"/>
      <c r="H4635" s="101"/>
      <c r="I4635" s="101"/>
      <c r="K4635" s="226"/>
      <c r="L4635" s="226"/>
      <c r="M4635" s="101"/>
      <c r="N4635" s="101"/>
    </row>
    <row r="4636" spans="7:14" hidden="1" x14ac:dyDescent="0.3">
      <c r="G4636" s="101"/>
      <c r="H4636" s="101"/>
      <c r="I4636" s="101"/>
      <c r="K4636" s="226"/>
      <c r="L4636" s="226"/>
      <c r="M4636" s="101"/>
      <c r="N4636" s="101"/>
    </row>
    <row r="4637" spans="7:14" hidden="1" x14ac:dyDescent="0.3">
      <c r="G4637" s="101"/>
      <c r="H4637" s="101"/>
      <c r="I4637" s="101"/>
      <c r="K4637" s="226"/>
      <c r="L4637" s="226"/>
      <c r="M4637" s="101"/>
      <c r="N4637" s="101"/>
    </row>
    <row r="4638" spans="7:14" hidden="1" x14ac:dyDescent="0.3">
      <c r="G4638" s="101"/>
      <c r="H4638" s="101"/>
      <c r="I4638" s="101"/>
      <c r="K4638" s="226"/>
      <c r="L4638" s="226"/>
      <c r="M4638" s="101"/>
      <c r="N4638" s="101"/>
    </row>
    <row r="4639" spans="7:14" hidden="1" x14ac:dyDescent="0.3">
      <c r="G4639" s="101"/>
      <c r="H4639" s="101"/>
      <c r="I4639" s="101"/>
      <c r="K4639" s="226"/>
      <c r="L4639" s="226"/>
      <c r="M4639" s="101"/>
      <c r="N4639" s="101"/>
    </row>
    <row r="4640" spans="7:14" hidden="1" x14ac:dyDescent="0.3">
      <c r="G4640" s="101"/>
      <c r="H4640" s="101"/>
      <c r="I4640" s="101"/>
      <c r="K4640" s="226"/>
      <c r="L4640" s="226"/>
      <c r="M4640" s="101"/>
      <c r="N4640" s="101"/>
    </row>
    <row r="4641" spans="7:14" hidden="1" x14ac:dyDescent="0.3">
      <c r="G4641" s="101"/>
      <c r="H4641" s="101"/>
      <c r="I4641" s="101"/>
      <c r="K4641" s="226"/>
      <c r="L4641" s="226"/>
      <c r="M4641" s="101"/>
      <c r="N4641" s="101"/>
    </row>
    <row r="4642" spans="7:14" hidden="1" x14ac:dyDescent="0.3">
      <c r="G4642" s="101"/>
      <c r="H4642" s="101"/>
      <c r="I4642" s="101"/>
      <c r="K4642" s="226"/>
      <c r="L4642" s="226"/>
      <c r="M4642" s="101"/>
      <c r="N4642" s="101"/>
    </row>
    <row r="4643" spans="7:14" hidden="1" x14ac:dyDescent="0.3">
      <c r="G4643" s="101"/>
      <c r="H4643" s="101"/>
      <c r="I4643" s="101"/>
      <c r="K4643" s="226"/>
      <c r="L4643" s="226"/>
      <c r="M4643" s="101"/>
      <c r="N4643" s="101"/>
    </row>
    <row r="4644" spans="7:14" hidden="1" x14ac:dyDescent="0.3">
      <c r="G4644" s="101"/>
      <c r="H4644" s="101"/>
      <c r="I4644" s="101"/>
      <c r="K4644" s="226"/>
      <c r="L4644" s="226"/>
      <c r="M4644" s="101"/>
      <c r="N4644" s="101"/>
    </row>
    <row r="4645" spans="7:14" hidden="1" x14ac:dyDescent="0.3">
      <c r="G4645" s="101"/>
      <c r="H4645" s="101"/>
      <c r="I4645" s="101"/>
      <c r="K4645" s="226"/>
      <c r="L4645" s="226"/>
      <c r="M4645" s="101"/>
      <c r="N4645" s="101"/>
    </row>
    <row r="4646" spans="7:14" hidden="1" x14ac:dyDescent="0.3">
      <c r="G4646" s="101"/>
      <c r="H4646" s="101"/>
      <c r="I4646" s="101"/>
      <c r="K4646" s="226"/>
      <c r="L4646" s="226"/>
      <c r="M4646" s="101"/>
      <c r="N4646" s="101"/>
    </row>
    <row r="4647" spans="7:14" hidden="1" x14ac:dyDescent="0.3">
      <c r="G4647" s="101"/>
      <c r="H4647" s="101"/>
      <c r="I4647" s="101"/>
      <c r="K4647" s="226"/>
      <c r="L4647" s="226"/>
      <c r="M4647" s="101"/>
      <c r="N4647" s="101"/>
    </row>
    <row r="4648" spans="7:14" hidden="1" x14ac:dyDescent="0.3">
      <c r="G4648" s="101"/>
      <c r="H4648" s="101"/>
      <c r="I4648" s="101"/>
      <c r="K4648" s="226"/>
      <c r="L4648" s="226"/>
      <c r="M4648" s="101"/>
      <c r="N4648" s="101"/>
    </row>
    <row r="4649" spans="7:14" hidden="1" x14ac:dyDescent="0.3">
      <c r="G4649" s="101"/>
      <c r="H4649" s="101"/>
      <c r="I4649" s="101"/>
      <c r="K4649" s="226"/>
      <c r="L4649" s="226"/>
      <c r="M4649" s="101"/>
      <c r="N4649" s="101"/>
    </row>
    <row r="4650" spans="7:14" hidden="1" x14ac:dyDescent="0.3">
      <c r="G4650" s="101"/>
      <c r="H4650" s="101"/>
      <c r="I4650" s="101"/>
      <c r="K4650" s="226"/>
      <c r="L4650" s="226"/>
      <c r="M4650" s="101"/>
      <c r="N4650" s="101"/>
    </row>
    <row r="4651" spans="7:14" hidden="1" x14ac:dyDescent="0.3">
      <c r="G4651" s="101"/>
      <c r="H4651" s="101"/>
      <c r="I4651" s="101"/>
      <c r="K4651" s="226"/>
      <c r="L4651" s="226"/>
      <c r="M4651" s="101"/>
      <c r="N4651" s="101"/>
    </row>
    <row r="4652" spans="7:14" hidden="1" x14ac:dyDescent="0.3">
      <c r="G4652" s="101"/>
      <c r="H4652" s="101"/>
      <c r="I4652" s="101"/>
      <c r="K4652" s="226"/>
      <c r="L4652" s="226"/>
      <c r="M4652" s="101"/>
      <c r="N4652" s="101"/>
    </row>
    <row r="4653" spans="7:14" hidden="1" x14ac:dyDescent="0.3">
      <c r="G4653" s="101"/>
      <c r="H4653" s="101"/>
      <c r="I4653" s="101"/>
      <c r="K4653" s="226"/>
      <c r="L4653" s="226"/>
      <c r="M4653" s="101"/>
      <c r="N4653" s="101"/>
    </row>
    <row r="4654" spans="7:14" hidden="1" x14ac:dyDescent="0.3">
      <c r="G4654" s="101"/>
      <c r="H4654" s="101"/>
      <c r="I4654" s="101"/>
      <c r="K4654" s="226"/>
      <c r="L4654" s="226"/>
      <c r="M4654" s="101"/>
      <c r="N4654" s="101"/>
    </row>
    <row r="4655" spans="7:14" hidden="1" x14ac:dyDescent="0.3">
      <c r="G4655" s="101"/>
      <c r="H4655" s="101"/>
      <c r="I4655" s="101"/>
      <c r="K4655" s="226"/>
      <c r="L4655" s="226"/>
      <c r="M4655" s="101"/>
      <c r="N4655" s="101"/>
    </row>
    <row r="4656" spans="7:14" hidden="1" x14ac:dyDescent="0.3">
      <c r="G4656" s="101"/>
      <c r="H4656" s="101"/>
      <c r="I4656" s="101"/>
      <c r="K4656" s="226"/>
      <c r="L4656" s="226"/>
      <c r="M4656" s="101"/>
      <c r="N4656" s="101"/>
    </row>
    <row r="4657" spans="7:14" hidden="1" x14ac:dyDescent="0.3">
      <c r="G4657" s="101"/>
      <c r="H4657" s="101"/>
      <c r="I4657" s="101"/>
      <c r="K4657" s="226"/>
      <c r="L4657" s="226"/>
      <c r="M4657" s="101"/>
      <c r="N4657" s="101"/>
    </row>
    <row r="4658" spans="7:14" hidden="1" x14ac:dyDescent="0.3">
      <c r="G4658" s="101"/>
      <c r="H4658" s="101"/>
      <c r="I4658" s="101"/>
      <c r="K4658" s="226"/>
      <c r="L4658" s="226"/>
      <c r="M4658" s="101"/>
      <c r="N4658" s="101"/>
    </row>
    <row r="4659" spans="7:14" hidden="1" x14ac:dyDescent="0.3">
      <c r="G4659" s="101"/>
      <c r="H4659" s="101"/>
      <c r="I4659" s="101"/>
      <c r="K4659" s="226"/>
      <c r="L4659" s="226"/>
      <c r="M4659" s="101"/>
      <c r="N4659" s="101"/>
    </row>
    <row r="4660" spans="7:14" hidden="1" x14ac:dyDescent="0.3">
      <c r="G4660" s="101"/>
      <c r="H4660" s="101"/>
      <c r="I4660" s="101"/>
      <c r="K4660" s="226"/>
      <c r="L4660" s="226"/>
      <c r="M4660" s="101"/>
      <c r="N4660" s="101"/>
    </row>
    <row r="4661" spans="7:14" hidden="1" x14ac:dyDescent="0.3">
      <c r="G4661" s="101"/>
      <c r="H4661" s="101"/>
      <c r="I4661" s="101"/>
      <c r="K4661" s="226"/>
      <c r="L4661" s="226"/>
      <c r="M4661" s="101"/>
      <c r="N4661" s="101"/>
    </row>
    <row r="4662" spans="7:14" hidden="1" x14ac:dyDescent="0.3">
      <c r="G4662" s="101"/>
      <c r="H4662" s="101"/>
      <c r="I4662" s="101"/>
      <c r="K4662" s="226"/>
      <c r="L4662" s="226"/>
      <c r="M4662" s="101"/>
      <c r="N4662" s="101"/>
    </row>
    <row r="4663" spans="7:14" hidden="1" x14ac:dyDescent="0.3">
      <c r="G4663" s="101"/>
      <c r="H4663" s="101"/>
      <c r="I4663" s="101"/>
      <c r="K4663" s="226"/>
      <c r="L4663" s="226"/>
      <c r="M4663" s="101"/>
      <c r="N4663" s="101"/>
    </row>
    <row r="4664" spans="7:14" hidden="1" x14ac:dyDescent="0.3">
      <c r="G4664" s="101"/>
      <c r="H4664" s="101"/>
      <c r="I4664" s="101"/>
      <c r="K4664" s="226"/>
      <c r="L4664" s="226"/>
      <c r="M4664" s="101"/>
      <c r="N4664" s="101"/>
    </row>
    <row r="4665" spans="7:14" hidden="1" x14ac:dyDescent="0.3">
      <c r="G4665" s="101"/>
      <c r="H4665" s="101"/>
      <c r="I4665" s="101"/>
      <c r="K4665" s="226"/>
      <c r="L4665" s="226"/>
      <c r="M4665" s="101"/>
      <c r="N4665" s="101"/>
    </row>
    <row r="4666" spans="7:14" hidden="1" x14ac:dyDescent="0.3">
      <c r="G4666" s="101"/>
      <c r="H4666" s="101"/>
      <c r="I4666" s="101"/>
      <c r="K4666" s="226"/>
      <c r="L4666" s="226"/>
      <c r="M4666" s="101"/>
      <c r="N4666" s="101"/>
    </row>
    <row r="4667" spans="7:14" hidden="1" x14ac:dyDescent="0.3">
      <c r="G4667" s="101"/>
      <c r="H4667" s="101"/>
      <c r="I4667" s="101"/>
      <c r="K4667" s="226"/>
      <c r="L4667" s="226"/>
      <c r="M4667" s="101"/>
      <c r="N4667" s="101"/>
    </row>
    <row r="4668" spans="7:14" hidden="1" x14ac:dyDescent="0.3">
      <c r="G4668" s="101"/>
      <c r="H4668" s="101"/>
      <c r="I4668" s="101"/>
      <c r="K4668" s="226"/>
      <c r="L4668" s="226"/>
      <c r="M4668" s="101"/>
      <c r="N4668" s="101"/>
    </row>
    <row r="4669" spans="7:14" hidden="1" x14ac:dyDescent="0.3">
      <c r="G4669" s="101"/>
      <c r="H4669" s="101"/>
      <c r="I4669" s="101"/>
      <c r="K4669" s="226"/>
      <c r="L4669" s="226"/>
      <c r="M4669" s="101"/>
      <c r="N4669" s="101"/>
    </row>
    <row r="4670" spans="7:14" hidden="1" x14ac:dyDescent="0.3">
      <c r="G4670" s="101"/>
      <c r="H4670" s="101"/>
      <c r="I4670" s="101"/>
      <c r="K4670" s="226"/>
      <c r="L4670" s="226"/>
      <c r="M4670" s="101"/>
      <c r="N4670" s="101"/>
    </row>
    <row r="4671" spans="7:14" hidden="1" x14ac:dyDescent="0.3">
      <c r="G4671" s="101"/>
      <c r="H4671" s="101"/>
      <c r="I4671" s="101"/>
      <c r="K4671" s="226"/>
      <c r="L4671" s="226"/>
      <c r="M4671" s="101"/>
      <c r="N4671" s="101"/>
    </row>
    <row r="4672" spans="7:14" hidden="1" x14ac:dyDescent="0.3">
      <c r="G4672" s="101"/>
      <c r="H4672" s="101"/>
      <c r="I4672" s="101"/>
      <c r="K4672" s="226"/>
      <c r="L4672" s="226"/>
      <c r="M4672" s="101"/>
      <c r="N4672" s="101"/>
    </row>
    <row r="4673" spans="7:14" hidden="1" x14ac:dyDescent="0.3">
      <c r="G4673" s="101"/>
      <c r="H4673" s="101"/>
      <c r="I4673" s="101"/>
      <c r="K4673" s="226"/>
      <c r="L4673" s="226"/>
      <c r="M4673" s="101"/>
      <c r="N4673" s="101"/>
    </row>
    <row r="4674" spans="7:14" hidden="1" x14ac:dyDescent="0.3">
      <c r="G4674" s="101"/>
      <c r="H4674" s="101"/>
      <c r="I4674" s="101"/>
      <c r="K4674" s="226"/>
      <c r="L4674" s="226"/>
      <c r="M4674" s="101"/>
      <c r="N4674" s="101"/>
    </row>
    <row r="4675" spans="7:14" hidden="1" x14ac:dyDescent="0.3">
      <c r="G4675" s="101"/>
      <c r="H4675" s="101"/>
      <c r="I4675" s="101"/>
      <c r="K4675" s="226"/>
      <c r="L4675" s="226"/>
      <c r="M4675" s="101"/>
      <c r="N4675" s="101"/>
    </row>
    <row r="4676" spans="7:14" hidden="1" x14ac:dyDescent="0.3">
      <c r="G4676" s="101"/>
      <c r="H4676" s="101"/>
      <c r="I4676" s="101"/>
      <c r="K4676" s="226"/>
      <c r="L4676" s="226"/>
      <c r="M4676" s="101"/>
      <c r="N4676" s="101"/>
    </row>
    <row r="4677" spans="7:14" hidden="1" x14ac:dyDescent="0.3">
      <c r="G4677" s="101"/>
      <c r="H4677" s="101"/>
      <c r="I4677" s="101"/>
      <c r="K4677" s="226"/>
      <c r="L4677" s="226"/>
      <c r="M4677" s="101"/>
      <c r="N4677" s="101"/>
    </row>
    <row r="4678" spans="7:14" hidden="1" x14ac:dyDescent="0.3">
      <c r="G4678" s="101"/>
      <c r="H4678" s="101"/>
      <c r="I4678" s="101"/>
      <c r="K4678" s="226"/>
      <c r="L4678" s="226"/>
      <c r="M4678" s="101"/>
      <c r="N4678" s="101"/>
    </row>
    <row r="4679" spans="7:14" hidden="1" x14ac:dyDescent="0.3">
      <c r="G4679" s="101"/>
      <c r="H4679" s="101"/>
      <c r="I4679" s="101"/>
      <c r="K4679" s="226"/>
      <c r="L4679" s="226"/>
      <c r="M4679" s="101"/>
      <c r="N4679" s="101"/>
    </row>
    <row r="4680" spans="7:14" hidden="1" x14ac:dyDescent="0.3">
      <c r="G4680" s="101"/>
      <c r="H4680" s="101"/>
      <c r="I4680" s="101"/>
      <c r="K4680" s="226"/>
      <c r="L4680" s="226"/>
      <c r="M4680" s="101"/>
      <c r="N4680" s="101"/>
    </row>
    <row r="4681" spans="7:14" hidden="1" x14ac:dyDescent="0.3">
      <c r="G4681" s="101"/>
      <c r="H4681" s="101"/>
      <c r="I4681" s="101"/>
      <c r="K4681" s="226"/>
      <c r="L4681" s="226"/>
      <c r="M4681" s="101"/>
      <c r="N4681" s="101"/>
    </row>
    <row r="4682" spans="7:14" hidden="1" x14ac:dyDescent="0.3">
      <c r="G4682" s="101"/>
      <c r="H4682" s="101"/>
      <c r="I4682" s="101"/>
      <c r="K4682" s="226"/>
      <c r="L4682" s="226"/>
      <c r="M4682" s="101"/>
      <c r="N4682" s="101"/>
    </row>
    <row r="4683" spans="7:14" hidden="1" x14ac:dyDescent="0.3">
      <c r="G4683" s="101"/>
      <c r="H4683" s="101"/>
      <c r="I4683" s="101"/>
      <c r="K4683" s="226"/>
      <c r="L4683" s="226"/>
      <c r="M4683" s="101"/>
      <c r="N4683" s="101"/>
    </row>
    <row r="4684" spans="7:14" hidden="1" x14ac:dyDescent="0.3">
      <c r="G4684" s="101"/>
      <c r="H4684" s="101"/>
      <c r="I4684" s="101"/>
      <c r="K4684" s="226"/>
      <c r="L4684" s="226"/>
      <c r="M4684" s="101"/>
      <c r="N4684" s="101"/>
    </row>
    <row r="4685" spans="7:14" hidden="1" x14ac:dyDescent="0.3">
      <c r="G4685" s="101"/>
      <c r="H4685" s="101"/>
      <c r="I4685" s="101"/>
      <c r="K4685" s="226"/>
      <c r="L4685" s="226"/>
      <c r="M4685" s="101"/>
      <c r="N4685" s="101"/>
    </row>
    <row r="4686" spans="7:14" hidden="1" x14ac:dyDescent="0.3">
      <c r="G4686" s="101"/>
      <c r="H4686" s="101"/>
      <c r="I4686" s="101"/>
      <c r="K4686" s="226"/>
      <c r="L4686" s="226"/>
      <c r="M4686" s="101"/>
      <c r="N4686" s="101"/>
    </row>
    <row r="4687" spans="7:14" hidden="1" x14ac:dyDescent="0.3">
      <c r="G4687" s="101"/>
      <c r="H4687" s="101"/>
      <c r="I4687" s="101"/>
      <c r="K4687" s="226"/>
      <c r="L4687" s="226"/>
      <c r="M4687" s="101"/>
      <c r="N4687" s="101"/>
    </row>
    <row r="4688" spans="7:14" hidden="1" x14ac:dyDescent="0.3">
      <c r="G4688" s="101"/>
      <c r="H4688" s="101"/>
      <c r="I4688" s="101"/>
      <c r="K4688" s="226"/>
      <c r="L4688" s="226"/>
      <c r="M4688" s="101"/>
      <c r="N4688" s="101"/>
    </row>
    <row r="4689" spans="7:14" hidden="1" x14ac:dyDescent="0.3">
      <c r="G4689" s="101"/>
      <c r="H4689" s="101"/>
      <c r="I4689" s="101"/>
      <c r="K4689" s="226"/>
      <c r="L4689" s="226"/>
      <c r="M4689" s="101"/>
      <c r="N4689" s="101"/>
    </row>
    <row r="4690" spans="7:14" hidden="1" x14ac:dyDescent="0.3">
      <c r="G4690" s="101"/>
      <c r="H4690" s="101"/>
      <c r="I4690" s="101"/>
      <c r="K4690" s="226"/>
      <c r="L4690" s="226"/>
      <c r="M4690" s="101"/>
      <c r="N4690" s="101"/>
    </row>
    <row r="4691" spans="7:14" hidden="1" x14ac:dyDescent="0.3">
      <c r="G4691" s="101"/>
      <c r="H4691" s="101"/>
      <c r="I4691" s="101"/>
      <c r="K4691" s="226"/>
      <c r="L4691" s="226"/>
      <c r="M4691" s="101"/>
      <c r="N4691" s="101"/>
    </row>
    <row r="4692" spans="7:14" hidden="1" x14ac:dyDescent="0.3">
      <c r="G4692" s="101"/>
      <c r="H4692" s="101"/>
      <c r="I4692" s="101"/>
      <c r="K4692" s="226"/>
      <c r="L4692" s="226"/>
      <c r="M4692" s="101"/>
      <c r="N4692" s="101"/>
    </row>
    <row r="4693" spans="7:14" hidden="1" x14ac:dyDescent="0.3">
      <c r="G4693" s="101"/>
      <c r="H4693" s="101"/>
      <c r="I4693" s="101"/>
      <c r="K4693" s="226"/>
      <c r="L4693" s="226"/>
      <c r="M4693" s="101"/>
      <c r="N4693" s="101"/>
    </row>
    <row r="4694" spans="7:14" hidden="1" x14ac:dyDescent="0.3">
      <c r="G4694" s="101"/>
      <c r="H4694" s="101"/>
      <c r="I4694" s="101"/>
      <c r="K4694" s="226"/>
      <c r="L4694" s="226"/>
      <c r="M4694" s="101"/>
      <c r="N4694" s="101"/>
    </row>
    <row r="4695" spans="7:14" hidden="1" x14ac:dyDescent="0.3">
      <c r="G4695" s="101"/>
      <c r="H4695" s="101"/>
      <c r="I4695" s="101"/>
      <c r="K4695" s="226"/>
      <c r="L4695" s="226"/>
      <c r="M4695" s="101"/>
      <c r="N4695" s="101"/>
    </row>
    <row r="4696" spans="7:14" hidden="1" x14ac:dyDescent="0.3">
      <c r="G4696" s="101"/>
      <c r="H4696" s="101"/>
      <c r="I4696" s="101"/>
      <c r="K4696" s="226"/>
      <c r="L4696" s="226"/>
      <c r="M4696" s="101"/>
      <c r="N4696" s="101"/>
    </row>
    <row r="4697" spans="7:14" hidden="1" x14ac:dyDescent="0.3">
      <c r="G4697" s="101"/>
      <c r="H4697" s="101"/>
      <c r="I4697" s="101"/>
      <c r="K4697" s="226"/>
      <c r="L4697" s="226"/>
      <c r="M4697" s="101"/>
      <c r="N4697" s="101"/>
    </row>
    <row r="4698" spans="7:14" hidden="1" x14ac:dyDescent="0.3">
      <c r="G4698" s="101"/>
      <c r="H4698" s="101"/>
      <c r="I4698" s="101"/>
      <c r="K4698" s="226"/>
      <c r="L4698" s="226"/>
      <c r="M4698" s="101"/>
      <c r="N4698" s="101"/>
    </row>
    <row r="4699" spans="7:14" hidden="1" x14ac:dyDescent="0.3">
      <c r="G4699" s="101"/>
      <c r="H4699" s="101"/>
      <c r="I4699" s="101"/>
      <c r="K4699" s="226"/>
      <c r="L4699" s="226"/>
      <c r="M4699" s="101"/>
      <c r="N4699" s="101"/>
    </row>
    <row r="4700" spans="7:14" hidden="1" x14ac:dyDescent="0.3">
      <c r="G4700" s="101"/>
      <c r="H4700" s="101"/>
      <c r="I4700" s="101"/>
      <c r="K4700" s="226"/>
      <c r="L4700" s="226"/>
      <c r="M4700" s="101"/>
      <c r="N4700" s="101"/>
    </row>
    <row r="4701" spans="7:14" hidden="1" x14ac:dyDescent="0.3">
      <c r="G4701" s="101"/>
      <c r="H4701" s="101"/>
      <c r="I4701" s="101"/>
      <c r="K4701" s="226"/>
      <c r="L4701" s="226"/>
      <c r="M4701" s="101"/>
      <c r="N4701" s="101"/>
    </row>
    <row r="4702" spans="7:14" hidden="1" x14ac:dyDescent="0.3">
      <c r="G4702" s="101"/>
      <c r="H4702" s="101"/>
      <c r="I4702" s="101"/>
      <c r="K4702" s="226"/>
      <c r="L4702" s="226"/>
      <c r="M4702" s="101"/>
      <c r="N4702" s="101"/>
    </row>
    <row r="4703" spans="7:14" hidden="1" x14ac:dyDescent="0.3">
      <c r="G4703" s="101"/>
      <c r="H4703" s="101"/>
      <c r="I4703" s="101"/>
      <c r="K4703" s="226"/>
      <c r="L4703" s="226"/>
      <c r="M4703" s="101"/>
      <c r="N4703" s="101"/>
    </row>
    <row r="4704" spans="7:14" hidden="1" x14ac:dyDescent="0.3">
      <c r="G4704" s="101"/>
      <c r="H4704" s="101"/>
      <c r="I4704" s="101"/>
      <c r="K4704" s="226"/>
      <c r="L4704" s="226"/>
      <c r="M4704" s="101"/>
      <c r="N4704" s="101"/>
    </row>
    <row r="4705" spans="7:14" hidden="1" x14ac:dyDescent="0.3">
      <c r="G4705" s="101"/>
      <c r="H4705" s="101"/>
      <c r="I4705" s="101"/>
      <c r="K4705" s="226"/>
      <c r="L4705" s="226"/>
      <c r="M4705" s="101"/>
      <c r="N4705" s="101"/>
    </row>
    <row r="4706" spans="7:14" hidden="1" x14ac:dyDescent="0.3">
      <c r="G4706" s="101"/>
      <c r="H4706" s="101"/>
      <c r="I4706" s="101"/>
      <c r="K4706" s="226"/>
      <c r="L4706" s="226"/>
      <c r="M4706" s="101"/>
      <c r="N4706" s="101"/>
    </row>
    <row r="4707" spans="7:14" hidden="1" x14ac:dyDescent="0.3">
      <c r="G4707" s="101"/>
      <c r="H4707" s="101"/>
      <c r="I4707" s="101"/>
      <c r="K4707" s="226"/>
      <c r="L4707" s="226"/>
      <c r="M4707" s="101"/>
      <c r="N4707" s="101"/>
    </row>
    <row r="4708" spans="7:14" hidden="1" x14ac:dyDescent="0.3">
      <c r="G4708" s="101"/>
      <c r="H4708" s="101"/>
      <c r="I4708" s="101"/>
      <c r="K4708" s="226"/>
      <c r="L4708" s="226"/>
      <c r="M4708" s="101"/>
      <c r="N4708" s="101"/>
    </row>
    <row r="4709" spans="7:14" hidden="1" x14ac:dyDescent="0.3">
      <c r="G4709" s="101"/>
      <c r="H4709" s="101"/>
      <c r="I4709" s="101"/>
      <c r="K4709" s="226"/>
      <c r="L4709" s="226"/>
      <c r="M4709" s="101"/>
      <c r="N4709" s="101"/>
    </row>
    <row r="4710" spans="7:14" hidden="1" x14ac:dyDescent="0.3">
      <c r="G4710" s="101"/>
      <c r="H4710" s="101"/>
      <c r="I4710" s="101"/>
      <c r="K4710" s="226"/>
      <c r="L4710" s="226"/>
      <c r="M4710" s="101"/>
      <c r="N4710" s="101"/>
    </row>
    <row r="4711" spans="7:14" hidden="1" x14ac:dyDescent="0.3">
      <c r="G4711" s="101"/>
      <c r="H4711" s="101"/>
      <c r="I4711" s="101"/>
      <c r="K4711" s="226"/>
      <c r="L4711" s="226"/>
      <c r="M4711" s="101"/>
      <c r="N4711" s="101"/>
    </row>
    <row r="4712" spans="7:14" hidden="1" x14ac:dyDescent="0.3">
      <c r="G4712" s="101"/>
      <c r="H4712" s="101"/>
      <c r="I4712" s="101"/>
      <c r="K4712" s="226"/>
      <c r="L4712" s="226"/>
      <c r="M4712" s="101"/>
      <c r="N4712" s="101"/>
    </row>
    <row r="4713" spans="7:14" hidden="1" x14ac:dyDescent="0.3">
      <c r="G4713" s="101"/>
      <c r="H4713" s="101"/>
      <c r="I4713" s="101"/>
      <c r="K4713" s="226"/>
      <c r="L4713" s="226"/>
      <c r="M4713" s="101"/>
      <c r="N4713" s="101"/>
    </row>
    <row r="4714" spans="7:14" hidden="1" x14ac:dyDescent="0.3">
      <c r="G4714" s="101"/>
      <c r="H4714" s="101"/>
      <c r="I4714" s="101"/>
      <c r="K4714" s="226"/>
      <c r="L4714" s="226"/>
      <c r="M4714" s="101"/>
      <c r="N4714" s="101"/>
    </row>
    <row r="4715" spans="7:14" hidden="1" x14ac:dyDescent="0.3">
      <c r="G4715" s="101"/>
      <c r="H4715" s="101"/>
      <c r="I4715" s="101"/>
      <c r="K4715" s="226"/>
      <c r="L4715" s="226"/>
      <c r="M4715" s="101"/>
      <c r="N4715" s="101"/>
    </row>
    <row r="4716" spans="7:14" hidden="1" x14ac:dyDescent="0.3">
      <c r="G4716" s="101"/>
      <c r="H4716" s="101"/>
      <c r="I4716" s="101"/>
      <c r="K4716" s="226"/>
      <c r="L4716" s="226"/>
      <c r="M4716" s="101"/>
      <c r="N4716" s="101"/>
    </row>
    <row r="4717" spans="7:14" hidden="1" x14ac:dyDescent="0.3">
      <c r="G4717" s="101"/>
      <c r="H4717" s="101"/>
      <c r="I4717" s="101"/>
      <c r="K4717" s="226"/>
      <c r="L4717" s="226"/>
      <c r="M4717" s="101"/>
      <c r="N4717" s="101"/>
    </row>
    <row r="4718" spans="7:14" hidden="1" x14ac:dyDescent="0.3">
      <c r="G4718" s="101"/>
      <c r="H4718" s="101"/>
      <c r="I4718" s="101"/>
      <c r="K4718" s="226"/>
      <c r="L4718" s="226"/>
      <c r="M4718" s="101"/>
      <c r="N4718" s="101"/>
    </row>
    <row r="4719" spans="7:14" hidden="1" x14ac:dyDescent="0.3">
      <c r="G4719" s="101"/>
      <c r="H4719" s="101"/>
      <c r="I4719" s="101"/>
      <c r="K4719" s="226"/>
      <c r="L4719" s="226"/>
      <c r="M4719" s="101"/>
      <c r="N4719" s="101"/>
    </row>
    <row r="4720" spans="7:14" hidden="1" x14ac:dyDescent="0.3">
      <c r="G4720" s="101"/>
      <c r="H4720" s="101"/>
      <c r="I4720" s="101"/>
      <c r="K4720" s="226"/>
      <c r="L4720" s="226"/>
      <c r="M4720" s="101"/>
      <c r="N4720" s="101"/>
    </row>
    <row r="4721" spans="7:14" hidden="1" x14ac:dyDescent="0.3">
      <c r="G4721" s="101"/>
      <c r="H4721" s="101"/>
      <c r="I4721" s="101"/>
      <c r="K4721" s="226"/>
      <c r="L4721" s="226"/>
      <c r="M4721" s="101"/>
      <c r="N4721" s="101"/>
    </row>
    <row r="4722" spans="7:14" hidden="1" x14ac:dyDescent="0.3">
      <c r="G4722" s="101"/>
      <c r="H4722" s="101"/>
      <c r="I4722" s="101"/>
      <c r="K4722" s="226"/>
      <c r="L4722" s="226"/>
      <c r="M4722" s="101"/>
      <c r="N4722" s="101"/>
    </row>
    <row r="4723" spans="7:14" hidden="1" x14ac:dyDescent="0.3">
      <c r="G4723" s="101"/>
      <c r="H4723" s="101"/>
      <c r="I4723" s="101"/>
      <c r="K4723" s="226"/>
      <c r="L4723" s="226"/>
      <c r="M4723" s="101"/>
      <c r="N4723" s="101"/>
    </row>
    <row r="4724" spans="7:14" hidden="1" x14ac:dyDescent="0.3">
      <c r="G4724" s="101"/>
      <c r="H4724" s="101"/>
      <c r="I4724" s="101"/>
      <c r="K4724" s="226"/>
      <c r="L4724" s="226"/>
      <c r="M4724" s="101"/>
      <c r="N4724" s="101"/>
    </row>
    <row r="4725" spans="7:14" hidden="1" x14ac:dyDescent="0.3">
      <c r="G4725" s="101"/>
      <c r="H4725" s="101"/>
      <c r="I4725" s="101"/>
      <c r="K4725" s="226"/>
      <c r="L4725" s="226"/>
      <c r="M4725" s="101"/>
      <c r="N4725" s="101"/>
    </row>
    <row r="4726" spans="7:14" hidden="1" x14ac:dyDescent="0.3">
      <c r="G4726" s="101"/>
      <c r="H4726" s="101"/>
      <c r="I4726" s="101"/>
      <c r="K4726" s="226"/>
      <c r="L4726" s="226"/>
      <c r="M4726" s="101"/>
      <c r="N4726" s="101"/>
    </row>
    <row r="4727" spans="7:14" hidden="1" x14ac:dyDescent="0.3">
      <c r="G4727" s="101"/>
      <c r="H4727" s="101"/>
      <c r="I4727" s="101"/>
      <c r="K4727" s="226"/>
      <c r="L4727" s="226"/>
      <c r="M4727" s="101"/>
      <c r="N4727" s="101"/>
    </row>
    <row r="4728" spans="7:14" hidden="1" x14ac:dyDescent="0.3">
      <c r="G4728" s="101"/>
      <c r="H4728" s="101"/>
      <c r="I4728" s="101"/>
      <c r="K4728" s="226"/>
      <c r="L4728" s="226"/>
      <c r="M4728" s="101"/>
      <c r="N4728" s="101"/>
    </row>
    <row r="4729" spans="7:14" hidden="1" x14ac:dyDescent="0.3">
      <c r="G4729" s="101"/>
      <c r="H4729" s="101"/>
      <c r="I4729" s="101"/>
      <c r="K4729" s="226"/>
      <c r="L4729" s="226"/>
      <c r="M4729" s="101"/>
      <c r="N4729" s="101"/>
    </row>
    <row r="4730" spans="7:14" hidden="1" x14ac:dyDescent="0.3">
      <c r="G4730" s="101"/>
      <c r="H4730" s="101"/>
      <c r="I4730" s="101"/>
      <c r="K4730" s="226"/>
      <c r="L4730" s="226"/>
      <c r="M4730" s="101"/>
      <c r="N4730" s="101"/>
    </row>
    <row r="4731" spans="7:14" hidden="1" x14ac:dyDescent="0.3">
      <c r="G4731" s="101"/>
      <c r="H4731" s="101"/>
      <c r="I4731" s="101"/>
      <c r="K4731" s="226"/>
      <c r="L4731" s="226"/>
      <c r="M4731" s="101"/>
      <c r="N4731" s="101"/>
    </row>
    <row r="4732" spans="7:14" hidden="1" x14ac:dyDescent="0.3">
      <c r="G4732" s="101"/>
      <c r="H4732" s="101"/>
      <c r="I4732" s="101"/>
      <c r="K4732" s="226"/>
      <c r="L4732" s="226"/>
      <c r="M4732" s="101"/>
      <c r="N4732" s="101"/>
    </row>
    <row r="4733" spans="7:14" hidden="1" x14ac:dyDescent="0.3">
      <c r="G4733" s="101"/>
      <c r="H4733" s="101"/>
      <c r="I4733" s="101"/>
      <c r="K4733" s="226"/>
      <c r="L4733" s="226"/>
      <c r="M4733" s="101"/>
      <c r="N4733" s="101"/>
    </row>
    <row r="4734" spans="7:14" hidden="1" x14ac:dyDescent="0.3">
      <c r="G4734" s="101"/>
      <c r="H4734" s="101"/>
      <c r="I4734" s="101"/>
      <c r="K4734" s="226"/>
      <c r="L4734" s="226"/>
      <c r="M4734" s="101"/>
      <c r="N4734" s="101"/>
    </row>
    <row r="4735" spans="7:14" hidden="1" x14ac:dyDescent="0.3">
      <c r="G4735" s="101"/>
      <c r="H4735" s="101"/>
      <c r="I4735" s="101"/>
      <c r="K4735" s="226"/>
      <c r="L4735" s="226"/>
      <c r="M4735" s="101"/>
      <c r="N4735" s="101"/>
    </row>
    <row r="4736" spans="7:14" hidden="1" x14ac:dyDescent="0.3">
      <c r="G4736" s="101"/>
      <c r="H4736" s="101"/>
      <c r="I4736" s="101"/>
      <c r="K4736" s="226"/>
      <c r="L4736" s="226"/>
      <c r="M4736" s="101"/>
      <c r="N4736" s="101"/>
    </row>
    <row r="4737" spans="7:14" hidden="1" x14ac:dyDescent="0.3">
      <c r="G4737" s="101"/>
      <c r="H4737" s="101"/>
      <c r="I4737" s="101"/>
      <c r="K4737" s="226"/>
      <c r="L4737" s="226"/>
      <c r="M4737" s="101"/>
      <c r="N4737" s="101"/>
    </row>
    <row r="4738" spans="7:14" hidden="1" x14ac:dyDescent="0.3">
      <c r="G4738" s="101"/>
      <c r="H4738" s="101"/>
      <c r="I4738" s="101"/>
      <c r="K4738" s="226"/>
      <c r="L4738" s="226"/>
      <c r="M4738" s="101"/>
      <c r="N4738" s="101"/>
    </row>
    <row r="4739" spans="7:14" hidden="1" x14ac:dyDescent="0.3">
      <c r="G4739" s="101"/>
      <c r="H4739" s="101"/>
      <c r="I4739" s="101"/>
      <c r="K4739" s="226"/>
      <c r="L4739" s="226"/>
      <c r="M4739" s="101"/>
      <c r="N4739" s="101"/>
    </row>
    <row r="4740" spans="7:14" hidden="1" x14ac:dyDescent="0.3">
      <c r="G4740" s="101"/>
      <c r="H4740" s="101"/>
      <c r="I4740" s="101"/>
      <c r="K4740" s="226"/>
      <c r="L4740" s="226"/>
      <c r="M4740" s="101"/>
      <c r="N4740" s="101"/>
    </row>
    <row r="4741" spans="7:14" hidden="1" x14ac:dyDescent="0.3">
      <c r="G4741" s="101"/>
      <c r="H4741" s="101"/>
      <c r="I4741" s="101"/>
      <c r="K4741" s="226"/>
      <c r="L4741" s="226"/>
      <c r="M4741" s="101"/>
      <c r="N4741" s="101"/>
    </row>
    <row r="4742" spans="7:14" hidden="1" x14ac:dyDescent="0.3">
      <c r="G4742" s="101"/>
      <c r="H4742" s="101"/>
      <c r="I4742" s="101"/>
      <c r="K4742" s="226"/>
      <c r="L4742" s="226"/>
      <c r="M4742" s="101"/>
      <c r="N4742" s="101"/>
    </row>
    <row r="4743" spans="7:14" hidden="1" x14ac:dyDescent="0.3">
      <c r="G4743" s="101"/>
      <c r="H4743" s="101"/>
      <c r="I4743" s="101"/>
      <c r="K4743" s="226"/>
      <c r="L4743" s="226"/>
      <c r="M4743" s="101"/>
      <c r="N4743" s="101"/>
    </row>
    <row r="4744" spans="7:14" hidden="1" x14ac:dyDescent="0.3">
      <c r="G4744" s="101"/>
      <c r="H4744" s="101"/>
      <c r="I4744" s="101"/>
      <c r="K4744" s="226"/>
      <c r="L4744" s="226"/>
      <c r="M4744" s="101"/>
      <c r="N4744" s="101"/>
    </row>
    <row r="4745" spans="7:14" hidden="1" x14ac:dyDescent="0.3">
      <c r="G4745" s="101"/>
      <c r="H4745" s="101"/>
      <c r="I4745" s="101"/>
      <c r="K4745" s="226"/>
      <c r="L4745" s="226"/>
      <c r="M4745" s="101"/>
      <c r="N4745" s="101"/>
    </row>
    <row r="4746" spans="7:14" hidden="1" x14ac:dyDescent="0.3">
      <c r="G4746" s="101"/>
      <c r="H4746" s="101"/>
      <c r="I4746" s="101"/>
      <c r="K4746" s="226"/>
      <c r="L4746" s="226"/>
      <c r="M4746" s="101"/>
      <c r="N4746" s="101"/>
    </row>
    <row r="4747" spans="7:14" hidden="1" x14ac:dyDescent="0.3">
      <c r="G4747" s="101"/>
      <c r="H4747" s="101"/>
      <c r="I4747" s="101"/>
      <c r="K4747" s="226"/>
      <c r="L4747" s="226"/>
      <c r="M4747" s="101"/>
      <c r="N4747" s="101"/>
    </row>
    <row r="4748" spans="7:14" hidden="1" x14ac:dyDescent="0.3">
      <c r="G4748" s="101"/>
      <c r="H4748" s="101"/>
      <c r="I4748" s="101"/>
      <c r="K4748" s="226"/>
      <c r="L4748" s="226"/>
      <c r="M4748" s="101"/>
      <c r="N4748" s="101"/>
    </row>
    <row r="4749" spans="7:14" hidden="1" x14ac:dyDescent="0.3">
      <c r="G4749" s="101"/>
      <c r="H4749" s="101"/>
      <c r="I4749" s="101"/>
      <c r="K4749" s="226"/>
      <c r="L4749" s="226"/>
      <c r="M4749" s="101"/>
      <c r="N4749" s="101"/>
    </row>
    <row r="4750" spans="7:14" hidden="1" x14ac:dyDescent="0.3">
      <c r="G4750" s="101"/>
      <c r="H4750" s="101"/>
      <c r="I4750" s="101"/>
      <c r="K4750" s="226"/>
      <c r="L4750" s="226"/>
      <c r="M4750" s="101"/>
      <c r="N4750" s="101"/>
    </row>
    <row r="4751" spans="7:14" hidden="1" x14ac:dyDescent="0.3">
      <c r="G4751" s="101"/>
      <c r="H4751" s="101"/>
      <c r="I4751" s="101"/>
      <c r="K4751" s="226"/>
      <c r="L4751" s="226"/>
      <c r="M4751" s="101"/>
      <c r="N4751" s="101"/>
    </row>
    <row r="4752" spans="7:14" hidden="1" x14ac:dyDescent="0.3">
      <c r="G4752" s="101"/>
      <c r="H4752" s="101"/>
      <c r="I4752" s="101"/>
      <c r="K4752" s="226"/>
      <c r="L4752" s="226"/>
      <c r="M4752" s="101"/>
      <c r="N4752" s="101"/>
    </row>
    <row r="4753" spans="7:14" hidden="1" x14ac:dyDescent="0.3">
      <c r="G4753" s="101"/>
      <c r="H4753" s="101"/>
      <c r="I4753" s="101"/>
      <c r="K4753" s="226"/>
      <c r="L4753" s="226"/>
      <c r="M4753" s="101"/>
      <c r="N4753" s="101"/>
    </row>
    <row r="4754" spans="7:14" hidden="1" x14ac:dyDescent="0.3">
      <c r="G4754" s="101"/>
      <c r="H4754" s="101"/>
      <c r="I4754" s="101"/>
      <c r="K4754" s="226"/>
      <c r="L4754" s="226"/>
      <c r="M4754" s="101"/>
      <c r="N4754" s="101"/>
    </row>
    <row r="4755" spans="7:14" hidden="1" x14ac:dyDescent="0.3">
      <c r="G4755" s="101"/>
      <c r="H4755" s="101"/>
      <c r="I4755" s="101"/>
      <c r="K4755" s="226"/>
      <c r="L4755" s="226"/>
      <c r="M4755" s="101"/>
      <c r="N4755" s="101"/>
    </row>
    <row r="4756" spans="7:14" hidden="1" x14ac:dyDescent="0.3">
      <c r="G4756" s="101"/>
      <c r="H4756" s="101"/>
      <c r="I4756" s="101"/>
      <c r="K4756" s="226"/>
      <c r="L4756" s="226"/>
      <c r="M4756" s="101"/>
      <c r="N4756" s="101"/>
    </row>
    <row r="4757" spans="7:14" hidden="1" x14ac:dyDescent="0.3">
      <c r="G4757" s="101"/>
      <c r="H4757" s="101"/>
      <c r="I4757" s="101"/>
      <c r="K4757" s="226"/>
      <c r="L4757" s="226"/>
      <c r="M4757" s="101"/>
      <c r="N4757" s="101"/>
    </row>
    <row r="4758" spans="7:14" hidden="1" x14ac:dyDescent="0.3">
      <c r="G4758" s="101"/>
      <c r="H4758" s="101"/>
      <c r="I4758" s="101"/>
      <c r="K4758" s="226"/>
      <c r="L4758" s="226"/>
      <c r="M4758" s="101"/>
      <c r="N4758" s="101"/>
    </row>
    <row r="4759" spans="7:14" hidden="1" x14ac:dyDescent="0.3">
      <c r="G4759" s="101"/>
      <c r="H4759" s="101"/>
      <c r="I4759" s="101"/>
      <c r="K4759" s="226"/>
      <c r="L4759" s="226"/>
      <c r="M4759" s="101"/>
      <c r="N4759" s="101"/>
    </row>
    <row r="4760" spans="7:14" hidden="1" x14ac:dyDescent="0.3">
      <c r="G4760" s="101"/>
      <c r="H4760" s="101"/>
      <c r="I4760" s="101"/>
      <c r="K4760" s="226"/>
      <c r="L4760" s="226"/>
      <c r="M4760" s="101"/>
      <c r="N4760" s="101"/>
    </row>
    <row r="4761" spans="7:14" hidden="1" x14ac:dyDescent="0.3">
      <c r="G4761" s="101"/>
      <c r="H4761" s="101"/>
      <c r="I4761" s="101"/>
      <c r="K4761" s="226"/>
      <c r="L4761" s="226"/>
      <c r="M4761" s="101"/>
      <c r="N4761" s="101"/>
    </row>
    <row r="4762" spans="7:14" hidden="1" x14ac:dyDescent="0.3">
      <c r="G4762" s="101"/>
      <c r="H4762" s="101"/>
      <c r="I4762" s="101"/>
      <c r="K4762" s="226"/>
      <c r="L4762" s="226"/>
      <c r="M4762" s="101"/>
      <c r="N4762" s="101"/>
    </row>
    <row r="4763" spans="7:14" hidden="1" x14ac:dyDescent="0.3">
      <c r="G4763" s="101"/>
      <c r="H4763" s="101"/>
      <c r="I4763" s="101"/>
      <c r="K4763" s="226"/>
      <c r="L4763" s="226"/>
      <c r="M4763" s="101"/>
      <c r="N4763" s="101"/>
    </row>
    <row r="4764" spans="7:14" hidden="1" x14ac:dyDescent="0.3">
      <c r="G4764" s="101"/>
      <c r="H4764" s="101"/>
      <c r="I4764" s="101"/>
      <c r="K4764" s="226"/>
      <c r="L4764" s="226"/>
      <c r="M4764" s="101"/>
      <c r="N4764" s="101"/>
    </row>
    <row r="4765" spans="7:14" hidden="1" x14ac:dyDescent="0.3">
      <c r="G4765" s="101"/>
      <c r="H4765" s="101"/>
      <c r="I4765" s="101"/>
      <c r="K4765" s="226"/>
      <c r="L4765" s="226"/>
      <c r="M4765" s="101"/>
      <c r="N4765" s="101"/>
    </row>
    <row r="4766" spans="7:14" hidden="1" x14ac:dyDescent="0.3">
      <c r="G4766" s="101"/>
      <c r="H4766" s="101"/>
      <c r="I4766" s="101"/>
      <c r="K4766" s="226"/>
      <c r="L4766" s="226"/>
      <c r="M4766" s="101"/>
      <c r="N4766" s="101"/>
    </row>
    <row r="4767" spans="7:14" hidden="1" x14ac:dyDescent="0.3">
      <c r="G4767" s="101"/>
      <c r="H4767" s="101"/>
      <c r="I4767" s="101"/>
      <c r="K4767" s="226"/>
      <c r="L4767" s="226"/>
      <c r="M4767" s="101"/>
      <c r="N4767" s="101"/>
    </row>
    <row r="4768" spans="7:14" hidden="1" x14ac:dyDescent="0.3">
      <c r="G4768" s="101"/>
      <c r="H4768" s="101"/>
      <c r="I4768" s="101"/>
      <c r="K4768" s="226"/>
      <c r="L4768" s="226"/>
      <c r="M4768" s="101"/>
      <c r="N4768" s="101"/>
    </row>
    <row r="4769" spans="7:14" hidden="1" x14ac:dyDescent="0.3">
      <c r="G4769" s="101"/>
      <c r="H4769" s="101"/>
      <c r="I4769" s="101"/>
      <c r="K4769" s="226"/>
      <c r="L4769" s="226"/>
      <c r="M4769" s="101"/>
      <c r="N4769" s="101"/>
    </row>
    <row r="4770" spans="7:14" hidden="1" x14ac:dyDescent="0.3">
      <c r="G4770" s="101"/>
      <c r="H4770" s="101"/>
      <c r="I4770" s="101"/>
      <c r="K4770" s="226"/>
      <c r="L4770" s="226"/>
      <c r="M4770" s="101"/>
      <c r="N4770" s="101"/>
    </row>
    <row r="4771" spans="7:14" hidden="1" x14ac:dyDescent="0.3">
      <c r="G4771" s="101"/>
      <c r="H4771" s="101"/>
      <c r="I4771" s="101"/>
      <c r="K4771" s="226"/>
      <c r="L4771" s="226"/>
      <c r="M4771" s="101"/>
      <c r="N4771" s="101"/>
    </row>
    <row r="4772" spans="7:14" hidden="1" x14ac:dyDescent="0.3">
      <c r="G4772" s="101"/>
      <c r="H4772" s="101"/>
      <c r="I4772" s="101"/>
      <c r="K4772" s="226"/>
      <c r="L4772" s="226"/>
      <c r="M4772" s="101"/>
      <c r="N4772" s="101"/>
    </row>
    <row r="4773" spans="7:14" hidden="1" x14ac:dyDescent="0.3">
      <c r="G4773" s="101"/>
      <c r="H4773" s="101"/>
      <c r="I4773" s="101"/>
      <c r="K4773" s="226"/>
      <c r="L4773" s="226"/>
      <c r="M4773" s="101"/>
      <c r="N4773" s="101"/>
    </row>
    <row r="4774" spans="7:14" hidden="1" x14ac:dyDescent="0.3">
      <c r="G4774" s="101"/>
      <c r="H4774" s="101"/>
      <c r="I4774" s="101"/>
      <c r="K4774" s="226"/>
      <c r="L4774" s="226"/>
      <c r="M4774" s="101"/>
      <c r="N4774" s="101"/>
    </row>
    <row r="4775" spans="7:14" hidden="1" x14ac:dyDescent="0.3">
      <c r="G4775" s="101"/>
      <c r="H4775" s="101"/>
      <c r="I4775" s="101"/>
      <c r="K4775" s="226"/>
      <c r="L4775" s="226"/>
      <c r="M4775" s="101"/>
      <c r="N4775" s="101"/>
    </row>
    <row r="4776" spans="7:14" hidden="1" x14ac:dyDescent="0.3">
      <c r="G4776" s="101"/>
      <c r="H4776" s="101"/>
      <c r="I4776" s="101"/>
      <c r="K4776" s="226"/>
      <c r="L4776" s="226"/>
      <c r="M4776" s="101"/>
      <c r="N4776" s="101"/>
    </row>
    <row r="4777" spans="7:14" hidden="1" x14ac:dyDescent="0.3">
      <c r="G4777" s="101"/>
      <c r="H4777" s="101"/>
      <c r="I4777" s="101"/>
      <c r="K4777" s="226"/>
      <c r="L4777" s="226"/>
      <c r="M4777" s="101"/>
      <c r="N4777" s="101"/>
    </row>
    <row r="4778" spans="7:14" hidden="1" x14ac:dyDescent="0.3">
      <c r="G4778" s="101"/>
      <c r="H4778" s="101"/>
      <c r="I4778" s="101"/>
      <c r="K4778" s="226"/>
      <c r="L4778" s="226"/>
      <c r="M4778" s="101"/>
      <c r="N4778" s="101"/>
    </row>
    <row r="4779" spans="7:14" hidden="1" x14ac:dyDescent="0.3">
      <c r="G4779" s="101"/>
      <c r="H4779" s="101"/>
      <c r="I4779" s="101"/>
      <c r="K4779" s="226"/>
      <c r="L4779" s="226"/>
      <c r="M4779" s="101"/>
      <c r="N4779" s="101"/>
    </row>
    <row r="4780" spans="7:14" hidden="1" x14ac:dyDescent="0.3">
      <c r="G4780" s="101"/>
      <c r="H4780" s="101"/>
      <c r="I4780" s="101"/>
      <c r="K4780" s="226"/>
      <c r="L4780" s="226"/>
      <c r="M4780" s="101"/>
      <c r="N4780" s="101"/>
    </row>
    <row r="4781" spans="7:14" hidden="1" x14ac:dyDescent="0.3">
      <c r="G4781" s="101"/>
      <c r="H4781" s="101"/>
      <c r="I4781" s="101"/>
      <c r="K4781" s="226"/>
      <c r="L4781" s="226"/>
      <c r="M4781" s="101"/>
      <c r="N4781" s="101"/>
    </row>
    <row r="4782" spans="7:14" hidden="1" x14ac:dyDescent="0.3">
      <c r="G4782" s="101"/>
      <c r="H4782" s="101"/>
      <c r="I4782" s="101"/>
      <c r="K4782" s="226"/>
      <c r="L4782" s="226"/>
      <c r="M4782" s="101"/>
      <c r="N4782" s="101"/>
    </row>
    <row r="4783" spans="7:14" hidden="1" x14ac:dyDescent="0.3">
      <c r="G4783" s="101"/>
      <c r="H4783" s="101"/>
      <c r="I4783" s="101"/>
      <c r="K4783" s="226"/>
      <c r="L4783" s="226"/>
      <c r="M4783" s="101"/>
      <c r="N4783" s="101"/>
    </row>
    <row r="4784" spans="7:14" hidden="1" x14ac:dyDescent="0.3">
      <c r="G4784" s="101"/>
      <c r="H4784" s="101"/>
      <c r="I4784" s="101"/>
      <c r="K4784" s="226"/>
      <c r="L4784" s="226"/>
      <c r="M4784" s="101"/>
      <c r="N4784" s="101"/>
    </row>
    <row r="4785" spans="7:14" hidden="1" x14ac:dyDescent="0.3">
      <c r="G4785" s="101"/>
      <c r="H4785" s="101"/>
      <c r="I4785" s="101"/>
      <c r="K4785" s="226"/>
      <c r="L4785" s="226"/>
      <c r="M4785" s="101"/>
      <c r="N4785" s="101"/>
    </row>
    <row r="4786" spans="7:14" hidden="1" x14ac:dyDescent="0.3">
      <c r="G4786" s="101"/>
      <c r="H4786" s="101"/>
      <c r="I4786" s="101"/>
      <c r="K4786" s="226"/>
      <c r="L4786" s="226"/>
      <c r="M4786" s="101"/>
      <c r="N4786" s="101"/>
    </row>
    <row r="4787" spans="7:14" hidden="1" x14ac:dyDescent="0.3">
      <c r="G4787" s="101"/>
      <c r="H4787" s="101"/>
      <c r="I4787" s="101"/>
      <c r="K4787" s="226"/>
      <c r="L4787" s="226"/>
      <c r="M4787" s="101"/>
      <c r="N4787" s="101"/>
    </row>
    <row r="4788" spans="7:14" hidden="1" x14ac:dyDescent="0.3">
      <c r="G4788" s="101"/>
      <c r="H4788" s="101"/>
      <c r="I4788" s="101"/>
      <c r="K4788" s="226"/>
      <c r="L4788" s="226"/>
      <c r="M4788" s="101"/>
      <c r="N4788" s="101"/>
    </row>
    <row r="4789" spans="7:14" hidden="1" x14ac:dyDescent="0.3">
      <c r="G4789" s="101"/>
      <c r="H4789" s="101"/>
      <c r="I4789" s="101"/>
      <c r="K4789" s="226"/>
      <c r="L4789" s="226"/>
      <c r="M4789" s="101"/>
      <c r="N4789" s="101"/>
    </row>
    <row r="4790" spans="7:14" hidden="1" x14ac:dyDescent="0.3">
      <c r="G4790" s="101"/>
      <c r="H4790" s="101"/>
      <c r="I4790" s="101"/>
      <c r="K4790" s="226"/>
      <c r="L4790" s="226"/>
      <c r="M4790" s="101"/>
      <c r="N4790" s="101"/>
    </row>
    <row r="4791" spans="7:14" hidden="1" x14ac:dyDescent="0.3">
      <c r="G4791" s="101"/>
      <c r="H4791" s="101"/>
      <c r="I4791" s="101"/>
      <c r="K4791" s="226"/>
      <c r="L4791" s="226"/>
      <c r="M4791" s="101"/>
      <c r="N4791" s="101"/>
    </row>
    <row r="4792" spans="7:14" hidden="1" x14ac:dyDescent="0.3">
      <c r="G4792" s="101"/>
      <c r="H4792" s="101"/>
      <c r="I4792" s="101"/>
      <c r="K4792" s="226"/>
      <c r="L4792" s="226"/>
      <c r="M4792" s="101"/>
      <c r="N4792" s="101"/>
    </row>
    <row r="4793" spans="7:14" hidden="1" x14ac:dyDescent="0.3">
      <c r="G4793" s="101"/>
      <c r="H4793" s="101"/>
      <c r="I4793" s="101"/>
      <c r="K4793" s="226"/>
      <c r="L4793" s="226"/>
      <c r="M4793" s="101"/>
      <c r="N4793" s="101"/>
    </row>
    <row r="4794" spans="7:14" hidden="1" x14ac:dyDescent="0.3">
      <c r="G4794" s="101"/>
      <c r="H4794" s="101"/>
      <c r="I4794" s="101"/>
      <c r="K4794" s="226"/>
      <c r="L4794" s="226"/>
      <c r="M4794" s="101"/>
      <c r="N4794" s="101"/>
    </row>
    <row r="4795" spans="7:14" hidden="1" x14ac:dyDescent="0.3">
      <c r="G4795" s="101"/>
      <c r="H4795" s="101"/>
      <c r="I4795" s="101"/>
      <c r="K4795" s="226"/>
      <c r="L4795" s="226"/>
      <c r="M4795" s="101"/>
      <c r="N4795" s="101"/>
    </row>
    <row r="4796" spans="7:14" hidden="1" x14ac:dyDescent="0.3">
      <c r="G4796" s="101"/>
      <c r="H4796" s="101"/>
      <c r="I4796" s="101"/>
      <c r="K4796" s="226"/>
      <c r="L4796" s="226"/>
      <c r="M4796" s="101"/>
      <c r="N4796" s="101"/>
    </row>
    <row r="4797" spans="7:14" hidden="1" x14ac:dyDescent="0.3">
      <c r="G4797" s="101"/>
      <c r="H4797" s="101"/>
      <c r="I4797" s="101"/>
      <c r="K4797" s="226"/>
      <c r="L4797" s="226"/>
      <c r="M4797" s="101"/>
      <c r="N4797" s="101"/>
    </row>
    <row r="4798" spans="7:14" hidden="1" x14ac:dyDescent="0.3">
      <c r="G4798" s="101"/>
      <c r="H4798" s="101"/>
      <c r="I4798" s="101"/>
      <c r="K4798" s="226"/>
      <c r="L4798" s="226"/>
      <c r="M4798" s="101"/>
      <c r="N4798" s="101"/>
    </row>
    <row r="4799" spans="7:14" hidden="1" x14ac:dyDescent="0.3">
      <c r="G4799" s="101"/>
      <c r="H4799" s="101"/>
      <c r="I4799" s="101"/>
      <c r="K4799" s="226"/>
      <c r="L4799" s="226"/>
      <c r="M4799" s="101"/>
      <c r="N4799" s="101"/>
    </row>
    <row r="4800" spans="7:14" hidden="1" x14ac:dyDescent="0.3">
      <c r="G4800" s="101"/>
      <c r="H4800" s="101"/>
      <c r="I4800" s="101"/>
      <c r="K4800" s="226"/>
      <c r="L4800" s="226"/>
      <c r="M4800" s="101"/>
      <c r="N4800" s="101"/>
    </row>
    <row r="4801" spans="7:14" hidden="1" x14ac:dyDescent="0.3">
      <c r="G4801" s="101"/>
      <c r="H4801" s="101"/>
      <c r="I4801" s="101"/>
      <c r="K4801" s="226"/>
      <c r="L4801" s="226"/>
      <c r="M4801" s="101"/>
      <c r="N4801" s="101"/>
    </row>
    <row r="4802" spans="7:14" hidden="1" x14ac:dyDescent="0.3">
      <c r="G4802" s="101"/>
      <c r="H4802" s="101"/>
      <c r="I4802" s="101"/>
      <c r="K4802" s="226"/>
      <c r="L4802" s="226"/>
      <c r="M4802" s="101"/>
      <c r="N4802" s="101"/>
    </row>
    <row r="4803" spans="7:14" hidden="1" x14ac:dyDescent="0.3">
      <c r="G4803" s="101"/>
      <c r="H4803" s="101"/>
      <c r="I4803" s="101"/>
      <c r="K4803" s="226"/>
      <c r="L4803" s="226"/>
      <c r="M4803" s="101"/>
      <c r="N4803" s="101"/>
    </row>
    <row r="4804" spans="7:14" hidden="1" x14ac:dyDescent="0.3">
      <c r="G4804" s="101"/>
      <c r="H4804" s="101"/>
      <c r="I4804" s="101"/>
      <c r="K4804" s="226"/>
      <c r="L4804" s="226"/>
      <c r="M4804" s="101"/>
      <c r="N4804" s="101"/>
    </row>
    <row r="4805" spans="7:14" hidden="1" x14ac:dyDescent="0.3">
      <c r="G4805" s="101"/>
      <c r="H4805" s="101"/>
      <c r="I4805" s="101"/>
      <c r="K4805" s="226"/>
      <c r="L4805" s="226"/>
      <c r="M4805" s="101"/>
      <c r="N4805" s="101"/>
    </row>
    <row r="4806" spans="7:14" hidden="1" x14ac:dyDescent="0.3">
      <c r="G4806" s="101"/>
      <c r="H4806" s="101"/>
      <c r="I4806" s="101"/>
      <c r="K4806" s="226"/>
      <c r="L4806" s="226"/>
      <c r="M4806" s="101"/>
      <c r="N4806" s="101"/>
    </row>
    <row r="4807" spans="7:14" hidden="1" x14ac:dyDescent="0.3">
      <c r="G4807" s="101"/>
      <c r="H4807" s="101"/>
      <c r="I4807" s="101"/>
      <c r="K4807" s="226"/>
      <c r="L4807" s="226"/>
      <c r="M4807" s="101"/>
      <c r="N4807" s="101"/>
    </row>
    <row r="4808" spans="7:14" hidden="1" x14ac:dyDescent="0.3">
      <c r="G4808" s="101"/>
      <c r="H4808" s="101"/>
      <c r="I4808" s="101"/>
      <c r="K4808" s="226"/>
      <c r="L4808" s="226"/>
      <c r="M4808" s="101"/>
      <c r="N4808" s="101"/>
    </row>
    <row r="4809" spans="7:14" hidden="1" x14ac:dyDescent="0.3">
      <c r="G4809" s="101"/>
      <c r="H4809" s="101"/>
      <c r="I4809" s="101"/>
      <c r="K4809" s="226"/>
      <c r="L4809" s="226"/>
      <c r="M4809" s="101"/>
      <c r="N4809" s="101"/>
    </row>
    <row r="4810" spans="7:14" hidden="1" x14ac:dyDescent="0.3">
      <c r="G4810" s="101"/>
      <c r="H4810" s="101"/>
      <c r="I4810" s="101"/>
      <c r="K4810" s="226"/>
      <c r="L4810" s="226"/>
      <c r="M4810" s="101"/>
      <c r="N4810" s="101"/>
    </row>
    <row r="4811" spans="7:14" hidden="1" x14ac:dyDescent="0.3">
      <c r="G4811" s="101"/>
      <c r="H4811" s="101"/>
      <c r="I4811" s="101"/>
      <c r="K4811" s="226"/>
      <c r="L4811" s="226"/>
      <c r="M4811" s="101"/>
      <c r="N4811" s="101"/>
    </row>
    <row r="4812" spans="7:14" hidden="1" x14ac:dyDescent="0.3">
      <c r="G4812" s="101"/>
      <c r="H4812" s="101"/>
      <c r="I4812" s="101"/>
      <c r="K4812" s="226"/>
      <c r="L4812" s="226"/>
      <c r="M4812" s="101"/>
      <c r="N4812" s="101"/>
    </row>
    <row r="4813" spans="7:14" hidden="1" x14ac:dyDescent="0.3">
      <c r="G4813" s="101"/>
      <c r="H4813" s="101"/>
      <c r="I4813" s="101"/>
      <c r="K4813" s="226"/>
      <c r="L4813" s="226"/>
      <c r="M4813" s="101"/>
      <c r="N4813" s="101"/>
    </row>
    <row r="4814" spans="7:14" hidden="1" x14ac:dyDescent="0.3">
      <c r="G4814" s="101"/>
      <c r="H4814" s="101"/>
      <c r="I4814" s="101"/>
      <c r="K4814" s="226"/>
      <c r="L4814" s="226"/>
      <c r="M4814" s="101"/>
      <c r="N4814" s="101"/>
    </row>
    <row r="4815" spans="7:14" hidden="1" x14ac:dyDescent="0.3">
      <c r="G4815" s="101"/>
      <c r="H4815" s="101"/>
      <c r="I4815" s="101"/>
      <c r="K4815" s="226"/>
      <c r="L4815" s="226"/>
      <c r="M4815" s="101"/>
      <c r="N4815" s="101"/>
    </row>
    <row r="4816" spans="7:14" hidden="1" x14ac:dyDescent="0.3">
      <c r="G4816" s="101"/>
      <c r="H4816" s="101"/>
      <c r="I4816" s="101"/>
      <c r="K4816" s="226"/>
      <c r="L4816" s="226"/>
      <c r="M4816" s="101"/>
      <c r="N4816" s="101"/>
    </row>
    <row r="4817" spans="7:14" hidden="1" x14ac:dyDescent="0.3">
      <c r="G4817" s="101"/>
      <c r="H4817" s="101"/>
      <c r="I4817" s="101"/>
      <c r="K4817" s="226"/>
      <c r="L4817" s="226"/>
      <c r="M4817" s="101"/>
      <c r="N4817" s="101"/>
    </row>
    <row r="4818" spans="7:14" hidden="1" x14ac:dyDescent="0.3">
      <c r="G4818" s="101"/>
      <c r="H4818" s="101"/>
      <c r="I4818" s="101"/>
      <c r="K4818" s="226"/>
      <c r="L4818" s="226"/>
      <c r="M4818" s="101"/>
      <c r="N4818" s="101"/>
    </row>
    <row r="4819" spans="7:14" hidden="1" x14ac:dyDescent="0.3">
      <c r="G4819" s="101"/>
      <c r="H4819" s="101"/>
      <c r="I4819" s="101"/>
      <c r="K4819" s="226"/>
      <c r="L4819" s="226"/>
      <c r="M4819" s="101"/>
      <c r="N4819" s="101"/>
    </row>
    <row r="4820" spans="7:14" hidden="1" x14ac:dyDescent="0.3">
      <c r="G4820" s="101"/>
      <c r="H4820" s="101"/>
      <c r="I4820" s="101"/>
      <c r="K4820" s="226"/>
      <c r="L4820" s="226"/>
      <c r="M4820" s="101"/>
      <c r="N4820" s="101"/>
    </row>
    <row r="4821" spans="7:14" hidden="1" x14ac:dyDescent="0.3">
      <c r="G4821" s="101"/>
      <c r="H4821" s="101"/>
      <c r="I4821" s="101"/>
      <c r="K4821" s="226"/>
      <c r="L4821" s="226"/>
      <c r="M4821" s="101"/>
      <c r="N4821" s="101"/>
    </row>
    <row r="4822" spans="7:14" hidden="1" x14ac:dyDescent="0.3">
      <c r="G4822" s="101"/>
      <c r="H4822" s="101"/>
      <c r="I4822" s="101"/>
      <c r="K4822" s="226"/>
      <c r="L4822" s="226"/>
      <c r="M4822" s="101"/>
      <c r="N4822" s="101"/>
    </row>
    <row r="4823" spans="7:14" hidden="1" x14ac:dyDescent="0.3">
      <c r="G4823" s="101"/>
      <c r="H4823" s="101"/>
      <c r="I4823" s="101"/>
      <c r="K4823" s="226"/>
      <c r="L4823" s="226"/>
      <c r="M4823" s="101"/>
      <c r="N4823" s="101"/>
    </row>
    <row r="4824" spans="7:14" hidden="1" x14ac:dyDescent="0.3">
      <c r="G4824" s="101"/>
      <c r="H4824" s="101"/>
      <c r="I4824" s="101"/>
      <c r="K4824" s="226"/>
      <c r="L4824" s="226"/>
      <c r="M4824" s="101"/>
      <c r="N4824" s="101"/>
    </row>
    <row r="4825" spans="7:14" hidden="1" x14ac:dyDescent="0.3">
      <c r="G4825" s="101"/>
      <c r="H4825" s="101"/>
      <c r="I4825" s="101"/>
      <c r="K4825" s="226"/>
      <c r="L4825" s="226"/>
      <c r="M4825" s="101"/>
      <c r="N4825" s="101"/>
    </row>
    <row r="4826" spans="7:14" hidden="1" x14ac:dyDescent="0.3">
      <c r="G4826" s="101"/>
      <c r="H4826" s="101"/>
      <c r="I4826" s="101"/>
      <c r="K4826" s="226"/>
      <c r="L4826" s="226"/>
      <c r="M4826" s="101"/>
      <c r="N4826" s="101"/>
    </row>
    <row r="4827" spans="7:14" hidden="1" x14ac:dyDescent="0.3">
      <c r="G4827" s="101"/>
      <c r="H4827" s="101"/>
      <c r="I4827" s="101"/>
      <c r="K4827" s="226"/>
      <c r="L4827" s="226"/>
      <c r="M4827" s="101"/>
      <c r="N4827" s="101"/>
    </row>
    <row r="4828" spans="7:14" hidden="1" x14ac:dyDescent="0.3">
      <c r="G4828" s="101"/>
      <c r="H4828" s="101"/>
      <c r="I4828" s="101"/>
      <c r="K4828" s="226"/>
      <c r="L4828" s="226"/>
      <c r="M4828" s="101"/>
      <c r="N4828" s="101"/>
    </row>
    <row r="4829" spans="7:14" hidden="1" x14ac:dyDescent="0.3">
      <c r="G4829" s="101"/>
      <c r="H4829" s="101"/>
      <c r="I4829" s="101"/>
      <c r="K4829" s="226"/>
      <c r="L4829" s="226"/>
      <c r="M4829" s="101"/>
      <c r="N4829" s="101"/>
    </row>
    <row r="4830" spans="7:14" hidden="1" x14ac:dyDescent="0.3">
      <c r="G4830" s="101"/>
      <c r="H4830" s="101"/>
      <c r="I4830" s="101"/>
      <c r="K4830" s="226"/>
      <c r="L4830" s="226"/>
      <c r="M4830" s="101"/>
      <c r="N4830" s="101"/>
    </row>
    <row r="4831" spans="7:14" hidden="1" x14ac:dyDescent="0.3">
      <c r="G4831" s="101"/>
      <c r="H4831" s="101"/>
      <c r="I4831" s="101"/>
      <c r="K4831" s="226"/>
      <c r="L4831" s="226"/>
      <c r="M4831" s="101"/>
      <c r="N4831" s="101"/>
    </row>
    <row r="4832" spans="7:14" hidden="1" x14ac:dyDescent="0.3">
      <c r="G4832" s="101"/>
      <c r="H4832" s="101"/>
      <c r="I4832" s="101"/>
      <c r="K4832" s="226"/>
      <c r="L4832" s="226"/>
      <c r="M4832" s="101"/>
      <c r="N4832" s="101"/>
    </row>
    <row r="4833" spans="7:14" hidden="1" x14ac:dyDescent="0.3">
      <c r="G4833" s="101"/>
      <c r="H4833" s="101"/>
      <c r="I4833" s="101"/>
      <c r="K4833" s="226"/>
      <c r="L4833" s="226"/>
      <c r="M4833" s="101"/>
      <c r="N4833" s="101"/>
    </row>
    <row r="4834" spans="7:14" hidden="1" x14ac:dyDescent="0.3">
      <c r="G4834" s="101"/>
      <c r="H4834" s="101"/>
      <c r="I4834" s="101"/>
      <c r="K4834" s="226"/>
      <c r="L4834" s="226"/>
      <c r="M4834" s="101"/>
      <c r="N4834" s="101"/>
    </row>
    <row r="4835" spans="7:14" hidden="1" x14ac:dyDescent="0.3">
      <c r="G4835" s="101"/>
      <c r="H4835" s="101"/>
      <c r="I4835" s="101"/>
      <c r="K4835" s="226"/>
      <c r="L4835" s="226"/>
      <c r="M4835" s="101"/>
      <c r="N4835" s="101"/>
    </row>
    <row r="4836" spans="7:14" hidden="1" x14ac:dyDescent="0.3">
      <c r="G4836" s="101"/>
      <c r="H4836" s="101"/>
      <c r="I4836" s="101"/>
      <c r="K4836" s="226"/>
      <c r="L4836" s="226"/>
      <c r="M4836" s="101"/>
      <c r="N4836" s="101"/>
    </row>
    <row r="4837" spans="7:14" hidden="1" x14ac:dyDescent="0.3">
      <c r="G4837" s="101"/>
      <c r="H4837" s="101"/>
      <c r="I4837" s="101"/>
      <c r="K4837" s="226"/>
      <c r="L4837" s="226"/>
      <c r="M4837" s="101"/>
      <c r="N4837" s="101"/>
    </row>
    <row r="4838" spans="7:14" hidden="1" x14ac:dyDescent="0.3">
      <c r="G4838" s="101"/>
      <c r="H4838" s="101"/>
      <c r="I4838" s="101"/>
      <c r="K4838" s="226"/>
      <c r="L4838" s="226"/>
      <c r="M4838" s="101"/>
      <c r="N4838" s="101"/>
    </row>
    <row r="4839" spans="7:14" hidden="1" x14ac:dyDescent="0.3">
      <c r="G4839" s="101"/>
      <c r="H4839" s="101"/>
      <c r="I4839" s="101"/>
      <c r="K4839" s="226"/>
      <c r="L4839" s="226"/>
      <c r="M4839" s="101"/>
      <c r="N4839" s="101"/>
    </row>
    <row r="4840" spans="7:14" hidden="1" x14ac:dyDescent="0.3">
      <c r="G4840" s="101"/>
      <c r="H4840" s="101"/>
      <c r="I4840" s="101"/>
      <c r="K4840" s="226"/>
      <c r="L4840" s="226"/>
      <c r="M4840" s="101"/>
      <c r="N4840" s="101"/>
    </row>
    <row r="4841" spans="7:14" hidden="1" x14ac:dyDescent="0.3">
      <c r="G4841" s="101"/>
      <c r="H4841" s="101"/>
      <c r="I4841" s="101"/>
      <c r="K4841" s="226"/>
      <c r="L4841" s="226"/>
      <c r="M4841" s="101"/>
      <c r="N4841" s="101"/>
    </row>
    <row r="4842" spans="7:14" hidden="1" x14ac:dyDescent="0.3">
      <c r="G4842" s="101"/>
      <c r="H4842" s="101"/>
      <c r="I4842" s="101"/>
      <c r="K4842" s="226"/>
      <c r="L4842" s="226"/>
      <c r="M4842" s="101"/>
      <c r="N4842" s="101"/>
    </row>
    <row r="4843" spans="7:14" hidden="1" x14ac:dyDescent="0.3">
      <c r="G4843" s="101"/>
      <c r="H4843" s="101"/>
      <c r="I4843" s="101"/>
      <c r="K4843" s="226"/>
      <c r="L4843" s="226"/>
      <c r="M4843" s="101"/>
      <c r="N4843" s="101"/>
    </row>
    <row r="4844" spans="7:14" hidden="1" x14ac:dyDescent="0.3">
      <c r="G4844" s="101"/>
      <c r="H4844" s="101"/>
      <c r="I4844" s="101"/>
      <c r="K4844" s="226"/>
      <c r="L4844" s="226"/>
      <c r="M4844" s="101"/>
      <c r="N4844" s="101"/>
    </row>
    <row r="4845" spans="7:14" hidden="1" x14ac:dyDescent="0.3">
      <c r="G4845" s="101"/>
      <c r="H4845" s="101"/>
      <c r="I4845" s="101"/>
      <c r="K4845" s="226"/>
      <c r="L4845" s="226"/>
      <c r="M4845" s="101"/>
      <c r="N4845" s="101"/>
    </row>
    <row r="4846" spans="7:14" hidden="1" x14ac:dyDescent="0.3">
      <c r="G4846" s="101"/>
      <c r="H4846" s="101"/>
      <c r="I4846" s="101"/>
      <c r="K4846" s="226"/>
      <c r="L4846" s="226"/>
      <c r="M4846" s="101"/>
      <c r="N4846" s="101"/>
    </row>
    <row r="4847" spans="7:14" hidden="1" x14ac:dyDescent="0.3">
      <c r="G4847" s="101"/>
      <c r="H4847" s="101"/>
      <c r="I4847" s="101"/>
      <c r="K4847" s="226"/>
      <c r="L4847" s="226"/>
      <c r="M4847" s="101"/>
      <c r="N4847" s="101"/>
    </row>
    <row r="4848" spans="7:14" hidden="1" x14ac:dyDescent="0.3">
      <c r="G4848" s="101"/>
      <c r="H4848" s="101"/>
      <c r="I4848" s="101"/>
      <c r="K4848" s="226"/>
      <c r="L4848" s="226"/>
      <c r="M4848" s="101"/>
      <c r="N4848" s="101"/>
    </row>
    <row r="4849" spans="7:14" hidden="1" x14ac:dyDescent="0.3">
      <c r="G4849" s="101"/>
      <c r="H4849" s="101"/>
      <c r="I4849" s="101"/>
      <c r="K4849" s="226"/>
      <c r="L4849" s="226"/>
      <c r="M4849" s="101"/>
      <c r="N4849" s="101"/>
    </row>
    <row r="4850" spans="7:14" hidden="1" x14ac:dyDescent="0.3">
      <c r="G4850" s="101"/>
      <c r="H4850" s="101"/>
      <c r="I4850" s="101"/>
      <c r="K4850" s="226"/>
      <c r="L4850" s="226"/>
      <c r="M4850" s="101"/>
      <c r="N4850" s="101"/>
    </row>
    <row r="4851" spans="7:14" hidden="1" x14ac:dyDescent="0.3">
      <c r="G4851" s="101"/>
      <c r="H4851" s="101"/>
      <c r="I4851" s="101"/>
      <c r="K4851" s="226"/>
      <c r="L4851" s="226"/>
      <c r="M4851" s="101"/>
      <c r="N4851" s="101"/>
    </row>
    <row r="4852" spans="7:14" hidden="1" x14ac:dyDescent="0.3">
      <c r="G4852" s="101"/>
      <c r="H4852" s="101"/>
      <c r="I4852" s="101"/>
      <c r="K4852" s="226"/>
      <c r="L4852" s="226"/>
      <c r="M4852" s="101"/>
      <c r="N4852" s="101"/>
    </row>
    <row r="4853" spans="7:14" hidden="1" x14ac:dyDescent="0.3">
      <c r="G4853" s="101"/>
      <c r="H4853" s="101"/>
      <c r="I4853" s="101"/>
      <c r="K4853" s="226"/>
      <c r="L4853" s="226"/>
      <c r="M4853" s="101"/>
      <c r="N4853" s="101"/>
    </row>
    <row r="4854" spans="7:14" hidden="1" x14ac:dyDescent="0.3">
      <c r="G4854" s="101"/>
      <c r="H4854" s="101"/>
      <c r="I4854" s="101"/>
      <c r="K4854" s="226"/>
      <c r="L4854" s="226"/>
      <c r="M4854" s="101"/>
      <c r="N4854" s="101"/>
    </row>
    <row r="4855" spans="7:14" hidden="1" x14ac:dyDescent="0.3">
      <c r="G4855" s="101"/>
      <c r="H4855" s="101"/>
      <c r="I4855" s="101"/>
      <c r="K4855" s="226"/>
      <c r="L4855" s="226"/>
      <c r="M4855" s="101"/>
      <c r="N4855" s="101"/>
    </row>
    <row r="4856" spans="7:14" hidden="1" x14ac:dyDescent="0.3">
      <c r="G4856" s="101"/>
      <c r="H4856" s="101"/>
      <c r="I4856" s="101"/>
      <c r="K4856" s="226"/>
      <c r="L4856" s="226"/>
      <c r="M4856" s="101"/>
      <c r="N4856" s="101"/>
    </row>
    <row r="4857" spans="7:14" hidden="1" x14ac:dyDescent="0.3">
      <c r="G4857" s="101"/>
      <c r="H4857" s="101"/>
      <c r="I4857" s="101"/>
      <c r="K4857" s="226"/>
      <c r="L4857" s="226"/>
      <c r="M4857" s="101"/>
      <c r="N4857" s="101"/>
    </row>
    <row r="4858" spans="7:14" hidden="1" x14ac:dyDescent="0.3">
      <c r="G4858" s="101"/>
      <c r="H4858" s="101"/>
      <c r="I4858" s="101"/>
      <c r="K4858" s="226"/>
      <c r="L4858" s="226"/>
      <c r="M4858" s="101"/>
      <c r="N4858" s="101"/>
    </row>
    <row r="4859" spans="7:14" hidden="1" x14ac:dyDescent="0.3">
      <c r="G4859" s="101"/>
      <c r="H4859" s="101"/>
      <c r="I4859" s="101"/>
      <c r="K4859" s="226"/>
      <c r="L4859" s="226"/>
      <c r="M4859" s="101"/>
      <c r="N4859" s="101"/>
    </row>
    <row r="4860" spans="7:14" hidden="1" x14ac:dyDescent="0.3">
      <c r="G4860" s="101"/>
      <c r="H4860" s="101"/>
      <c r="I4860" s="101"/>
      <c r="K4860" s="226"/>
      <c r="L4860" s="226"/>
      <c r="M4860" s="101"/>
      <c r="N4860" s="101"/>
    </row>
    <row r="4861" spans="7:14" hidden="1" x14ac:dyDescent="0.3">
      <c r="G4861" s="101"/>
      <c r="H4861" s="101"/>
      <c r="I4861" s="101"/>
      <c r="K4861" s="226"/>
      <c r="L4861" s="226"/>
      <c r="M4861" s="101"/>
      <c r="N4861" s="101"/>
    </row>
    <row r="4862" spans="7:14" hidden="1" x14ac:dyDescent="0.3">
      <c r="G4862" s="101"/>
      <c r="H4862" s="101"/>
      <c r="I4862" s="101"/>
      <c r="K4862" s="226"/>
      <c r="L4862" s="226"/>
      <c r="M4862" s="101"/>
      <c r="N4862" s="101"/>
    </row>
    <row r="4863" spans="7:14" hidden="1" x14ac:dyDescent="0.3">
      <c r="G4863" s="101"/>
      <c r="H4863" s="101"/>
      <c r="I4863" s="101"/>
      <c r="K4863" s="226"/>
      <c r="L4863" s="226"/>
      <c r="M4863" s="101"/>
      <c r="N4863" s="101"/>
    </row>
    <row r="4864" spans="7:14" hidden="1" x14ac:dyDescent="0.3">
      <c r="G4864" s="101"/>
      <c r="H4864" s="101"/>
      <c r="I4864" s="101"/>
      <c r="K4864" s="226"/>
      <c r="L4864" s="226"/>
      <c r="M4864" s="101"/>
      <c r="N4864" s="101"/>
    </row>
    <row r="4865" spans="7:14" hidden="1" x14ac:dyDescent="0.3">
      <c r="G4865" s="101"/>
      <c r="H4865" s="101"/>
      <c r="I4865" s="101"/>
      <c r="K4865" s="226"/>
      <c r="L4865" s="226"/>
      <c r="M4865" s="101"/>
      <c r="N4865" s="101"/>
    </row>
    <row r="4866" spans="7:14" hidden="1" x14ac:dyDescent="0.3">
      <c r="G4866" s="101"/>
      <c r="H4866" s="101"/>
      <c r="I4866" s="101"/>
      <c r="K4866" s="226"/>
      <c r="L4866" s="226"/>
      <c r="M4866" s="101"/>
      <c r="N4866" s="101"/>
    </row>
    <row r="4867" spans="7:14" hidden="1" x14ac:dyDescent="0.3">
      <c r="G4867" s="101"/>
      <c r="H4867" s="101"/>
      <c r="I4867" s="101"/>
      <c r="K4867" s="226"/>
      <c r="L4867" s="226"/>
      <c r="M4867" s="101"/>
      <c r="N4867" s="101"/>
    </row>
    <row r="4868" spans="7:14" hidden="1" x14ac:dyDescent="0.3">
      <c r="G4868" s="101"/>
      <c r="H4868" s="101"/>
      <c r="I4868" s="101"/>
      <c r="K4868" s="226"/>
      <c r="L4868" s="226"/>
      <c r="M4868" s="101"/>
      <c r="N4868" s="101"/>
    </row>
    <row r="4869" spans="7:14" hidden="1" x14ac:dyDescent="0.3">
      <c r="G4869" s="101"/>
      <c r="H4869" s="101"/>
      <c r="I4869" s="101"/>
      <c r="K4869" s="226"/>
      <c r="L4869" s="226"/>
      <c r="M4869" s="101"/>
      <c r="N4869" s="101"/>
    </row>
    <row r="4870" spans="7:14" hidden="1" x14ac:dyDescent="0.3">
      <c r="G4870" s="101"/>
      <c r="H4870" s="101"/>
      <c r="I4870" s="101"/>
      <c r="K4870" s="226"/>
      <c r="L4870" s="226"/>
      <c r="M4870" s="101"/>
      <c r="N4870" s="101"/>
    </row>
    <row r="4871" spans="7:14" hidden="1" x14ac:dyDescent="0.3">
      <c r="G4871" s="101"/>
      <c r="H4871" s="101"/>
      <c r="I4871" s="101"/>
      <c r="K4871" s="226"/>
      <c r="L4871" s="226"/>
      <c r="M4871" s="101"/>
      <c r="N4871" s="101"/>
    </row>
    <row r="4872" spans="7:14" hidden="1" x14ac:dyDescent="0.3">
      <c r="G4872" s="101"/>
      <c r="H4872" s="101"/>
      <c r="I4872" s="101"/>
      <c r="K4872" s="226"/>
      <c r="L4872" s="226"/>
      <c r="M4872" s="101"/>
      <c r="N4872" s="101"/>
    </row>
    <row r="4873" spans="7:14" hidden="1" x14ac:dyDescent="0.3">
      <c r="G4873" s="101"/>
      <c r="H4873" s="101"/>
      <c r="I4873" s="101"/>
      <c r="K4873" s="226"/>
      <c r="L4873" s="226"/>
      <c r="M4873" s="101"/>
      <c r="N4873" s="101"/>
    </row>
    <row r="4874" spans="7:14" hidden="1" x14ac:dyDescent="0.3">
      <c r="G4874" s="101"/>
      <c r="H4874" s="101"/>
      <c r="I4874" s="101"/>
      <c r="K4874" s="226"/>
      <c r="L4874" s="226"/>
      <c r="M4874" s="101"/>
      <c r="N4874" s="101"/>
    </row>
    <row r="4875" spans="7:14" hidden="1" x14ac:dyDescent="0.3">
      <c r="G4875" s="101"/>
      <c r="H4875" s="101"/>
      <c r="I4875" s="101"/>
      <c r="K4875" s="226"/>
      <c r="L4875" s="226"/>
      <c r="M4875" s="101"/>
      <c r="N4875" s="101"/>
    </row>
    <row r="4876" spans="7:14" hidden="1" x14ac:dyDescent="0.3">
      <c r="G4876" s="101"/>
      <c r="H4876" s="101"/>
      <c r="I4876" s="101"/>
      <c r="K4876" s="226"/>
      <c r="L4876" s="226"/>
      <c r="M4876" s="101"/>
      <c r="N4876" s="101"/>
    </row>
    <row r="4877" spans="7:14" hidden="1" x14ac:dyDescent="0.3">
      <c r="G4877" s="101"/>
      <c r="H4877" s="101"/>
      <c r="I4877" s="101"/>
      <c r="K4877" s="226"/>
      <c r="L4877" s="226"/>
      <c r="M4877" s="101"/>
      <c r="N4877" s="101"/>
    </row>
    <row r="4878" spans="7:14" hidden="1" x14ac:dyDescent="0.3">
      <c r="G4878" s="101"/>
      <c r="H4878" s="101"/>
      <c r="I4878" s="101"/>
      <c r="K4878" s="226"/>
      <c r="L4878" s="226"/>
      <c r="M4878" s="101"/>
      <c r="N4878" s="101"/>
    </row>
    <row r="4879" spans="7:14" hidden="1" x14ac:dyDescent="0.3">
      <c r="G4879" s="101"/>
      <c r="H4879" s="101"/>
      <c r="I4879" s="101"/>
      <c r="K4879" s="226"/>
      <c r="L4879" s="226"/>
      <c r="M4879" s="101"/>
      <c r="N4879" s="101"/>
    </row>
    <row r="4880" spans="7:14" hidden="1" x14ac:dyDescent="0.3">
      <c r="G4880" s="101"/>
      <c r="H4880" s="101"/>
      <c r="I4880" s="101"/>
      <c r="K4880" s="226"/>
      <c r="L4880" s="226"/>
      <c r="M4880" s="101"/>
      <c r="N4880" s="101"/>
    </row>
    <row r="4881" spans="7:14" hidden="1" x14ac:dyDescent="0.3">
      <c r="G4881" s="101"/>
      <c r="H4881" s="101"/>
      <c r="I4881" s="101"/>
      <c r="K4881" s="226"/>
      <c r="L4881" s="226"/>
      <c r="M4881" s="101"/>
      <c r="N4881" s="101"/>
    </row>
    <row r="4882" spans="7:14" hidden="1" x14ac:dyDescent="0.3">
      <c r="G4882" s="101"/>
      <c r="H4882" s="101"/>
      <c r="I4882" s="101"/>
      <c r="K4882" s="226"/>
      <c r="L4882" s="226"/>
      <c r="M4882" s="101"/>
      <c r="N4882" s="101"/>
    </row>
    <row r="4883" spans="7:14" hidden="1" x14ac:dyDescent="0.3">
      <c r="G4883" s="101"/>
      <c r="H4883" s="101"/>
      <c r="I4883" s="101"/>
      <c r="K4883" s="226"/>
      <c r="L4883" s="226"/>
      <c r="M4883" s="101"/>
      <c r="N4883" s="101"/>
    </row>
    <row r="4884" spans="7:14" hidden="1" x14ac:dyDescent="0.3">
      <c r="G4884" s="101"/>
      <c r="H4884" s="101"/>
      <c r="I4884" s="101"/>
      <c r="K4884" s="226"/>
      <c r="L4884" s="226"/>
      <c r="M4884" s="101"/>
      <c r="N4884" s="101"/>
    </row>
    <row r="4885" spans="7:14" hidden="1" x14ac:dyDescent="0.3">
      <c r="G4885" s="101"/>
      <c r="H4885" s="101"/>
      <c r="I4885" s="101"/>
      <c r="K4885" s="226"/>
      <c r="L4885" s="226"/>
      <c r="M4885" s="101"/>
      <c r="N4885" s="101"/>
    </row>
    <row r="4886" spans="7:14" hidden="1" x14ac:dyDescent="0.3">
      <c r="G4886" s="101"/>
      <c r="H4886" s="101"/>
      <c r="I4886" s="101"/>
      <c r="K4886" s="226"/>
      <c r="L4886" s="226"/>
      <c r="M4886" s="101"/>
      <c r="N4886" s="101"/>
    </row>
    <row r="4887" spans="7:14" hidden="1" x14ac:dyDescent="0.3">
      <c r="G4887" s="101"/>
      <c r="H4887" s="101"/>
      <c r="I4887" s="101"/>
      <c r="K4887" s="226"/>
      <c r="L4887" s="226"/>
      <c r="M4887" s="101"/>
      <c r="N4887" s="101"/>
    </row>
    <row r="4888" spans="7:14" hidden="1" x14ac:dyDescent="0.3">
      <c r="G4888" s="101"/>
      <c r="H4888" s="101"/>
      <c r="I4888" s="101"/>
      <c r="K4888" s="226"/>
      <c r="L4888" s="226"/>
      <c r="M4888" s="101"/>
      <c r="N4888" s="101"/>
    </row>
    <row r="4889" spans="7:14" hidden="1" x14ac:dyDescent="0.3">
      <c r="G4889" s="101"/>
      <c r="H4889" s="101"/>
      <c r="I4889" s="101"/>
      <c r="K4889" s="226"/>
      <c r="L4889" s="226"/>
      <c r="M4889" s="101"/>
      <c r="N4889" s="101"/>
    </row>
    <row r="4890" spans="7:14" hidden="1" x14ac:dyDescent="0.3">
      <c r="G4890" s="101"/>
      <c r="H4890" s="101"/>
      <c r="I4890" s="101"/>
      <c r="K4890" s="226"/>
      <c r="L4890" s="226"/>
      <c r="M4890" s="101"/>
      <c r="N4890" s="101"/>
    </row>
    <row r="4891" spans="7:14" hidden="1" x14ac:dyDescent="0.3">
      <c r="G4891" s="101"/>
      <c r="H4891" s="101"/>
      <c r="I4891" s="101"/>
      <c r="K4891" s="226"/>
      <c r="L4891" s="226"/>
      <c r="M4891" s="101"/>
      <c r="N4891" s="101"/>
    </row>
    <row r="4892" spans="7:14" hidden="1" x14ac:dyDescent="0.3">
      <c r="G4892" s="101"/>
      <c r="H4892" s="101"/>
      <c r="I4892" s="101"/>
      <c r="K4892" s="226"/>
      <c r="L4892" s="226"/>
      <c r="M4892" s="101"/>
      <c r="N4892" s="101"/>
    </row>
    <row r="4893" spans="7:14" hidden="1" x14ac:dyDescent="0.3">
      <c r="G4893" s="101"/>
      <c r="H4893" s="101"/>
      <c r="I4893" s="101"/>
      <c r="K4893" s="226"/>
      <c r="L4893" s="226"/>
      <c r="M4893" s="101"/>
      <c r="N4893" s="101"/>
    </row>
    <row r="4894" spans="7:14" hidden="1" x14ac:dyDescent="0.3">
      <c r="G4894" s="101"/>
      <c r="H4894" s="101"/>
      <c r="I4894" s="101"/>
      <c r="K4894" s="226"/>
      <c r="L4894" s="226"/>
      <c r="M4894" s="101"/>
      <c r="N4894" s="101"/>
    </row>
    <row r="4895" spans="7:14" hidden="1" x14ac:dyDescent="0.3">
      <c r="G4895" s="101"/>
      <c r="H4895" s="101"/>
      <c r="I4895" s="101"/>
      <c r="K4895" s="226"/>
      <c r="L4895" s="226"/>
      <c r="M4895" s="101"/>
      <c r="N4895" s="101"/>
    </row>
    <row r="4896" spans="7:14" hidden="1" x14ac:dyDescent="0.3">
      <c r="G4896" s="101"/>
      <c r="H4896" s="101"/>
      <c r="I4896" s="101"/>
      <c r="K4896" s="226"/>
      <c r="L4896" s="226"/>
      <c r="M4896" s="101"/>
      <c r="N4896" s="101"/>
    </row>
    <row r="4897" spans="7:14" hidden="1" x14ac:dyDescent="0.3">
      <c r="G4897" s="101"/>
      <c r="H4897" s="101"/>
      <c r="I4897" s="101"/>
      <c r="K4897" s="226"/>
      <c r="L4897" s="226"/>
      <c r="M4897" s="101"/>
      <c r="N4897" s="101"/>
    </row>
    <row r="4898" spans="7:14" hidden="1" x14ac:dyDescent="0.3">
      <c r="G4898" s="101"/>
      <c r="H4898" s="101"/>
      <c r="I4898" s="101"/>
      <c r="K4898" s="226"/>
      <c r="L4898" s="226"/>
      <c r="M4898" s="101"/>
      <c r="N4898" s="101"/>
    </row>
    <row r="4899" spans="7:14" hidden="1" x14ac:dyDescent="0.3">
      <c r="G4899" s="101"/>
      <c r="H4899" s="101"/>
      <c r="I4899" s="101"/>
      <c r="K4899" s="226"/>
      <c r="L4899" s="226"/>
      <c r="M4899" s="101"/>
      <c r="N4899" s="101"/>
    </row>
    <row r="4900" spans="7:14" hidden="1" x14ac:dyDescent="0.3">
      <c r="G4900" s="101"/>
      <c r="H4900" s="101"/>
      <c r="I4900" s="101"/>
      <c r="K4900" s="226"/>
      <c r="L4900" s="226"/>
      <c r="M4900" s="101"/>
      <c r="N4900" s="101"/>
    </row>
    <row r="4901" spans="7:14" hidden="1" x14ac:dyDescent="0.3">
      <c r="G4901" s="101"/>
      <c r="H4901" s="101"/>
      <c r="I4901" s="101"/>
      <c r="K4901" s="226"/>
      <c r="L4901" s="226"/>
      <c r="M4901" s="101"/>
      <c r="N4901" s="101"/>
    </row>
    <row r="4902" spans="7:14" hidden="1" x14ac:dyDescent="0.3">
      <c r="G4902" s="101"/>
      <c r="H4902" s="101"/>
      <c r="I4902" s="101"/>
      <c r="K4902" s="226"/>
      <c r="L4902" s="226"/>
      <c r="M4902" s="101"/>
      <c r="N4902" s="101"/>
    </row>
    <row r="4903" spans="7:14" hidden="1" x14ac:dyDescent="0.3">
      <c r="G4903" s="101"/>
      <c r="H4903" s="101"/>
      <c r="I4903" s="101"/>
      <c r="K4903" s="226"/>
      <c r="L4903" s="226"/>
      <c r="M4903" s="101"/>
      <c r="N4903" s="101"/>
    </row>
    <row r="4904" spans="7:14" hidden="1" x14ac:dyDescent="0.3">
      <c r="G4904" s="101"/>
      <c r="H4904" s="101"/>
      <c r="I4904" s="101"/>
      <c r="K4904" s="226"/>
      <c r="L4904" s="226"/>
      <c r="M4904" s="101"/>
      <c r="N4904" s="101"/>
    </row>
    <row r="4905" spans="7:14" hidden="1" x14ac:dyDescent="0.3">
      <c r="G4905" s="101"/>
      <c r="H4905" s="101"/>
      <c r="I4905" s="101"/>
      <c r="K4905" s="226"/>
      <c r="L4905" s="226"/>
      <c r="M4905" s="101"/>
      <c r="N4905" s="101"/>
    </row>
    <row r="4906" spans="7:14" hidden="1" x14ac:dyDescent="0.3">
      <c r="G4906" s="101"/>
      <c r="H4906" s="101"/>
      <c r="I4906" s="101"/>
      <c r="K4906" s="226"/>
      <c r="L4906" s="226"/>
      <c r="M4906" s="101"/>
      <c r="N4906" s="101"/>
    </row>
    <row r="4907" spans="7:14" hidden="1" x14ac:dyDescent="0.3">
      <c r="G4907" s="101"/>
      <c r="H4907" s="101"/>
      <c r="I4907" s="101"/>
      <c r="K4907" s="226"/>
      <c r="L4907" s="226"/>
      <c r="M4907" s="101"/>
      <c r="N4907" s="101"/>
    </row>
    <row r="4908" spans="7:14" hidden="1" x14ac:dyDescent="0.3">
      <c r="G4908" s="101"/>
      <c r="H4908" s="101"/>
      <c r="I4908" s="101"/>
      <c r="K4908" s="226"/>
      <c r="L4908" s="226"/>
      <c r="M4908" s="101"/>
      <c r="N4908" s="101"/>
    </row>
    <row r="4909" spans="7:14" hidden="1" x14ac:dyDescent="0.3">
      <c r="G4909" s="101"/>
      <c r="H4909" s="101"/>
      <c r="I4909" s="101"/>
      <c r="K4909" s="226"/>
      <c r="L4909" s="226"/>
      <c r="M4909" s="101"/>
      <c r="N4909" s="101"/>
    </row>
    <row r="4910" spans="7:14" hidden="1" x14ac:dyDescent="0.3">
      <c r="G4910" s="101"/>
      <c r="H4910" s="101"/>
      <c r="I4910" s="101"/>
      <c r="K4910" s="226"/>
      <c r="L4910" s="226"/>
      <c r="M4910" s="101"/>
      <c r="N4910" s="101"/>
    </row>
    <row r="4911" spans="7:14" hidden="1" x14ac:dyDescent="0.3">
      <c r="G4911" s="101"/>
      <c r="H4911" s="101"/>
      <c r="I4911" s="101"/>
      <c r="K4911" s="226"/>
      <c r="L4911" s="226"/>
      <c r="M4911" s="101"/>
      <c r="N4911" s="101"/>
    </row>
    <row r="4912" spans="7:14" hidden="1" x14ac:dyDescent="0.3">
      <c r="G4912" s="101"/>
      <c r="H4912" s="101"/>
      <c r="I4912" s="101"/>
      <c r="K4912" s="226"/>
      <c r="L4912" s="226"/>
      <c r="M4912" s="101"/>
      <c r="N4912" s="101"/>
    </row>
    <row r="4913" spans="7:14" hidden="1" x14ac:dyDescent="0.3">
      <c r="G4913" s="101"/>
      <c r="H4913" s="101"/>
      <c r="I4913" s="101"/>
      <c r="K4913" s="226"/>
      <c r="L4913" s="226"/>
      <c r="M4913" s="101"/>
      <c r="N4913" s="101"/>
    </row>
    <row r="4914" spans="7:14" hidden="1" x14ac:dyDescent="0.3">
      <c r="G4914" s="101"/>
      <c r="H4914" s="101"/>
      <c r="I4914" s="101"/>
      <c r="K4914" s="226"/>
      <c r="L4914" s="226"/>
      <c r="M4914" s="101"/>
      <c r="N4914" s="101"/>
    </row>
    <row r="4915" spans="7:14" hidden="1" x14ac:dyDescent="0.3">
      <c r="G4915" s="101"/>
      <c r="H4915" s="101"/>
      <c r="I4915" s="101"/>
      <c r="K4915" s="226"/>
      <c r="L4915" s="226"/>
      <c r="M4915" s="101"/>
      <c r="N4915" s="101"/>
    </row>
    <row r="4916" spans="7:14" hidden="1" x14ac:dyDescent="0.3">
      <c r="G4916" s="101"/>
      <c r="H4916" s="101"/>
      <c r="I4916" s="101"/>
      <c r="K4916" s="226"/>
      <c r="L4916" s="226"/>
      <c r="M4916" s="101"/>
      <c r="N4916" s="101"/>
    </row>
    <row r="4917" spans="7:14" hidden="1" x14ac:dyDescent="0.3">
      <c r="G4917" s="101"/>
      <c r="H4917" s="101"/>
      <c r="I4917" s="101"/>
      <c r="K4917" s="226"/>
      <c r="L4917" s="226"/>
      <c r="M4917" s="101"/>
      <c r="N4917" s="101"/>
    </row>
    <row r="4918" spans="7:14" hidden="1" x14ac:dyDescent="0.3">
      <c r="G4918" s="101"/>
      <c r="H4918" s="101"/>
      <c r="I4918" s="101"/>
      <c r="K4918" s="226"/>
      <c r="L4918" s="226"/>
      <c r="M4918" s="101"/>
      <c r="N4918" s="101"/>
    </row>
    <row r="4919" spans="7:14" hidden="1" x14ac:dyDescent="0.3">
      <c r="G4919" s="101"/>
      <c r="H4919" s="101"/>
      <c r="I4919" s="101"/>
      <c r="K4919" s="226"/>
      <c r="L4919" s="226"/>
      <c r="M4919" s="101"/>
      <c r="N4919" s="101"/>
    </row>
    <row r="4920" spans="7:14" hidden="1" x14ac:dyDescent="0.3">
      <c r="G4920" s="101"/>
      <c r="H4920" s="101"/>
      <c r="I4920" s="101"/>
      <c r="K4920" s="226"/>
      <c r="L4920" s="226"/>
      <c r="M4920" s="101"/>
      <c r="N4920" s="101"/>
    </row>
    <row r="4921" spans="7:14" hidden="1" x14ac:dyDescent="0.3">
      <c r="G4921" s="101"/>
      <c r="H4921" s="101"/>
      <c r="I4921" s="101"/>
      <c r="K4921" s="226"/>
      <c r="L4921" s="226"/>
      <c r="M4921" s="101"/>
      <c r="N4921" s="101"/>
    </row>
    <row r="4922" spans="7:14" hidden="1" x14ac:dyDescent="0.3">
      <c r="G4922" s="101"/>
      <c r="H4922" s="101"/>
      <c r="I4922" s="101"/>
      <c r="K4922" s="226"/>
      <c r="L4922" s="226"/>
      <c r="M4922" s="101"/>
      <c r="N4922" s="101"/>
    </row>
    <row r="4923" spans="7:14" hidden="1" x14ac:dyDescent="0.3">
      <c r="G4923" s="101"/>
      <c r="H4923" s="101"/>
      <c r="I4923" s="101"/>
      <c r="K4923" s="226"/>
      <c r="L4923" s="226"/>
      <c r="M4923" s="101"/>
      <c r="N4923" s="101"/>
    </row>
    <row r="4924" spans="7:14" hidden="1" x14ac:dyDescent="0.3">
      <c r="G4924" s="101"/>
      <c r="H4924" s="101"/>
      <c r="I4924" s="101"/>
      <c r="K4924" s="226"/>
      <c r="L4924" s="226"/>
      <c r="M4924" s="101"/>
      <c r="N4924" s="101"/>
    </row>
    <row r="4925" spans="7:14" hidden="1" x14ac:dyDescent="0.3">
      <c r="G4925" s="101"/>
      <c r="H4925" s="101"/>
      <c r="I4925" s="101"/>
      <c r="K4925" s="226"/>
      <c r="L4925" s="226"/>
      <c r="M4925" s="101"/>
      <c r="N4925" s="101"/>
    </row>
    <row r="4926" spans="7:14" hidden="1" x14ac:dyDescent="0.3">
      <c r="G4926" s="101"/>
      <c r="H4926" s="101"/>
      <c r="I4926" s="101"/>
      <c r="K4926" s="226"/>
      <c r="L4926" s="226"/>
      <c r="M4926" s="101"/>
      <c r="N4926" s="101"/>
    </row>
    <row r="4927" spans="7:14" hidden="1" x14ac:dyDescent="0.3">
      <c r="G4927" s="101"/>
      <c r="H4927" s="101"/>
      <c r="I4927" s="101"/>
      <c r="K4927" s="226"/>
      <c r="L4927" s="226"/>
      <c r="M4927" s="101"/>
      <c r="N4927" s="101"/>
    </row>
    <row r="4928" spans="7:14" hidden="1" x14ac:dyDescent="0.3">
      <c r="G4928" s="101"/>
      <c r="H4928" s="101"/>
      <c r="I4928" s="101"/>
      <c r="K4928" s="226"/>
      <c r="L4928" s="226"/>
      <c r="M4928" s="101"/>
      <c r="N4928" s="101"/>
    </row>
    <row r="4929" spans="7:14" hidden="1" x14ac:dyDescent="0.3">
      <c r="G4929" s="101"/>
      <c r="H4929" s="101"/>
      <c r="I4929" s="101"/>
      <c r="K4929" s="226"/>
      <c r="L4929" s="226"/>
      <c r="M4929" s="101"/>
      <c r="N4929" s="101"/>
    </row>
    <row r="4930" spans="7:14" hidden="1" x14ac:dyDescent="0.3">
      <c r="G4930" s="101"/>
      <c r="H4930" s="101"/>
      <c r="I4930" s="101"/>
      <c r="K4930" s="226"/>
      <c r="L4930" s="226"/>
      <c r="M4930" s="101"/>
      <c r="N4930" s="101"/>
    </row>
    <row r="4931" spans="7:14" hidden="1" x14ac:dyDescent="0.3">
      <c r="G4931" s="101"/>
      <c r="H4931" s="101"/>
      <c r="I4931" s="101"/>
      <c r="K4931" s="226"/>
      <c r="L4931" s="226"/>
      <c r="M4931" s="101"/>
      <c r="N4931" s="101"/>
    </row>
    <row r="4932" spans="7:14" hidden="1" x14ac:dyDescent="0.3">
      <c r="G4932" s="101"/>
      <c r="H4932" s="101"/>
      <c r="I4932" s="101"/>
      <c r="K4932" s="226"/>
      <c r="L4932" s="226"/>
      <c r="M4932" s="101"/>
      <c r="N4932" s="101"/>
    </row>
    <row r="4933" spans="7:14" hidden="1" x14ac:dyDescent="0.3">
      <c r="G4933" s="101"/>
      <c r="H4933" s="101"/>
      <c r="I4933" s="101"/>
      <c r="K4933" s="226"/>
      <c r="L4933" s="226"/>
      <c r="M4933" s="101"/>
      <c r="N4933" s="101"/>
    </row>
    <row r="4934" spans="7:14" hidden="1" x14ac:dyDescent="0.3">
      <c r="G4934" s="101"/>
      <c r="H4934" s="101"/>
      <c r="I4934" s="101"/>
      <c r="K4934" s="226"/>
      <c r="L4934" s="226"/>
      <c r="M4934" s="101"/>
      <c r="N4934" s="101"/>
    </row>
    <row r="4935" spans="7:14" hidden="1" x14ac:dyDescent="0.3">
      <c r="G4935" s="101"/>
      <c r="H4935" s="101"/>
      <c r="I4935" s="101"/>
      <c r="K4935" s="226"/>
      <c r="L4935" s="226"/>
      <c r="M4935" s="101"/>
      <c r="N4935" s="101"/>
    </row>
    <row r="4936" spans="7:14" hidden="1" x14ac:dyDescent="0.3">
      <c r="G4936" s="101"/>
      <c r="H4936" s="101"/>
      <c r="I4936" s="101"/>
      <c r="K4936" s="226"/>
      <c r="L4936" s="226"/>
      <c r="M4936" s="101"/>
      <c r="N4936" s="101"/>
    </row>
    <row r="4937" spans="7:14" hidden="1" x14ac:dyDescent="0.3">
      <c r="G4937" s="101"/>
      <c r="H4937" s="101"/>
      <c r="I4937" s="101"/>
      <c r="K4937" s="226"/>
      <c r="L4937" s="226"/>
      <c r="M4937" s="101"/>
      <c r="N4937" s="101"/>
    </row>
    <row r="4938" spans="7:14" hidden="1" x14ac:dyDescent="0.3">
      <c r="G4938" s="101"/>
      <c r="H4938" s="101"/>
      <c r="I4938" s="101"/>
      <c r="K4938" s="226"/>
      <c r="L4938" s="226"/>
      <c r="M4938" s="101"/>
      <c r="N4938" s="101"/>
    </row>
    <row r="4939" spans="7:14" hidden="1" x14ac:dyDescent="0.3">
      <c r="G4939" s="101"/>
      <c r="H4939" s="101"/>
      <c r="I4939" s="101"/>
      <c r="K4939" s="226"/>
      <c r="L4939" s="226"/>
      <c r="M4939" s="101"/>
      <c r="N4939" s="101"/>
    </row>
    <row r="4940" spans="7:14" hidden="1" x14ac:dyDescent="0.3">
      <c r="G4940" s="101"/>
      <c r="H4940" s="101"/>
      <c r="I4940" s="101"/>
      <c r="K4940" s="226"/>
      <c r="L4940" s="226"/>
      <c r="M4940" s="101"/>
      <c r="N4940" s="101"/>
    </row>
    <row r="4941" spans="7:14" hidden="1" x14ac:dyDescent="0.3">
      <c r="G4941" s="101"/>
      <c r="H4941" s="101"/>
      <c r="I4941" s="101"/>
      <c r="K4941" s="226"/>
      <c r="L4941" s="226"/>
      <c r="M4941" s="101"/>
      <c r="N4941" s="101"/>
    </row>
    <row r="4942" spans="7:14" hidden="1" x14ac:dyDescent="0.3">
      <c r="G4942" s="101"/>
      <c r="H4942" s="101"/>
      <c r="I4942" s="101"/>
      <c r="K4942" s="226"/>
      <c r="L4942" s="226"/>
      <c r="M4942" s="101"/>
      <c r="N4942" s="101"/>
    </row>
    <row r="4943" spans="7:14" hidden="1" x14ac:dyDescent="0.3">
      <c r="G4943" s="101"/>
      <c r="H4943" s="101"/>
      <c r="I4943" s="101"/>
      <c r="K4943" s="226"/>
      <c r="L4943" s="226"/>
      <c r="M4943" s="101"/>
      <c r="N4943" s="101"/>
    </row>
    <row r="4944" spans="7:14" hidden="1" x14ac:dyDescent="0.3">
      <c r="G4944" s="101"/>
      <c r="H4944" s="101"/>
      <c r="I4944" s="101"/>
      <c r="K4944" s="226"/>
      <c r="L4944" s="226"/>
      <c r="M4944" s="101"/>
      <c r="N4944" s="101"/>
    </row>
    <row r="4945" spans="7:14" hidden="1" x14ac:dyDescent="0.3">
      <c r="G4945" s="101"/>
      <c r="H4945" s="101"/>
      <c r="I4945" s="101"/>
      <c r="K4945" s="226"/>
      <c r="L4945" s="226"/>
      <c r="M4945" s="101"/>
      <c r="N4945" s="101"/>
    </row>
    <row r="4946" spans="7:14" hidden="1" x14ac:dyDescent="0.3">
      <c r="G4946" s="101"/>
      <c r="H4946" s="101"/>
      <c r="I4946" s="101"/>
      <c r="K4946" s="226"/>
      <c r="L4946" s="226"/>
      <c r="M4946" s="101"/>
      <c r="N4946" s="101"/>
    </row>
    <row r="4947" spans="7:14" hidden="1" x14ac:dyDescent="0.3">
      <c r="G4947" s="101"/>
      <c r="H4947" s="101"/>
      <c r="I4947" s="101"/>
      <c r="K4947" s="226"/>
      <c r="L4947" s="226"/>
      <c r="M4947" s="101"/>
      <c r="N4947" s="101"/>
    </row>
    <row r="4948" spans="7:14" hidden="1" x14ac:dyDescent="0.3">
      <c r="G4948" s="101"/>
      <c r="H4948" s="101"/>
      <c r="I4948" s="101"/>
      <c r="K4948" s="226"/>
      <c r="L4948" s="226"/>
      <c r="M4948" s="101"/>
      <c r="N4948" s="101"/>
    </row>
    <row r="4949" spans="7:14" hidden="1" x14ac:dyDescent="0.3">
      <c r="G4949" s="101"/>
      <c r="H4949" s="101"/>
      <c r="I4949" s="101"/>
      <c r="K4949" s="226"/>
      <c r="L4949" s="226"/>
      <c r="M4949" s="101"/>
      <c r="N4949" s="101"/>
    </row>
    <row r="4950" spans="7:14" hidden="1" x14ac:dyDescent="0.3">
      <c r="G4950" s="101"/>
      <c r="H4950" s="101"/>
      <c r="I4950" s="101"/>
      <c r="K4950" s="226"/>
      <c r="L4950" s="226"/>
      <c r="M4950" s="101"/>
      <c r="N4950" s="101"/>
    </row>
    <row r="4951" spans="7:14" hidden="1" x14ac:dyDescent="0.3">
      <c r="G4951" s="101"/>
      <c r="H4951" s="101"/>
      <c r="I4951" s="101"/>
      <c r="K4951" s="226"/>
      <c r="L4951" s="226"/>
      <c r="M4951" s="101"/>
      <c r="N4951" s="101"/>
    </row>
    <row r="4952" spans="7:14" hidden="1" x14ac:dyDescent="0.3">
      <c r="G4952" s="101"/>
      <c r="H4952" s="101"/>
      <c r="I4952" s="101"/>
      <c r="K4952" s="226"/>
      <c r="L4952" s="226"/>
      <c r="M4952" s="101"/>
      <c r="N4952" s="101"/>
    </row>
    <row r="4953" spans="7:14" hidden="1" x14ac:dyDescent="0.3">
      <c r="G4953" s="101"/>
      <c r="H4953" s="101"/>
      <c r="I4953" s="101"/>
      <c r="K4953" s="226"/>
      <c r="L4953" s="226"/>
      <c r="M4953" s="101"/>
      <c r="N4953" s="101"/>
    </row>
    <row r="4954" spans="7:14" hidden="1" x14ac:dyDescent="0.3">
      <c r="G4954" s="101"/>
      <c r="H4954" s="101"/>
      <c r="I4954" s="101"/>
      <c r="K4954" s="226"/>
      <c r="L4954" s="226"/>
      <c r="M4954" s="101"/>
      <c r="N4954" s="101"/>
    </row>
    <row r="4955" spans="7:14" hidden="1" x14ac:dyDescent="0.3">
      <c r="G4955" s="101"/>
      <c r="H4955" s="101"/>
      <c r="I4955" s="101"/>
      <c r="K4955" s="226"/>
      <c r="L4955" s="226"/>
      <c r="M4955" s="101"/>
      <c r="N4955" s="101"/>
    </row>
    <row r="4956" spans="7:14" hidden="1" x14ac:dyDescent="0.3">
      <c r="G4956" s="101"/>
      <c r="H4956" s="101"/>
      <c r="I4956" s="101"/>
      <c r="K4956" s="226"/>
      <c r="L4956" s="226"/>
      <c r="M4956" s="101"/>
      <c r="N4956" s="101"/>
    </row>
    <row r="4957" spans="7:14" hidden="1" x14ac:dyDescent="0.3">
      <c r="G4957" s="101"/>
      <c r="H4957" s="101"/>
      <c r="I4957" s="101"/>
      <c r="K4957" s="226"/>
      <c r="L4957" s="226"/>
      <c r="M4957" s="101"/>
      <c r="N4957" s="101"/>
    </row>
    <row r="4958" spans="7:14" hidden="1" x14ac:dyDescent="0.3">
      <c r="G4958" s="101"/>
      <c r="H4958" s="101"/>
      <c r="I4958" s="101"/>
      <c r="K4958" s="226"/>
      <c r="L4958" s="226"/>
      <c r="M4958" s="101"/>
      <c r="N4958" s="101"/>
    </row>
    <row r="4959" spans="7:14" hidden="1" x14ac:dyDescent="0.3">
      <c r="G4959" s="101"/>
      <c r="H4959" s="101"/>
      <c r="I4959" s="101"/>
      <c r="K4959" s="226"/>
      <c r="L4959" s="226"/>
      <c r="M4959" s="101"/>
      <c r="N4959" s="101"/>
    </row>
    <row r="4960" spans="7:14" hidden="1" x14ac:dyDescent="0.3">
      <c r="G4960" s="101"/>
      <c r="H4960" s="101"/>
      <c r="I4960" s="101"/>
      <c r="K4960" s="226"/>
      <c r="L4960" s="226"/>
      <c r="M4960" s="101"/>
      <c r="N4960" s="101"/>
    </row>
    <row r="4961" spans="7:14" hidden="1" x14ac:dyDescent="0.3">
      <c r="G4961" s="101"/>
      <c r="H4961" s="101"/>
      <c r="I4961" s="101"/>
      <c r="K4961" s="226"/>
      <c r="L4961" s="226"/>
      <c r="M4961" s="101"/>
      <c r="N4961" s="101"/>
    </row>
    <row r="4962" spans="7:14" hidden="1" x14ac:dyDescent="0.3">
      <c r="G4962" s="101"/>
      <c r="H4962" s="101"/>
      <c r="I4962" s="101"/>
      <c r="K4962" s="226"/>
      <c r="L4962" s="226"/>
      <c r="M4962" s="101"/>
      <c r="N4962" s="101"/>
    </row>
    <row r="4963" spans="7:14" hidden="1" x14ac:dyDescent="0.3">
      <c r="G4963" s="101"/>
      <c r="H4963" s="101"/>
      <c r="I4963" s="101"/>
      <c r="K4963" s="226"/>
      <c r="L4963" s="226"/>
      <c r="M4963" s="101"/>
      <c r="N4963" s="101"/>
    </row>
    <row r="4964" spans="7:14" hidden="1" x14ac:dyDescent="0.3">
      <c r="G4964" s="101"/>
      <c r="H4964" s="101"/>
      <c r="I4964" s="101"/>
      <c r="K4964" s="226"/>
      <c r="L4964" s="226"/>
      <c r="M4964" s="101"/>
      <c r="N4964" s="101"/>
    </row>
    <row r="4965" spans="7:14" hidden="1" x14ac:dyDescent="0.3">
      <c r="G4965" s="101"/>
      <c r="H4965" s="101"/>
      <c r="I4965" s="101"/>
      <c r="K4965" s="226"/>
      <c r="L4965" s="226"/>
      <c r="M4965" s="101"/>
      <c r="N4965" s="101"/>
    </row>
    <row r="4966" spans="7:14" hidden="1" x14ac:dyDescent="0.3">
      <c r="G4966" s="101"/>
      <c r="H4966" s="101"/>
      <c r="I4966" s="101"/>
      <c r="K4966" s="226"/>
      <c r="L4966" s="226"/>
      <c r="M4966" s="101"/>
      <c r="N4966" s="101"/>
    </row>
    <row r="4967" spans="7:14" hidden="1" x14ac:dyDescent="0.3">
      <c r="G4967" s="101"/>
      <c r="H4967" s="101"/>
      <c r="I4967" s="101"/>
      <c r="K4967" s="226"/>
      <c r="L4967" s="226"/>
      <c r="M4967" s="101"/>
      <c r="N4967" s="101"/>
    </row>
    <row r="4968" spans="7:14" hidden="1" x14ac:dyDescent="0.3">
      <c r="G4968" s="101"/>
      <c r="H4968" s="101"/>
      <c r="I4968" s="101"/>
      <c r="K4968" s="226"/>
      <c r="L4968" s="226"/>
      <c r="M4968" s="101"/>
      <c r="N4968" s="101"/>
    </row>
    <row r="4969" spans="7:14" hidden="1" x14ac:dyDescent="0.3">
      <c r="G4969" s="101"/>
      <c r="H4969" s="101"/>
      <c r="I4969" s="101"/>
      <c r="K4969" s="226"/>
      <c r="L4969" s="226"/>
      <c r="M4969" s="101"/>
      <c r="N4969" s="101"/>
    </row>
    <row r="4970" spans="7:14" hidden="1" x14ac:dyDescent="0.3">
      <c r="G4970" s="101"/>
      <c r="H4970" s="101"/>
      <c r="I4970" s="101"/>
      <c r="K4970" s="226"/>
      <c r="L4970" s="226"/>
      <c r="M4970" s="101"/>
      <c r="N4970" s="101"/>
    </row>
    <row r="4971" spans="7:14" hidden="1" x14ac:dyDescent="0.3">
      <c r="G4971" s="101"/>
      <c r="H4971" s="101"/>
      <c r="I4971" s="101"/>
      <c r="K4971" s="226"/>
      <c r="L4971" s="226"/>
      <c r="M4971" s="101"/>
      <c r="N4971" s="101"/>
    </row>
    <row r="4972" spans="7:14" hidden="1" x14ac:dyDescent="0.3">
      <c r="G4972" s="101"/>
      <c r="H4972" s="101"/>
      <c r="I4972" s="101"/>
      <c r="K4972" s="226"/>
      <c r="L4972" s="226"/>
      <c r="M4972" s="101"/>
      <c r="N4972" s="101"/>
    </row>
    <row r="4973" spans="7:14" hidden="1" x14ac:dyDescent="0.3">
      <c r="G4973" s="101"/>
      <c r="H4973" s="101"/>
      <c r="I4973" s="101"/>
      <c r="K4973" s="226"/>
      <c r="L4973" s="226"/>
      <c r="M4973" s="101"/>
      <c r="N4973" s="101"/>
    </row>
    <row r="4974" spans="7:14" hidden="1" x14ac:dyDescent="0.3">
      <c r="G4974" s="101"/>
      <c r="H4974" s="101"/>
      <c r="I4974" s="101"/>
      <c r="K4974" s="226"/>
      <c r="L4974" s="226"/>
      <c r="M4974" s="101"/>
      <c r="N4974" s="101"/>
    </row>
    <row r="4975" spans="7:14" hidden="1" x14ac:dyDescent="0.3">
      <c r="G4975" s="101"/>
      <c r="H4975" s="101"/>
      <c r="I4975" s="101"/>
      <c r="K4975" s="226"/>
      <c r="L4975" s="226"/>
      <c r="M4975" s="101"/>
      <c r="N4975" s="101"/>
    </row>
    <row r="4976" spans="7:14" hidden="1" x14ac:dyDescent="0.3">
      <c r="G4976" s="101"/>
      <c r="H4976" s="101"/>
      <c r="I4976" s="101"/>
      <c r="K4976" s="226"/>
      <c r="L4976" s="226"/>
      <c r="M4976" s="101"/>
      <c r="N4976" s="101"/>
    </row>
    <row r="4977" spans="7:14" hidden="1" x14ac:dyDescent="0.3">
      <c r="G4977" s="101"/>
      <c r="H4977" s="101"/>
      <c r="I4977" s="101"/>
      <c r="K4977" s="226"/>
      <c r="L4977" s="226"/>
      <c r="M4977" s="101"/>
      <c r="N4977" s="101"/>
    </row>
    <row r="4978" spans="7:14" hidden="1" x14ac:dyDescent="0.3">
      <c r="G4978" s="101"/>
      <c r="H4978" s="101"/>
      <c r="I4978" s="101"/>
      <c r="K4978" s="226"/>
      <c r="L4978" s="226"/>
      <c r="M4978" s="101"/>
      <c r="N4978" s="101"/>
    </row>
    <row r="4979" spans="7:14" hidden="1" x14ac:dyDescent="0.3">
      <c r="G4979" s="101"/>
      <c r="H4979" s="101"/>
      <c r="I4979" s="101"/>
      <c r="K4979" s="226"/>
      <c r="L4979" s="226"/>
      <c r="M4979" s="101"/>
      <c r="N4979" s="101"/>
    </row>
    <row r="4980" spans="7:14" hidden="1" x14ac:dyDescent="0.3">
      <c r="G4980" s="101"/>
      <c r="H4980" s="101"/>
      <c r="I4980" s="101"/>
      <c r="K4980" s="226"/>
      <c r="L4980" s="226"/>
      <c r="M4980" s="101"/>
      <c r="N4980" s="101"/>
    </row>
    <row r="4981" spans="7:14" hidden="1" x14ac:dyDescent="0.3">
      <c r="G4981" s="101"/>
      <c r="H4981" s="101"/>
      <c r="I4981" s="101"/>
      <c r="K4981" s="226"/>
      <c r="L4981" s="226"/>
      <c r="M4981" s="101"/>
      <c r="N4981" s="101"/>
    </row>
    <row r="4982" spans="7:14" hidden="1" x14ac:dyDescent="0.3">
      <c r="G4982" s="101"/>
      <c r="H4982" s="101"/>
      <c r="I4982" s="101"/>
      <c r="K4982" s="226"/>
      <c r="L4982" s="226"/>
      <c r="M4982" s="101"/>
      <c r="N4982" s="101"/>
    </row>
    <row r="4983" spans="7:14" hidden="1" x14ac:dyDescent="0.3">
      <c r="G4983" s="101"/>
      <c r="H4983" s="101"/>
      <c r="I4983" s="101"/>
      <c r="K4983" s="226"/>
      <c r="L4983" s="226"/>
      <c r="M4983" s="101"/>
      <c r="N4983" s="101"/>
    </row>
    <row r="4984" spans="7:14" hidden="1" x14ac:dyDescent="0.3">
      <c r="G4984" s="101"/>
      <c r="H4984" s="101"/>
      <c r="I4984" s="101"/>
      <c r="K4984" s="226"/>
      <c r="L4984" s="226"/>
      <c r="M4984" s="101"/>
      <c r="N4984" s="101"/>
    </row>
    <row r="4985" spans="7:14" hidden="1" x14ac:dyDescent="0.3">
      <c r="G4985" s="101"/>
      <c r="H4985" s="101"/>
      <c r="I4985" s="101"/>
      <c r="K4985" s="226"/>
      <c r="L4985" s="226"/>
      <c r="M4985" s="101"/>
      <c r="N4985" s="101"/>
    </row>
    <row r="4986" spans="7:14" hidden="1" x14ac:dyDescent="0.3">
      <c r="G4986" s="101"/>
      <c r="H4986" s="101"/>
      <c r="I4986" s="101"/>
      <c r="K4986" s="226"/>
      <c r="L4986" s="226"/>
      <c r="M4986" s="101"/>
      <c r="N4986" s="101"/>
    </row>
    <row r="4987" spans="7:14" hidden="1" x14ac:dyDescent="0.3">
      <c r="G4987" s="101"/>
      <c r="H4987" s="101"/>
      <c r="I4987" s="101"/>
      <c r="K4987" s="226"/>
      <c r="L4987" s="226"/>
      <c r="M4987" s="101"/>
      <c r="N4987" s="101"/>
    </row>
    <row r="4988" spans="7:14" hidden="1" x14ac:dyDescent="0.3">
      <c r="G4988" s="101"/>
      <c r="H4988" s="101"/>
      <c r="I4988" s="101"/>
      <c r="K4988" s="226"/>
      <c r="L4988" s="226"/>
      <c r="M4988" s="101"/>
      <c r="N4988" s="101"/>
    </row>
    <row r="4989" spans="7:14" hidden="1" x14ac:dyDescent="0.3">
      <c r="G4989" s="101"/>
      <c r="H4989" s="101"/>
      <c r="I4989" s="101"/>
      <c r="K4989" s="226"/>
      <c r="L4989" s="226"/>
      <c r="M4989" s="101"/>
      <c r="N4989" s="101"/>
    </row>
    <row r="4990" spans="7:14" hidden="1" x14ac:dyDescent="0.3">
      <c r="G4990" s="101"/>
      <c r="H4990" s="101"/>
      <c r="I4990" s="101"/>
      <c r="K4990" s="226"/>
      <c r="L4990" s="226"/>
      <c r="M4990" s="101"/>
      <c r="N4990" s="101"/>
    </row>
    <row r="4991" spans="7:14" hidden="1" x14ac:dyDescent="0.3">
      <c r="G4991" s="101"/>
      <c r="H4991" s="101"/>
      <c r="I4991" s="101"/>
      <c r="K4991" s="226"/>
      <c r="L4991" s="226"/>
      <c r="M4991" s="101"/>
      <c r="N4991" s="101"/>
    </row>
    <row r="4992" spans="7:14" hidden="1" x14ac:dyDescent="0.3">
      <c r="G4992" s="101"/>
      <c r="H4992" s="101"/>
      <c r="I4992" s="101"/>
      <c r="K4992" s="226"/>
      <c r="L4992" s="226"/>
      <c r="M4992" s="101"/>
      <c r="N4992" s="101"/>
    </row>
    <row r="4993" spans="7:14" hidden="1" x14ac:dyDescent="0.3">
      <c r="G4993" s="101"/>
      <c r="H4993" s="101"/>
      <c r="I4993" s="101"/>
      <c r="K4993" s="226"/>
      <c r="L4993" s="226"/>
      <c r="M4993" s="101"/>
      <c r="N4993" s="101"/>
    </row>
    <row r="4994" spans="7:14" hidden="1" x14ac:dyDescent="0.3">
      <c r="G4994" s="101"/>
      <c r="H4994" s="101"/>
      <c r="I4994" s="101"/>
      <c r="K4994" s="226"/>
      <c r="L4994" s="226"/>
      <c r="M4994" s="101"/>
      <c r="N4994" s="101"/>
    </row>
    <row r="4995" spans="7:14" hidden="1" x14ac:dyDescent="0.3">
      <c r="G4995" s="101"/>
      <c r="H4995" s="101"/>
      <c r="I4995" s="101"/>
      <c r="K4995" s="226"/>
      <c r="L4995" s="226"/>
      <c r="M4995" s="101"/>
      <c r="N4995" s="101"/>
    </row>
    <row r="4996" spans="7:14" hidden="1" x14ac:dyDescent="0.3">
      <c r="G4996" s="101"/>
      <c r="H4996" s="101"/>
      <c r="I4996" s="101"/>
      <c r="K4996" s="226"/>
      <c r="L4996" s="226"/>
      <c r="M4996" s="101"/>
      <c r="N4996" s="101"/>
    </row>
    <row r="4997" spans="7:14" hidden="1" x14ac:dyDescent="0.3">
      <c r="G4997" s="101"/>
      <c r="H4997" s="101"/>
      <c r="I4997" s="101"/>
      <c r="K4997" s="226"/>
      <c r="L4997" s="226"/>
      <c r="M4997" s="101"/>
      <c r="N4997" s="101"/>
    </row>
    <row r="4998" spans="7:14" hidden="1" x14ac:dyDescent="0.3">
      <c r="G4998" s="101"/>
      <c r="H4998" s="101"/>
      <c r="I4998" s="101"/>
      <c r="K4998" s="226"/>
      <c r="L4998" s="226"/>
      <c r="M4998" s="101"/>
      <c r="N4998" s="101"/>
    </row>
    <row r="4999" spans="7:14" hidden="1" x14ac:dyDescent="0.3">
      <c r="G4999" s="101"/>
      <c r="H4999" s="101"/>
      <c r="I4999" s="101"/>
      <c r="K4999" s="226"/>
      <c r="L4999" s="226"/>
      <c r="M4999" s="101"/>
      <c r="N4999" s="101"/>
    </row>
    <row r="5000" spans="7:14" hidden="1" x14ac:dyDescent="0.3">
      <c r="G5000" s="101"/>
      <c r="H5000" s="101"/>
      <c r="I5000" s="101"/>
      <c r="K5000" s="226"/>
      <c r="L5000" s="226"/>
      <c r="M5000" s="101"/>
      <c r="N5000" s="101"/>
    </row>
    <row r="5001" spans="7:14" hidden="1" x14ac:dyDescent="0.3">
      <c r="G5001" s="101"/>
      <c r="H5001" s="101"/>
      <c r="I5001" s="101"/>
      <c r="K5001" s="226"/>
      <c r="L5001" s="226"/>
      <c r="M5001" s="101"/>
      <c r="N5001" s="101"/>
    </row>
    <row r="5002" spans="7:14" hidden="1" x14ac:dyDescent="0.3">
      <c r="G5002" s="101"/>
      <c r="H5002" s="101"/>
      <c r="I5002" s="101"/>
      <c r="K5002" s="226"/>
      <c r="L5002" s="226"/>
      <c r="M5002" s="101"/>
      <c r="N5002" s="101"/>
    </row>
    <row r="5003" spans="7:14" hidden="1" x14ac:dyDescent="0.3">
      <c r="G5003" s="101"/>
      <c r="H5003" s="101"/>
      <c r="I5003" s="101"/>
      <c r="K5003" s="226"/>
      <c r="L5003" s="226"/>
      <c r="M5003" s="101"/>
      <c r="N5003" s="101"/>
    </row>
    <row r="5004" spans="7:14" hidden="1" x14ac:dyDescent="0.3">
      <c r="G5004" s="101"/>
      <c r="H5004" s="101"/>
      <c r="I5004" s="101"/>
      <c r="K5004" s="226"/>
      <c r="L5004" s="226"/>
      <c r="M5004" s="101"/>
      <c r="N5004" s="101"/>
    </row>
    <row r="5005" spans="7:14" hidden="1" x14ac:dyDescent="0.3">
      <c r="G5005" s="101"/>
      <c r="H5005" s="101"/>
      <c r="I5005" s="101"/>
      <c r="K5005" s="226"/>
      <c r="L5005" s="226"/>
      <c r="M5005" s="101"/>
      <c r="N5005" s="101"/>
    </row>
    <row r="5006" spans="7:14" hidden="1" x14ac:dyDescent="0.3">
      <c r="G5006" s="101"/>
      <c r="H5006" s="101"/>
      <c r="I5006" s="101"/>
      <c r="K5006" s="226"/>
      <c r="L5006" s="226"/>
      <c r="M5006" s="101"/>
      <c r="N5006" s="101"/>
    </row>
    <row r="5007" spans="7:14" hidden="1" x14ac:dyDescent="0.3">
      <c r="G5007" s="101"/>
      <c r="H5007" s="101"/>
      <c r="I5007" s="101"/>
      <c r="K5007" s="226"/>
      <c r="L5007" s="226"/>
      <c r="M5007" s="101"/>
      <c r="N5007" s="101"/>
    </row>
    <row r="5008" spans="7:14" hidden="1" x14ac:dyDescent="0.3">
      <c r="G5008" s="101"/>
      <c r="H5008" s="101"/>
      <c r="I5008" s="101"/>
      <c r="K5008" s="226"/>
      <c r="L5008" s="226"/>
      <c r="M5008" s="101"/>
      <c r="N5008" s="101"/>
    </row>
    <row r="5009" spans="7:14" hidden="1" x14ac:dyDescent="0.3">
      <c r="G5009" s="101"/>
      <c r="H5009" s="101"/>
      <c r="I5009" s="101"/>
      <c r="K5009" s="226"/>
      <c r="L5009" s="226"/>
      <c r="M5009" s="101"/>
      <c r="N5009" s="101"/>
    </row>
    <row r="5010" spans="7:14" hidden="1" x14ac:dyDescent="0.3">
      <c r="G5010" s="101"/>
      <c r="H5010" s="101"/>
      <c r="I5010" s="101"/>
      <c r="K5010" s="226"/>
      <c r="L5010" s="226"/>
      <c r="M5010" s="101"/>
      <c r="N5010" s="101"/>
    </row>
    <row r="5011" spans="7:14" hidden="1" x14ac:dyDescent="0.3">
      <c r="G5011" s="101"/>
      <c r="H5011" s="101"/>
      <c r="I5011" s="101"/>
      <c r="K5011" s="226"/>
      <c r="L5011" s="226"/>
      <c r="M5011" s="101"/>
      <c r="N5011" s="101"/>
    </row>
    <row r="5012" spans="7:14" hidden="1" x14ac:dyDescent="0.3">
      <c r="G5012" s="101"/>
      <c r="H5012" s="101"/>
      <c r="I5012" s="101"/>
      <c r="K5012" s="226"/>
      <c r="L5012" s="226"/>
      <c r="M5012" s="101"/>
      <c r="N5012" s="101"/>
    </row>
    <row r="5013" spans="7:14" hidden="1" x14ac:dyDescent="0.3">
      <c r="G5013" s="101"/>
      <c r="H5013" s="101"/>
      <c r="I5013" s="101"/>
      <c r="K5013" s="226"/>
      <c r="L5013" s="226"/>
      <c r="M5013" s="101"/>
      <c r="N5013" s="101"/>
    </row>
    <row r="5014" spans="7:14" hidden="1" x14ac:dyDescent="0.3">
      <c r="G5014" s="101"/>
      <c r="H5014" s="101"/>
      <c r="I5014" s="101"/>
      <c r="K5014" s="226"/>
      <c r="L5014" s="226"/>
      <c r="M5014" s="101"/>
      <c r="N5014" s="101"/>
    </row>
    <row r="5015" spans="7:14" hidden="1" x14ac:dyDescent="0.3">
      <c r="G5015" s="101"/>
      <c r="H5015" s="101"/>
      <c r="I5015" s="101"/>
      <c r="K5015" s="226"/>
      <c r="L5015" s="226"/>
      <c r="M5015" s="101"/>
      <c r="N5015" s="101"/>
    </row>
    <row r="5016" spans="7:14" hidden="1" x14ac:dyDescent="0.3">
      <c r="G5016" s="101"/>
      <c r="H5016" s="101"/>
      <c r="I5016" s="101"/>
      <c r="K5016" s="226"/>
      <c r="L5016" s="226"/>
      <c r="M5016" s="101"/>
      <c r="N5016" s="101"/>
    </row>
    <row r="5017" spans="7:14" hidden="1" x14ac:dyDescent="0.3">
      <c r="G5017" s="101"/>
      <c r="H5017" s="101"/>
      <c r="I5017" s="101"/>
      <c r="K5017" s="226"/>
      <c r="L5017" s="226"/>
      <c r="M5017" s="101"/>
      <c r="N5017" s="101"/>
    </row>
    <row r="5018" spans="7:14" hidden="1" x14ac:dyDescent="0.3">
      <c r="G5018" s="101"/>
      <c r="H5018" s="101"/>
      <c r="I5018" s="101"/>
      <c r="K5018" s="226"/>
      <c r="L5018" s="226"/>
      <c r="M5018" s="101"/>
      <c r="N5018" s="101"/>
    </row>
    <row r="5019" spans="7:14" hidden="1" x14ac:dyDescent="0.3">
      <c r="G5019" s="101"/>
      <c r="H5019" s="101"/>
      <c r="I5019" s="101"/>
      <c r="K5019" s="226"/>
      <c r="L5019" s="226"/>
      <c r="M5019" s="101"/>
      <c r="N5019" s="101"/>
    </row>
    <row r="5020" spans="7:14" hidden="1" x14ac:dyDescent="0.3">
      <c r="G5020" s="101"/>
      <c r="H5020" s="101"/>
      <c r="I5020" s="101"/>
      <c r="K5020" s="226"/>
      <c r="L5020" s="226"/>
      <c r="M5020" s="101"/>
      <c r="N5020" s="101"/>
    </row>
    <row r="5021" spans="7:14" hidden="1" x14ac:dyDescent="0.3">
      <c r="G5021" s="101"/>
      <c r="H5021" s="101"/>
      <c r="I5021" s="101"/>
      <c r="K5021" s="226"/>
      <c r="L5021" s="226"/>
      <c r="M5021" s="101"/>
      <c r="N5021" s="101"/>
    </row>
    <row r="5022" spans="7:14" hidden="1" x14ac:dyDescent="0.3">
      <c r="G5022" s="101"/>
      <c r="H5022" s="101"/>
      <c r="I5022" s="101"/>
      <c r="K5022" s="226"/>
      <c r="L5022" s="226"/>
      <c r="M5022" s="101"/>
      <c r="N5022" s="101"/>
    </row>
    <row r="5023" spans="7:14" hidden="1" x14ac:dyDescent="0.3">
      <c r="G5023" s="101"/>
      <c r="H5023" s="101"/>
      <c r="I5023" s="101"/>
      <c r="K5023" s="226"/>
      <c r="L5023" s="226"/>
      <c r="M5023" s="101"/>
      <c r="N5023" s="101"/>
    </row>
    <row r="5024" spans="7:14" hidden="1" x14ac:dyDescent="0.3">
      <c r="G5024" s="101"/>
      <c r="H5024" s="101"/>
      <c r="I5024" s="101"/>
      <c r="K5024" s="226"/>
      <c r="L5024" s="226"/>
      <c r="M5024" s="101"/>
      <c r="N5024" s="101"/>
    </row>
    <row r="5025" spans="7:14" hidden="1" x14ac:dyDescent="0.3">
      <c r="G5025" s="101"/>
      <c r="H5025" s="101"/>
      <c r="I5025" s="101"/>
      <c r="K5025" s="226"/>
      <c r="L5025" s="226"/>
      <c r="M5025" s="101"/>
      <c r="N5025" s="101"/>
    </row>
    <row r="5026" spans="7:14" hidden="1" x14ac:dyDescent="0.3">
      <c r="G5026" s="101"/>
      <c r="H5026" s="101"/>
      <c r="I5026" s="101"/>
      <c r="K5026" s="226"/>
      <c r="L5026" s="226"/>
      <c r="M5026" s="101"/>
      <c r="N5026" s="101"/>
    </row>
    <row r="5027" spans="7:14" hidden="1" x14ac:dyDescent="0.3">
      <c r="G5027" s="101"/>
      <c r="H5027" s="101"/>
      <c r="I5027" s="101"/>
      <c r="K5027" s="226"/>
      <c r="L5027" s="226"/>
      <c r="M5027" s="101"/>
      <c r="N5027" s="101"/>
    </row>
    <row r="5028" spans="7:14" hidden="1" x14ac:dyDescent="0.3">
      <c r="G5028" s="101"/>
      <c r="H5028" s="101"/>
      <c r="I5028" s="101"/>
      <c r="K5028" s="226"/>
      <c r="L5028" s="226"/>
      <c r="M5028" s="101"/>
      <c r="N5028" s="101"/>
    </row>
    <row r="5029" spans="7:14" hidden="1" x14ac:dyDescent="0.3">
      <c r="G5029" s="101"/>
      <c r="H5029" s="101"/>
      <c r="I5029" s="101"/>
      <c r="K5029" s="226"/>
      <c r="L5029" s="226"/>
      <c r="M5029" s="101"/>
      <c r="N5029" s="101"/>
    </row>
    <row r="5030" spans="7:14" hidden="1" x14ac:dyDescent="0.3">
      <c r="G5030" s="101"/>
      <c r="H5030" s="101"/>
      <c r="I5030" s="101"/>
      <c r="K5030" s="226"/>
      <c r="L5030" s="226"/>
      <c r="M5030" s="101"/>
      <c r="N5030" s="101"/>
    </row>
    <row r="5031" spans="7:14" hidden="1" x14ac:dyDescent="0.3">
      <c r="G5031" s="101"/>
      <c r="H5031" s="101"/>
      <c r="I5031" s="101"/>
      <c r="K5031" s="226"/>
      <c r="L5031" s="226"/>
      <c r="M5031" s="101"/>
      <c r="N5031" s="101"/>
    </row>
    <row r="5032" spans="7:14" hidden="1" x14ac:dyDescent="0.3">
      <c r="G5032" s="101"/>
      <c r="H5032" s="101"/>
      <c r="I5032" s="101"/>
      <c r="K5032" s="226"/>
      <c r="L5032" s="226"/>
      <c r="M5032" s="101"/>
      <c r="N5032" s="101"/>
    </row>
    <row r="5033" spans="7:14" hidden="1" x14ac:dyDescent="0.3">
      <c r="G5033" s="101"/>
      <c r="H5033" s="101"/>
      <c r="I5033" s="101"/>
      <c r="K5033" s="226"/>
      <c r="L5033" s="226"/>
      <c r="M5033" s="101"/>
      <c r="N5033" s="101"/>
    </row>
    <row r="5034" spans="7:14" hidden="1" x14ac:dyDescent="0.3">
      <c r="G5034" s="101"/>
      <c r="H5034" s="101"/>
      <c r="I5034" s="101"/>
      <c r="K5034" s="226"/>
      <c r="L5034" s="226"/>
      <c r="M5034" s="101"/>
      <c r="N5034" s="101"/>
    </row>
    <row r="5035" spans="7:14" hidden="1" x14ac:dyDescent="0.3">
      <c r="G5035" s="101"/>
      <c r="H5035" s="101"/>
      <c r="I5035" s="101"/>
      <c r="K5035" s="226"/>
      <c r="L5035" s="226"/>
      <c r="M5035" s="101"/>
      <c r="N5035" s="101"/>
    </row>
    <row r="5036" spans="7:14" hidden="1" x14ac:dyDescent="0.3">
      <c r="G5036" s="101"/>
      <c r="H5036" s="101"/>
      <c r="I5036" s="101"/>
      <c r="K5036" s="226"/>
      <c r="L5036" s="226"/>
      <c r="M5036" s="101"/>
      <c r="N5036" s="101"/>
    </row>
    <row r="5037" spans="7:14" hidden="1" x14ac:dyDescent="0.3">
      <c r="G5037" s="101"/>
      <c r="H5037" s="101"/>
      <c r="I5037" s="101"/>
      <c r="K5037" s="226"/>
      <c r="L5037" s="226"/>
      <c r="M5037" s="101"/>
      <c r="N5037" s="101"/>
    </row>
    <row r="5038" spans="7:14" hidden="1" x14ac:dyDescent="0.3">
      <c r="G5038" s="101"/>
      <c r="H5038" s="101"/>
      <c r="I5038" s="101"/>
      <c r="K5038" s="226"/>
      <c r="L5038" s="226"/>
      <c r="M5038" s="101"/>
      <c r="N5038" s="101"/>
    </row>
    <row r="5039" spans="7:14" hidden="1" x14ac:dyDescent="0.3">
      <c r="G5039" s="101"/>
      <c r="H5039" s="101"/>
      <c r="I5039" s="101"/>
      <c r="K5039" s="226"/>
      <c r="L5039" s="226"/>
      <c r="M5039" s="101"/>
      <c r="N5039" s="101"/>
    </row>
    <row r="5040" spans="7:14" hidden="1" x14ac:dyDescent="0.3">
      <c r="G5040" s="101"/>
      <c r="H5040" s="101"/>
      <c r="I5040" s="101"/>
      <c r="K5040" s="226"/>
      <c r="L5040" s="226"/>
      <c r="M5040" s="101"/>
      <c r="N5040" s="101"/>
    </row>
    <row r="5041" spans="7:14" hidden="1" x14ac:dyDescent="0.3">
      <c r="G5041" s="101"/>
      <c r="H5041" s="101"/>
      <c r="I5041" s="101"/>
      <c r="K5041" s="226"/>
      <c r="L5041" s="226"/>
      <c r="M5041" s="101"/>
      <c r="N5041" s="101"/>
    </row>
    <row r="5042" spans="7:14" hidden="1" x14ac:dyDescent="0.3">
      <c r="G5042" s="101"/>
      <c r="H5042" s="101"/>
      <c r="I5042" s="101"/>
      <c r="K5042" s="226"/>
      <c r="L5042" s="226"/>
      <c r="M5042" s="101"/>
      <c r="N5042" s="101"/>
    </row>
    <row r="5043" spans="7:14" hidden="1" x14ac:dyDescent="0.3">
      <c r="G5043" s="101"/>
      <c r="H5043" s="101"/>
      <c r="I5043" s="101"/>
      <c r="K5043" s="226"/>
      <c r="L5043" s="226"/>
      <c r="M5043" s="101"/>
      <c r="N5043" s="101"/>
    </row>
    <row r="5044" spans="7:14" hidden="1" x14ac:dyDescent="0.3">
      <c r="G5044" s="101"/>
      <c r="H5044" s="101"/>
      <c r="I5044" s="101"/>
      <c r="K5044" s="226"/>
      <c r="L5044" s="226"/>
      <c r="M5044" s="101"/>
      <c r="N5044" s="101"/>
    </row>
    <row r="5045" spans="7:14" hidden="1" x14ac:dyDescent="0.3">
      <c r="G5045" s="101"/>
      <c r="H5045" s="101"/>
      <c r="I5045" s="101"/>
      <c r="K5045" s="226"/>
      <c r="L5045" s="226"/>
      <c r="M5045" s="101"/>
      <c r="N5045" s="101"/>
    </row>
    <row r="5046" spans="7:14" hidden="1" x14ac:dyDescent="0.3">
      <c r="G5046" s="101"/>
      <c r="H5046" s="101"/>
      <c r="I5046" s="101"/>
      <c r="K5046" s="226"/>
      <c r="L5046" s="226"/>
      <c r="M5046" s="101"/>
      <c r="N5046" s="101"/>
    </row>
    <row r="5047" spans="7:14" hidden="1" x14ac:dyDescent="0.3">
      <c r="G5047" s="101"/>
      <c r="H5047" s="101"/>
      <c r="I5047" s="101"/>
      <c r="K5047" s="226"/>
      <c r="L5047" s="226"/>
      <c r="M5047" s="101"/>
      <c r="N5047" s="101"/>
    </row>
    <row r="5048" spans="7:14" hidden="1" x14ac:dyDescent="0.3">
      <c r="G5048" s="101"/>
      <c r="H5048" s="101"/>
      <c r="I5048" s="101"/>
      <c r="K5048" s="226"/>
      <c r="L5048" s="226"/>
      <c r="M5048" s="101"/>
      <c r="N5048" s="101"/>
    </row>
    <row r="5049" spans="7:14" hidden="1" x14ac:dyDescent="0.3">
      <c r="G5049" s="101"/>
      <c r="H5049" s="101"/>
      <c r="I5049" s="101"/>
      <c r="K5049" s="226"/>
      <c r="L5049" s="226"/>
      <c r="M5049" s="101"/>
      <c r="N5049" s="101"/>
    </row>
    <row r="5050" spans="7:14" hidden="1" x14ac:dyDescent="0.3">
      <c r="G5050" s="101"/>
      <c r="H5050" s="101"/>
      <c r="I5050" s="101"/>
      <c r="K5050" s="226"/>
      <c r="L5050" s="226"/>
      <c r="M5050" s="101"/>
      <c r="N5050" s="101"/>
    </row>
    <row r="5051" spans="7:14" hidden="1" x14ac:dyDescent="0.3">
      <c r="G5051" s="101"/>
      <c r="H5051" s="101"/>
      <c r="I5051" s="101"/>
      <c r="K5051" s="226"/>
      <c r="L5051" s="226"/>
      <c r="M5051" s="101"/>
      <c r="N5051" s="101"/>
    </row>
    <row r="5052" spans="7:14" hidden="1" x14ac:dyDescent="0.3">
      <c r="G5052" s="101"/>
      <c r="H5052" s="101"/>
      <c r="I5052" s="101"/>
      <c r="K5052" s="226"/>
      <c r="L5052" s="226"/>
      <c r="M5052" s="101"/>
      <c r="N5052" s="101"/>
    </row>
    <row r="5053" spans="7:14" hidden="1" x14ac:dyDescent="0.3">
      <c r="G5053" s="101"/>
      <c r="H5053" s="101"/>
      <c r="I5053" s="101"/>
      <c r="K5053" s="226"/>
      <c r="L5053" s="226"/>
      <c r="M5053" s="101"/>
      <c r="N5053" s="101"/>
    </row>
    <row r="5054" spans="7:14" hidden="1" x14ac:dyDescent="0.3">
      <c r="G5054" s="101"/>
      <c r="H5054" s="101"/>
      <c r="I5054" s="101"/>
      <c r="K5054" s="226"/>
      <c r="L5054" s="226"/>
      <c r="M5054" s="101"/>
      <c r="N5054" s="101"/>
    </row>
    <row r="5055" spans="7:14" hidden="1" x14ac:dyDescent="0.3">
      <c r="G5055" s="101"/>
      <c r="H5055" s="101"/>
      <c r="I5055" s="101"/>
      <c r="K5055" s="226"/>
      <c r="L5055" s="226"/>
      <c r="M5055" s="101"/>
      <c r="N5055" s="101"/>
    </row>
    <row r="5056" spans="7:14" hidden="1" x14ac:dyDescent="0.3">
      <c r="G5056" s="101"/>
      <c r="H5056" s="101"/>
      <c r="I5056" s="101"/>
      <c r="K5056" s="226"/>
      <c r="L5056" s="226"/>
      <c r="M5056" s="101"/>
      <c r="N5056" s="101"/>
    </row>
    <row r="5057" spans="7:14" hidden="1" x14ac:dyDescent="0.3">
      <c r="G5057" s="101"/>
      <c r="H5057" s="101"/>
      <c r="I5057" s="101"/>
      <c r="K5057" s="226"/>
      <c r="L5057" s="226"/>
      <c r="M5057" s="101"/>
      <c r="N5057" s="101"/>
    </row>
    <row r="5058" spans="7:14" hidden="1" x14ac:dyDescent="0.3">
      <c r="G5058" s="101"/>
      <c r="H5058" s="101"/>
      <c r="I5058" s="101"/>
      <c r="K5058" s="226"/>
      <c r="L5058" s="226"/>
      <c r="M5058" s="101"/>
      <c r="N5058" s="101"/>
    </row>
    <row r="5059" spans="7:14" hidden="1" x14ac:dyDescent="0.3">
      <c r="G5059" s="101"/>
      <c r="H5059" s="101"/>
      <c r="I5059" s="101"/>
      <c r="K5059" s="226"/>
      <c r="L5059" s="226"/>
      <c r="M5059" s="101"/>
      <c r="N5059" s="101"/>
    </row>
    <row r="5060" spans="7:14" hidden="1" x14ac:dyDescent="0.3">
      <c r="G5060" s="101"/>
      <c r="H5060" s="101"/>
      <c r="I5060" s="101"/>
      <c r="K5060" s="226"/>
      <c r="L5060" s="226"/>
      <c r="M5060" s="101"/>
      <c r="N5060" s="101"/>
    </row>
    <row r="5061" spans="7:14" hidden="1" x14ac:dyDescent="0.3">
      <c r="G5061" s="101"/>
      <c r="H5061" s="101"/>
      <c r="I5061" s="101"/>
      <c r="K5061" s="226"/>
      <c r="L5061" s="226"/>
      <c r="M5061" s="101"/>
      <c r="N5061" s="101"/>
    </row>
    <row r="5062" spans="7:14" hidden="1" x14ac:dyDescent="0.3">
      <c r="G5062" s="101"/>
      <c r="H5062" s="101"/>
      <c r="I5062" s="101"/>
      <c r="K5062" s="226"/>
      <c r="L5062" s="226"/>
      <c r="M5062" s="101"/>
      <c r="N5062" s="101"/>
    </row>
    <row r="5063" spans="7:14" hidden="1" x14ac:dyDescent="0.3">
      <c r="G5063" s="101"/>
      <c r="H5063" s="101"/>
      <c r="I5063" s="101"/>
      <c r="K5063" s="226"/>
      <c r="L5063" s="226"/>
      <c r="M5063" s="101"/>
      <c r="N5063" s="101"/>
    </row>
    <row r="5064" spans="7:14" hidden="1" x14ac:dyDescent="0.3">
      <c r="G5064" s="101"/>
      <c r="H5064" s="101"/>
      <c r="I5064" s="101"/>
      <c r="K5064" s="226"/>
      <c r="L5064" s="226"/>
      <c r="M5064" s="101"/>
      <c r="N5064" s="101"/>
    </row>
    <row r="5065" spans="7:14" hidden="1" x14ac:dyDescent="0.3">
      <c r="G5065" s="101"/>
      <c r="H5065" s="101"/>
      <c r="I5065" s="101"/>
      <c r="K5065" s="226"/>
      <c r="L5065" s="226"/>
      <c r="M5065" s="101"/>
      <c r="N5065" s="101"/>
    </row>
    <row r="5066" spans="7:14" hidden="1" x14ac:dyDescent="0.3">
      <c r="G5066" s="101"/>
      <c r="H5066" s="101"/>
      <c r="I5066" s="101"/>
      <c r="K5066" s="226"/>
      <c r="L5066" s="226"/>
      <c r="M5066" s="101"/>
      <c r="N5066" s="101"/>
    </row>
    <row r="5067" spans="7:14" hidden="1" x14ac:dyDescent="0.3">
      <c r="G5067" s="101"/>
      <c r="H5067" s="101"/>
      <c r="I5067" s="101"/>
      <c r="K5067" s="226"/>
      <c r="L5067" s="226"/>
      <c r="M5067" s="101"/>
      <c r="N5067" s="101"/>
    </row>
    <row r="5068" spans="7:14" hidden="1" x14ac:dyDescent="0.3">
      <c r="G5068" s="101"/>
      <c r="H5068" s="101"/>
      <c r="I5068" s="101"/>
      <c r="K5068" s="226"/>
      <c r="L5068" s="226"/>
      <c r="M5068" s="101"/>
      <c r="N5068" s="101"/>
    </row>
    <row r="5069" spans="7:14" hidden="1" x14ac:dyDescent="0.3">
      <c r="G5069" s="101"/>
      <c r="H5069" s="101"/>
      <c r="I5069" s="101"/>
      <c r="K5069" s="226"/>
      <c r="L5069" s="226"/>
      <c r="M5069" s="101"/>
      <c r="N5069" s="101"/>
    </row>
    <row r="5070" spans="7:14" hidden="1" x14ac:dyDescent="0.3">
      <c r="G5070" s="101"/>
      <c r="H5070" s="101"/>
      <c r="I5070" s="101"/>
      <c r="K5070" s="226"/>
      <c r="L5070" s="226"/>
      <c r="M5070" s="101"/>
      <c r="N5070" s="101"/>
    </row>
    <row r="5071" spans="7:14" hidden="1" x14ac:dyDescent="0.3">
      <c r="G5071" s="101"/>
      <c r="H5071" s="101"/>
      <c r="I5071" s="101"/>
      <c r="K5071" s="226"/>
      <c r="L5071" s="226"/>
      <c r="M5071" s="101"/>
      <c r="N5071" s="101"/>
    </row>
    <row r="5072" spans="7:14" hidden="1" x14ac:dyDescent="0.3">
      <c r="G5072" s="101"/>
      <c r="H5072" s="101"/>
      <c r="I5072" s="101"/>
      <c r="K5072" s="226"/>
      <c r="L5072" s="226"/>
      <c r="M5072" s="101"/>
      <c r="N5072" s="101"/>
    </row>
    <row r="5073" spans="7:14" hidden="1" x14ac:dyDescent="0.3">
      <c r="G5073" s="101"/>
      <c r="H5073" s="101"/>
      <c r="I5073" s="101"/>
      <c r="K5073" s="226"/>
      <c r="L5073" s="226"/>
      <c r="M5073" s="101"/>
      <c r="N5073" s="101"/>
    </row>
    <row r="5074" spans="7:14" hidden="1" x14ac:dyDescent="0.3">
      <c r="G5074" s="101"/>
      <c r="H5074" s="101"/>
      <c r="I5074" s="101"/>
      <c r="K5074" s="226"/>
      <c r="L5074" s="226"/>
      <c r="M5074" s="101"/>
      <c r="N5074" s="101"/>
    </row>
    <row r="5075" spans="7:14" hidden="1" x14ac:dyDescent="0.3">
      <c r="G5075" s="101"/>
      <c r="H5075" s="101"/>
      <c r="I5075" s="101"/>
      <c r="K5075" s="226"/>
      <c r="L5075" s="226"/>
      <c r="M5075" s="101"/>
      <c r="N5075" s="101"/>
    </row>
    <row r="5076" spans="7:14" hidden="1" x14ac:dyDescent="0.3">
      <c r="G5076" s="101"/>
      <c r="H5076" s="101"/>
      <c r="I5076" s="101"/>
      <c r="K5076" s="226"/>
      <c r="L5076" s="226"/>
      <c r="M5076" s="101"/>
      <c r="N5076" s="101"/>
    </row>
    <row r="5077" spans="7:14" hidden="1" x14ac:dyDescent="0.3">
      <c r="G5077" s="101"/>
      <c r="H5077" s="101"/>
      <c r="I5077" s="101"/>
      <c r="K5077" s="226"/>
      <c r="L5077" s="226"/>
      <c r="M5077" s="101"/>
      <c r="N5077" s="101"/>
    </row>
    <row r="5078" spans="7:14" hidden="1" x14ac:dyDescent="0.3">
      <c r="G5078" s="101"/>
      <c r="H5078" s="101"/>
      <c r="I5078" s="101"/>
      <c r="K5078" s="226"/>
      <c r="L5078" s="226"/>
      <c r="M5078" s="101"/>
      <c r="N5078" s="101"/>
    </row>
    <row r="5079" spans="7:14" hidden="1" x14ac:dyDescent="0.3">
      <c r="G5079" s="101"/>
      <c r="H5079" s="101"/>
      <c r="I5079" s="101"/>
      <c r="K5079" s="226"/>
      <c r="L5079" s="226"/>
      <c r="M5079" s="101"/>
      <c r="N5079" s="101"/>
    </row>
    <row r="5080" spans="7:14" hidden="1" x14ac:dyDescent="0.3">
      <c r="G5080" s="101"/>
      <c r="H5080" s="101"/>
      <c r="I5080" s="101"/>
      <c r="K5080" s="226"/>
      <c r="L5080" s="226"/>
      <c r="M5080" s="101"/>
      <c r="N5080" s="101"/>
    </row>
    <row r="5081" spans="7:14" hidden="1" x14ac:dyDescent="0.3">
      <c r="G5081" s="101"/>
      <c r="H5081" s="101"/>
      <c r="I5081" s="101"/>
      <c r="K5081" s="226"/>
      <c r="L5081" s="226"/>
      <c r="M5081" s="101"/>
      <c r="N5081" s="101"/>
    </row>
    <row r="5082" spans="7:14" hidden="1" x14ac:dyDescent="0.3">
      <c r="G5082" s="101"/>
      <c r="H5082" s="101"/>
      <c r="I5082" s="101"/>
      <c r="K5082" s="226"/>
      <c r="L5082" s="226"/>
      <c r="M5082" s="101"/>
      <c r="N5082" s="101"/>
    </row>
    <row r="5083" spans="7:14" hidden="1" x14ac:dyDescent="0.3">
      <c r="G5083" s="101"/>
      <c r="H5083" s="101"/>
      <c r="I5083" s="101"/>
      <c r="K5083" s="226"/>
      <c r="L5083" s="226"/>
      <c r="M5083" s="101"/>
      <c r="N5083" s="101"/>
    </row>
    <row r="5084" spans="7:14" hidden="1" x14ac:dyDescent="0.3">
      <c r="G5084" s="101"/>
      <c r="H5084" s="101"/>
      <c r="I5084" s="101"/>
      <c r="K5084" s="226"/>
      <c r="L5084" s="226"/>
      <c r="M5084" s="101"/>
      <c r="N5084" s="101"/>
    </row>
    <row r="5085" spans="7:14" hidden="1" x14ac:dyDescent="0.3">
      <c r="G5085" s="101"/>
      <c r="H5085" s="101"/>
      <c r="I5085" s="101"/>
      <c r="K5085" s="226"/>
      <c r="L5085" s="226"/>
      <c r="M5085" s="101"/>
      <c r="N5085" s="101"/>
    </row>
    <row r="5086" spans="7:14" hidden="1" x14ac:dyDescent="0.3">
      <c r="G5086" s="101"/>
      <c r="H5086" s="101"/>
      <c r="I5086" s="101"/>
      <c r="K5086" s="226"/>
      <c r="L5086" s="226"/>
      <c r="M5086" s="101"/>
      <c r="N5086" s="101"/>
    </row>
    <row r="5087" spans="7:14" hidden="1" x14ac:dyDescent="0.3">
      <c r="G5087" s="101"/>
      <c r="H5087" s="101"/>
      <c r="I5087" s="101"/>
      <c r="K5087" s="226"/>
      <c r="L5087" s="226"/>
      <c r="M5087" s="101"/>
      <c r="N5087" s="101"/>
    </row>
    <row r="5088" spans="7:14" hidden="1" x14ac:dyDescent="0.3">
      <c r="G5088" s="101"/>
      <c r="H5088" s="101"/>
      <c r="I5088" s="101"/>
      <c r="K5088" s="226"/>
      <c r="L5088" s="226"/>
      <c r="M5088" s="101"/>
      <c r="N5088" s="101"/>
    </row>
    <row r="5089" spans="7:14" hidden="1" x14ac:dyDescent="0.3">
      <c r="G5089" s="101"/>
      <c r="H5089" s="101"/>
      <c r="I5089" s="101"/>
      <c r="K5089" s="226"/>
      <c r="L5089" s="226"/>
      <c r="M5089" s="101"/>
      <c r="N5089" s="101"/>
    </row>
    <row r="5090" spans="7:14" hidden="1" x14ac:dyDescent="0.3">
      <c r="G5090" s="101"/>
      <c r="H5090" s="101"/>
      <c r="I5090" s="101"/>
      <c r="K5090" s="226"/>
      <c r="L5090" s="226"/>
      <c r="M5090" s="101"/>
      <c r="N5090" s="101"/>
    </row>
    <row r="5091" spans="7:14" hidden="1" x14ac:dyDescent="0.3">
      <c r="G5091" s="101"/>
      <c r="H5091" s="101"/>
      <c r="I5091" s="101"/>
      <c r="K5091" s="226"/>
      <c r="L5091" s="226"/>
      <c r="M5091" s="101"/>
      <c r="N5091" s="101"/>
    </row>
    <row r="5092" spans="7:14" hidden="1" x14ac:dyDescent="0.3">
      <c r="G5092" s="101"/>
      <c r="H5092" s="101"/>
      <c r="I5092" s="101"/>
      <c r="K5092" s="226"/>
      <c r="L5092" s="226"/>
      <c r="M5092" s="101"/>
      <c r="N5092" s="101"/>
    </row>
    <row r="5093" spans="7:14" hidden="1" x14ac:dyDescent="0.3">
      <c r="G5093" s="101"/>
      <c r="H5093" s="101"/>
      <c r="I5093" s="101"/>
      <c r="K5093" s="226"/>
      <c r="L5093" s="226"/>
      <c r="M5093" s="101"/>
      <c r="N5093" s="101"/>
    </row>
    <row r="5094" spans="7:14" hidden="1" x14ac:dyDescent="0.3">
      <c r="G5094" s="101"/>
      <c r="H5094" s="101"/>
      <c r="I5094" s="101"/>
      <c r="K5094" s="226"/>
      <c r="L5094" s="226"/>
      <c r="M5094" s="101"/>
      <c r="N5094" s="101"/>
    </row>
    <row r="5095" spans="7:14" hidden="1" x14ac:dyDescent="0.3">
      <c r="G5095" s="101"/>
      <c r="H5095" s="101"/>
      <c r="I5095" s="101"/>
      <c r="K5095" s="226"/>
      <c r="L5095" s="226"/>
      <c r="M5095" s="101"/>
      <c r="N5095" s="101"/>
    </row>
    <row r="5096" spans="7:14" hidden="1" x14ac:dyDescent="0.3">
      <c r="G5096" s="101"/>
      <c r="H5096" s="101"/>
      <c r="I5096" s="101"/>
      <c r="K5096" s="226"/>
      <c r="L5096" s="226"/>
      <c r="M5096" s="101"/>
      <c r="N5096" s="101"/>
    </row>
    <row r="5097" spans="7:14" hidden="1" x14ac:dyDescent="0.3">
      <c r="G5097" s="101"/>
      <c r="H5097" s="101"/>
      <c r="I5097" s="101"/>
      <c r="K5097" s="226"/>
      <c r="L5097" s="226"/>
      <c r="M5097" s="101"/>
      <c r="N5097" s="101"/>
    </row>
    <row r="5098" spans="7:14" hidden="1" x14ac:dyDescent="0.3">
      <c r="G5098" s="101"/>
      <c r="H5098" s="101"/>
      <c r="I5098" s="101"/>
      <c r="K5098" s="226"/>
      <c r="L5098" s="226"/>
      <c r="M5098" s="101"/>
      <c r="N5098" s="101"/>
    </row>
    <row r="5099" spans="7:14" hidden="1" x14ac:dyDescent="0.3">
      <c r="G5099" s="101"/>
      <c r="H5099" s="101"/>
      <c r="I5099" s="101"/>
      <c r="K5099" s="226"/>
      <c r="L5099" s="226"/>
      <c r="M5099" s="101"/>
      <c r="N5099" s="101"/>
    </row>
    <row r="5100" spans="7:14" hidden="1" x14ac:dyDescent="0.3">
      <c r="G5100" s="101"/>
      <c r="H5100" s="101"/>
      <c r="I5100" s="101"/>
      <c r="K5100" s="226"/>
      <c r="L5100" s="226"/>
      <c r="M5100" s="101"/>
      <c r="N5100" s="101"/>
    </row>
    <row r="5101" spans="7:14" hidden="1" x14ac:dyDescent="0.3">
      <c r="G5101" s="101"/>
      <c r="H5101" s="101"/>
      <c r="I5101" s="101"/>
      <c r="K5101" s="226"/>
      <c r="L5101" s="226"/>
      <c r="M5101" s="101"/>
      <c r="N5101" s="101"/>
    </row>
    <row r="5102" spans="7:14" hidden="1" x14ac:dyDescent="0.3">
      <c r="G5102" s="101"/>
      <c r="H5102" s="101"/>
      <c r="I5102" s="101"/>
      <c r="K5102" s="226"/>
      <c r="L5102" s="226"/>
      <c r="M5102" s="101"/>
      <c r="N5102" s="101"/>
    </row>
    <row r="5103" spans="7:14" hidden="1" x14ac:dyDescent="0.3">
      <c r="G5103" s="101"/>
      <c r="H5103" s="101"/>
      <c r="I5103" s="101"/>
      <c r="K5103" s="226"/>
      <c r="L5103" s="226"/>
      <c r="M5103" s="101"/>
      <c r="N5103" s="101"/>
    </row>
    <row r="5104" spans="7:14" hidden="1" x14ac:dyDescent="0.3">
      <c r="G5104" s="101"/>
      <c r="H5104" s="101"/>
      <c r="I5104" s="101"/>
      <c r="K5104" s="226"/>
      <c r="L5104" s="226"/>
      <c r="M5104" s="101"/>
      <c r="N5104" s="101"/>
    </row>
    <row r="5105" spans="7:14" hidden="1" x14ac:dyDescent="0.3">
      <c r="G5105" s="101"/>
      <c r="H5105" s="101"/>
      <c r="I5105" s="101"/>
      <c r="K5105" s="226"/>
      <c r="L5105" s="226"/>
      <c r="M5105" s="101"/>
      <c r="N5105" s="101"/>
    </row>
    <row r="5106" spans="7:14" hidden="1" x14ac:dyDescent="0.3">
      <c r="G5106" s="101"/>
      <c r="H5106" s="101"/>
      <c r="I5106" s="101"/>
      <c r="K5106" s="226"/>
      <c r="L5106" s="226"/>
      <c r="M5106" s="101"/>
      <c r="N5106" s="101"/>
    </row>
    <row r="5107" spans="7:14" hidden="1" x14ac:dyDescent="0.3">
      <c r="G5107" s="101"/>
      <c r="H5107" s="101"/>
      <c r="I5107" s="101"/>
      <c r="K5107" s="226"/>
      <c r="L5107" s="226"/>
      <c r="M5107" s="101"/>
      <c r="N5107" s="101"/>
    </row>
    <row r="5108" spans="7:14" hidden="1" x14ac:dyDescent="0.3">
      <c r="G5108" s="101"/>
      <c r="H5108" s="101"/>
      <c r="I5108" s="101"/>
      <c r="K5108" s="226"/>
      <c r="L5108" s="226"/>
      <c r="M5108" s="101"/>
      <c r="N5108" s="101"/>
    </row>
    <row r="5109" spans="7:14" hidden="1" x14ac:dyDescent="0.3">
      <c r="G5109" s="101"/>
      <c r="H5109" s="101"/>
      <c r="I5109" s="101"/>
      <c r="K5109" s="226"/>
      <c r="L5109" s="226"/>
      <c r="M5109" s="101"/>
      <c r="N5109" s="101"/>
    </row>
    <row r="5110" spans="7:14" hidden="1" x14ac:dyDescent="0.3">
      <c r="G5110" s="101"/>
      <c r="H5110" s="101"/>
      <c r="I5110" s="101"/>
      <c r="K5110" s="226"/>
      <c r="L5110" s="226"/>
      <c r="M5110" s="101"/>
      <c r="N5110" s="101"/>
    </row>
    <row r="5111" spans="7:14" hidden="1" x14ac:dyDescent="0.3">
      <c r="G5111" s="101"/>
      <c r="H5111" s="101"/>
      <c r="I5111" s="101"/>
      <c r="K5111" s="226"/>
      <c r="L5111" s="226"/>
      <c r="M5111" s="101"/>
      <c r="N5111" s="101"/>
    </row>
    <row r="5112" spans="7:14" hidden="1" x14ac:dyDescent="0.3">
      <c r="G5112" s="101"/>
      <c r="H5112" s="101"/>
      <c r="I5112" s="101"/>
      <c r="K5112" s="226"/>
      <c r="L5112" s="226"/>
      <c r="M5112" s="101"/>
      <c r="N5112" s="101"/>
    </row>
    <row r="5113" spans="7:14" hidden="1" x14ac:dyDescent="0.3">
      <c r="G5113" s="101"/>
      <c r="H5113" s="101"/>
      <c r="I5113" s="101"/>
      <c r="K5113" s="226"/>
      <c r="L5113" s="226"/>
      <c r="M5113" s="101"/>
      <c r="N5113" s="101"/>
    </row>
    <row r="5114" spans="7:14" hidden="1" x14ac:dyDescent="0.3">
      <c r="G5114" s="101"/>
      <c r="H5114" s="101"/>
      <c r="I5114" s="101"/>
      <c r="K5114" s="226"/>
      <c r="L5114" s="226"/>
      <c r="M5114" s="101"/>
      <c r="N5114" s="101"/>
    </row>
    <row r="5115" spans="7:14" hidden="1" x14ac:dyDescent="0.3">
      <c r="G5115" s="101"/>
      <c r="H5115" s="101"/>
      <c r="I5115" s="101"/>
      <c r="K5115" s="226"/>
      <c r="L5115" s="226"/>
      <c r="M5115" s="101"/>
      <c r="N5115" s="101"/>
    </row>
    <row r="5116" spans="7:14" hidden="1" x14ac:dyDescent="0.3">
      <c r="G5116" s="101"/>
      <c r="H5116" s="101"/>
      <c r="I5116" s="101"/>
      <c r="K5116" s="226"/>
      <c r="L5116" s="226"/>
      <c r="M5116" s="101"/>
      <c r="N5116" s="101"/>
    </row>
    <row r="5117" spans="7:14" hidden="1" x14ac:dyDescent="0.3">
      <c r="G5117" s="101"/>
      <c r="H5117" s="101"/>
      <c r="I5117" s="101"/>
      <c r="K5117" s="226"/>
      <c r="L5117" s="226"/>
      <c r="M5117" s="101"/>
      <c r="N5117" s="101"/>
    </row>
    <row r="5118" spans="7:14" hidden="1" x14ac:dyDescent="0.3">
      <c r="G5118" s="101"/>
      <c r="H5118" s="101"/>
      <c r="I5118" s="101"/>
      <c r="K5118" s="226"/>
      <c r="L5118" s="226"/>
      <c r="M5118" s="101"/>
      <c r="N5118" s="101"/>
    </row>
    <row r="5119" spans="7:14" hidden="1" x14ac:dyDescent="0.3">
      <c r="G5119" s="101"/>
      <c r="H5119" s="101"/>
      <c r="I5119" s="101"/>
      <c r="K5119" s="226"/>
      <c r="L5119" s="226"/>
      <c r="M5119" s="101"/>
      <c r="N5119" s="101"/>
    </row>
    <row r="5120" spans="7:14" hidden="1" x14ac:dyDescent="0.3">
      <c r="G5120" s="101"/>
      <c r="H5120" s="101"/>
      <c r="I5120" s="101"/>
      <c r="K5120" s="226"/>
      <c r="L5120" s="226"/>
      <c r="M5120" s="101"/>
      <c r="N5120" s="101"/>
    </row>
    <row r="5121" spans="7:14" hidden="1" x14ac:dyDescent="0.3">
      <c r="G5121" s="101"/>
      <c r="H5121" s="101"/>
      <c r="I5121" s="101"/>
      <c r="K5121" s="226"/>
      <c r="L5121" s="226"/>
      <c r="M5121" s="101"/>
      <c r="N5121" s="101"/>
    </row>
    <row r="5122" spans="7:14" hidden="1" x14ac:dyDescent="0.3">
      <c r="G5122" s="101"/>
      <c r="H5122" s="101"/>
      <c r="I5122" s="101"/>
      <c r="K5122" s="226"/>
      <c r="L5122" s="226"/>
      <c r="M5122" s="101"/>
      <c r="N5122" s="101"/>
    </row>
    <row r="5123" spans="7:14" hidden="1" x14ac:dyDescent="0.3">
      <c r="G5123" s="101"/>
      <c r="H5123" s="101"/>
      <c r="I5123" s="101"/>
      <c r="K5123" s="226"/>
      <c r="L5123" s="226"/>
      <c r="M5123" s="101"/>
      <c r="N5123" s="101"/>
    </row>
    <row r="5124" spans="7:14" hidden="1" x14ac:dyDescent="0.3">
      <c r="G5124" s="101"/>
      <c r="H5124" s="101"/>
      <c r="I5124" s="101"/>
      <c r="K5124" s="226"/>
      <c r="L5124" s="226"/>
      <c r="M5124" s="101"/>
      <c r="N5124" s="101"/>
    </row>
    <row r="5125" spans="7:14" hidden="1" x14ac:dyDescent="0.3">
      <c r="G5125" s="101"/>
      <c r="H5125" s="101"/>
      <c r="I5125" s="101"/>
      <c r="K5125" s="226"/>
      <c r="L5125" s="226"/>
      <c r="M5125" s="101"/>
      <c r="N5125" s="101"/>
    </row>
    <row r="5126" spans="7:14" hidden="1" x14ac:dyDescent="0.3">
      <c r="G5126" s="101"/>
      <c r="H5126" s="101"/>
      <c r="I5126" s="101"/>
      <c r="K5126" s="226"/>
      <c r="L5126" s="226"/>
      <c r="M5126" s="101"/>
      <c r="N5126" s="101"/>
    </row>
    <row r="5127" spans="7:14" hidden="1" x14ac:dyDescent="0.3">
      <c r="G5127" s="101"/>
      <c r="H5127" s="101"/>
      <c r="I5127" s="101"/>
      <c r="K5127" s="226"/>
      <c r="L5127" s="226"/>
      <c r="M5127" s="101"/>
      <c r="N5127" s="101"/>
    </row>
    <row r="5128" spans="7:14" hidden="1" x14ac:dyDescent="0.3">
      <c r="G5128" s="101"/>
      <c r="H5128" s="101"/>
      <c r="I5128" s="101"/>
      <c r="K5128" s="226"/>
      <c r="L5128" s="226"/>
      <c r="M5128" s="101"/>
      <c r="N5128" s="101"/>
    </row>
    <row r="5129" spans="7:14" hidden="1" x14ac:dyDescent="0.3">
      <c r="G5129" s="101"/>
      <c r="H5129" s="101"/>
      <c r="I5129" s="101"/>
      <c r="K5129" s="226"/>
      <c r="L5129" s="226"/>
      <c r="M5129" s="101"/>
      <c r="N5129" s="101"/>
    </row>
    <row r="5130" spans="7:14" hidden="1" x14ac:dyDescent="0.3">
      <c r="G5130" s="101"/>
      <c r="H5130" s="101"/>
      <c r="I5130" s="101"/>
      <c r="K5130" s="226"/>
      <c r="L5130" s="226"/>
      <c r="M5130" s="101"/>
      <c r="N5130" s="101"/>
    </row>
    <row r="5131" spans="7:14" hidden="1" x14ac:dyDescent="0.3">
      <c r="G5131" s="101"/>
      <c r="H5131" s="101"/>
      <c r="I5131" s="101"/>
      <c r="K5131" s="226"/>
      <c r="L5131" s="226"/>
      <c r="M5131" s="101"/>
      <c r="N5131" s="101"/>
    </row>
    <row r="5132" spans="7:14" hidden="1" x14ac:dyDescent="0.3">
      <c r="G5132" s="101"/>
      <c r="H5132" s="101"/>
      <c r="I5132" s="101"/>
      <c r="K5132" s="226"/>
      <c r="L5132" s="226"/>
      <c r="M5132" s="101"/>
      <c r="N5132" s="101"/>
    </row>
    <row r="5133" spans="7:14" hidden="1" x14ac:dyDescent="0.3">
      <c r="G5133" s="101"/>
      <c r="H5133" s="101"/>
      <c r="I5133" s="101"/>
      <c r="K5133" s="226"/>
      <c r="L5133" s="226"/>
      <c r="M5133" s="101"/>
      <c r="N5133" s="101"/>
    </row>
    <row r="5134" spans="7:14" hidden="1" x14ac:dyDescent="0.3">
      <c r="G5134" s="101"/>
      <c r="H5134" s="101"/>
      <c r="I5134" s="101"/>
      <c r="K5134" s="226"/>
      <c r="L5134" s="226"/>
      <c r="M5134" s="101"/>
      <c r="N5134" s="101"/>
    </row>
    <row r="5135" spans="7:14" hidden="1" x14ac:dyDescent="0.3">
      <c r="G5135" s="101"/>
      <c r="H5135" s="101"/>
      <c r="I5135" s="101"/>
      <c r="K5135" s="226"/>
      <c r="L5135" s="226"/>
      <c r="M5135" s="101"/>
      <c r="N5135" s="101"/>
    </row>
    <row r="5136" spans="7:14" hidden="1" x14ac:dyDescent="0.3">
      <c r="G5136" s="101"/>
      <c r="H5136" s="101"/>
      <c r="I5136" s="101"/>
      <c r="K5136" s="226"/>
      <c r="L5136" s="226"/>
      <c r="M5136" s="101"/>
      <c r="N5136" s="101"/>
    </row>
    <row r="5137" spans="7:14" hidden="1" x14ac:dyDescent="0.3">
      <c r="G5137" s="101"/>
      <c r="H5137" s="101"/>
      <c r="I5137" s="101"/>
      <c r="K5137" s="226"/>
      <c r="L5137" s="226"/>
      <c r="M5137" s="101"/>
      <c r="N5137" s="101"/>
    </row>
    <row r="5138" spans="7:14" hidden="1" x14ac:dyDescent="0.3">
      <c r="G5138" s="101"/>
      <c r="H5138" s="101"/>
      <c r="I5138" s="101"/>
      <c r="K5138" s="226"/>
      <c r="L5138" s="226"/>
      <c r="M5138" s="101"/>
      <c r="N5138" s="101"/>
    </row>
    <row r="5139" spans="7:14" hidden="1" x14ac:dyDescent="0.3">
      <c r="G5139" s="101"/>
      <c r="H5139" s="101"/>
      <c r="I5139" s="101"/>
      <c r="K5139" s="226"/>
      <c r="L5139" s="226"/>
      <c r="M5139" s="101"/>
      <c r="N5139" s="101"/>
    </row>
    <row r="5140" spans="7:14" hidden="1" x14ac:dyDescent="0.3">
      <c r="G5140" s="101"/>
      <c r="H5140" s="101"/>
      <c r="I5140" s="101"/>
      <c r="K5140" s="226"/>
      <c r="L5140" s="226"/>
      <c r="M5140" s="101"/>
      <c r="N5140" s="101"/>
    </row>
    <row r="5141" spans="7:14" hidden="1" x14ac:dyDescent="0.3">
      <c r="G5141" s="101"/>
      <c r="H5141" s="101"/>
      <c r="I5141" s="101"/>
      <c r="K5141" s="226"/>
      <c r="L5141" s="226"/>
      <c r="M5141" s="101"/>
      <c r="N5141" s="101"/>
    </row>
    <row r="5142" spans="7:14" hidden="1" x14ac:dyDescent="0.3">
      <c r="G5142" s="101"/>
      <c r="H5142" s="101"/>
      <c r="I5142" s="101"/>
      <c r="K5142" s="226"/>
      <c r="L5142" s="226"/>
      <c r="M5142" s="101"/>
      <c r="N5142" s="101"/>
    </row>
    <row r="5143" spans="7:14" hidden="1" x14ac:dyDescent="0.3">
      <c r="G5143" s="101"/>
      <c r="H5143" s="101"/>
      <c r="I5143" s="101"/>
      <c r="K5143" s="226"/>
      <c r="L5143" s="226"/>
      <c r="M5143" s="101"/>
      <c r="N5143" s="101"/>
    </row>
    <row r="5144" spans="7:14" hidden="1" x14ac:dyDescent="0.3">
      <c r="G5144" s="101"/>
      <c r="H5144" s="101"/>
      <c r="I5144" s="101"/>
      <c r="K5144" s="226"/>
      <c r="L5144" s="226"/>
      <c r="M5144" s="101"/>
      <c r="N5144" s="101"/>
    </row>
    <row r="5145" spans="7:14" hidden="1" x14ac:dyDescent="0.3">
      <c r="G5145" s="101"/>
      <c r="H5145" s="101"/>
      <c r="I5145" s="101"/>
      <c r="K5145" s="226"/>
      <c r="L5145" s="226"/>
      <c r="M5145" s="101"/>
      <c r="N5145" s="101"/>
    </row>
    <row r="5146" spans="7:14" hidden="1" x14ac:dyDescent="0.3">
      <c r="G5146" s="101"/>
      <c r="H5146" s="101"/>
      <c r="I5146" s="101"/>
      <c r="K5146" s="226"/>
      <c r="L5146" s="226"/>
      <c r="M5146" s="101"/>
      <c r="N5146" s="101"/>
    </row>
    <row r="5147" spans="7:14" hidden="1" x14ac:dyDescent="0.3">
      <c r="G5147" s="101"/>
      <c r="H5147" s="101"/>
      <c r="I5147" s="101"/>
      <c r="K5147" s="226"/>
      <c r="L5147" s="226"/>
      <c r="M5147" s="101"/>
      <c r="N5147" s="101"/>
    </row>
    <row r="5148" spans="7:14" hidden="1" x14ac:dyDescent="0.3">
      <c r="G5148" s="101"/>
      <c r="H5148" s="101"/>
      <c r="I5148" s="101"/>
      <c r="K5148" s="226"/>
      <c r="L5148" s="226"/>
      <c r="M5148" s="101"/>
      <c r="N5148" s="101"/>
    </row>
    <row r="5149" spans="7:14" hidden="1" x14ac:dyDescent="0.3">
      <c r="G5149" s="101"/>
      <c r="H5149" s="101"/>
      <c r="I5149" s="101"/>
      <c r="K5149" s="226"/>
      <c r="L5149" s="226"/>
      <c r="M5149" s="101"/>
      <c r="N5149" s="101"/>
    </row>
    <row r="5150" spans="7:14" hidden="1" x14ac:dyDescent="0.3">
      <c r="G5150" s="101"/>
      <c r="H5150" s="101"/>
      <c r="I5150" s="101"/>
      <c r="K5150" s="226"/>
      <c r="L5150" s="226"/>
      <c r="M5150" s="101"/>
      <c r="N5150" s="101"/>
    </row>
    <row r="5151" spans="7:14" hidden="1" x14ac:dyDescent="0.3">
      <c r="G5151" s="101"/>
      <c r="H5151" s="101"/>
      <c r="I5151" s="101"/>
      <c r="K5151" s="226"/>
      <c r="L5151" s="226"/>
      <c r="M5151" s="101"/>
      <c r="N5151" s="101"/>
    </row>
    <row r="5152" spans="7:14" hidden="1" x14ac:dyDescent="0.3">
      <c r="G5152" s="101"/>
      <c r="H5152" s="101"/>
      <c r="I5152" s="101"/>
      <c r="K5152" s="226"/>
      <c r="L5152" s="226"/>
      <c r="M5152" s="101"/>
      <c r="N5152" s="101"/>
    </row>
    <row r="5153" spans="7:14" hidden="1" x14ac:dyDescent="0.3">
      <c r="G5153" s="101"/>
      <c r="H5153" s="101"/>
      <c r="I5153" s="101"/>
      <c r="K5153" s="226"/>
      <c r="L5153" s="226"/>
      <c r="M5153" s="101"/>
      <c r="N5153" s="101"/>
    </row>
    <row r="5154" spans="7:14" hidden="1" x14ac:dyDescent="0.3">
      <c r="G5154" s="101"/>
      <c r="H5154" s="101"/>
      <c r="I5154" s="101"/>
      <c r="K5154" s="226"/>
      <c r="L5154" s="226"/>
      <c r="M5154" s="101"/>
      <c r="N5154" s="101"/>
    </row>
    <row r="5155" spans="7:14" hidden="1" x14ac:dyDescent="0.3">
      <c r="G5155" s="101"/>
      <c r="H5155" s="101"/>
      <c r="I5155" s="101"/>
      <c r="K5155" s="226"/>
      <c r="L5155" s="226"/>
      <c r="M5155" s="101"/>
      <c r="N5155" s="101"/>
    </row>
    <row r="5156" spans="7:14" hidden="1" x14ac:dyDescent="0.3">
      <c r="G5156" s="101"/>
      <c r="H5156" s="101"/>
      <c r="I5156" s="101"/>
      <c r="K5156" s="226"/>
      <c r="L5156" s="226"/>
      <c r="M5156" s="101"/>
      <c r="N5156" s="101"/>
    </row>
    <row r="5157" spans="7:14" hidden="1" x14ac:dyDescent="0.3">
      <c r="G5157" s="101"/>
      <c r="H5157" s="101"/>
      <c r="I5157" s="101"/>
      <c r="K5157" s="226"/>
      <c r="L5157" s="226"/>
      <c r="M5157" s="101"/>
      <c r="N5157" s="101"/>
    </row>
    <row r="5158" spans="7:14" hidden="1" x14ac:dyDescent="0.3">
      <c r="G5158" s="101"/>
      <c r="H5158" s="101"/>
      <c r="I5158" s="101"/>
      <c r="K5158" s="226"/>
      <c r="L5158" s="226"/>
      <c r="M5158" s="101"/>
      <c r="N5158" s="101"/>
    </row>
    <row r="5159" spans="7:14" hidden="1" x14ac:dyDescent="0.3">
      <c r="G5159" s="101"/>
      <c r="H5159" s="101"/>
      <c r="I5159" s="101"/>
      <c r="K5159" s="226"/>
      <c r="L5159" s="226"/>
      <c r="M5159" s="101"/>
      <c r="N5159" s="101"/>
    </row>
    <row r="5160" spans="7:14" hidden="1" x14ac:dyDescent="0.3">
      <c r="G5160" s="101"/>
      <c r="H5160" s="101"/>
      <c r="I5160" s="101"/>
      <c r="K5160" s="226"/>
      <c r="L5160" s="226"/>
      <c r="M5160" s="101"/>
      <c r="N5160" s="101"/>
    </row>
    <row r="5161" spans="7:14" hidden="1" x14ac:dyDescent="0.3">
      <c r="G5161" s="101"/>
      <c r="H5161" s="101"/>
      <c r="I5161" s="101"/>
      <c r="K5161" s="226"/>
      <c r="L5161" s="226"/>
      <c r="M5161" s="101"/>
      <c r="N5161" s="101"/>
    </row>
    <row r="5162" spans="7:14" hidden="1" x14ac:dyDescent="0.3">
      <c r="G5162" s="101"/>
      <c r="H5162" s="101"/>
      <c r="I5162" s="101"/>
      <c r="K5162" s="226"/>
      <c r="L5162" s="226"/>
      <c r="M5162" s="101"/>
      <c r="N5162" s="101"/>
    </row>
    <row r="5163" spans="7:14" hidden="1" x14ac:dyDescent="0.3">
      <c r="G5163" s="101"/>
      <c r="H5163" s="101"/>
      <c r="I5163" s="101"/>
      <c r="K5163" s="226"/>
      <c r="L5163" s="226"/>
      <c r="M5163" s="101"/>
      <c r="N5163" s="101"/>
    </row>
    <row r="5164" spans="7:14" hidden="1" x14ac:dyDescent="0.3">
      <c r="G5164" s="101"/>
      <c r="H5164" s="101"/>
      <c r="I5164" s="101"/>
      <c r="K5164" s="226"/>
      <c r="L5164" s="226"/>
      <c r="M5164" s="101"/>
      <c r="N5164" s="101"/>
    </row>
    <row r="5165" spans="7:14" hidden="1" x14ac:dyDescent="0.3">
      <c r="G5165" s="101"/>
      <c r="H5165" s="101"/>
      <c r="I5165" s="101"/>
      <c r="K5165" s="226"/>
      <c r="L5165" s="226"/>
      <c r="M5165" s="101"/>
      <c r="N5165" s="101"/>
    </row>
    <row r="5166" spans="7:14" hidden="1" x14ac:dyDescent="0.3">
      <c r="G5166" s="101"/>
      <c r="H5166" s="101"/>
      <c r="I5166" s="101"/>
      <c r="K5166" s="226"/>
      <c r="L5166" s="226"/>
      <c r="M5166" s="101"/>
      <c r="N5166" s="101"/>
    </row>
    <row r="5167" spans="7:14" hidden="1" x14ac:dyDescent="0.3">
      <c r="G5167" s="101"/>
      <c r="H5167" s="101"/>
      <c r="I5167" s="101"/>
      <c r="K5167" s="226"/>
      <c r="L5167" s="226"/>
      <c r="M5167" s="101"/>
      <c r="N5167" s="101"/>
    </row>
    <row r="5168" spans="7:14" hidden="1" x14ac:dyDescent="0.3">
      <c r="G5168" s="101"/>
      <c r="H5168" s="101"/>
      <c r="I5168" s="101"/>
      <c r="K5168" s="226"/>
      <c r="L5168" s="226"/>
      <c r="M5168" s="101"/>
      <c r="N5168" s="101"/>
    </row>
    <row r="5169" spans="7:14" hidden="1" x14ac:dyDescent="0.3">
      <c r="G5169" s="101"/>
      <c r="H5169" s="101"/>
      <c r="I5169" s="101"/>
      <c r="K5169" s="226"/>
      <c r="L5169" s="226"/>
      <c r="M5169" s="101"/>
      <c r="N5169" s="101"/>
    </row>
    <row r="5170" spans="7:14" hidden="1" x14ac:dyDescent="0.3">
      <c r="G5170" s="101"/>
      <c r="H5170" s="101"/>
      <c r="I5170" s="101"/>
      <c r="K5170" s="226"/>
      <c r="L5170" s="226"/>
      <c r="M5170" s="101"/>
      <c r="N5170" s="101"/>
    </row>
    <row r="5171" spans="7:14" hidden="1" x14ac:dyDescent="0.3">
      <c r="G5171" s="101"/>
      <c r="H5171" s="101"/>
      <c r="I5171" s="101"/>
      <c r="K5171" s="226"/>
      <c r="L5171" s="226"/>
      <c r="M5171" s="101"/>
      <c r="N5171" s="101"/>
    </row>
    <row r="5172" spans="7:14" hidden="1" x14ac:dyDescent="0.3">
      <c r="G5172" s="101"/>
      <c r="H5172" s="101"/>
      <c r="I5172" s="101"/>
      <c r="K5172" s="226"/>
      <c r="L5172" s="226"/>
      <c r="M5172" s="101"/>
      <c r="N5172" s="101"/>
    </row>
    <row r="5173" spans="7:14" hidden="1" x14ac:dyDescent="0.3">
      <c r="G5173" s="101"/>
      <c r="H5173" s="101"/>
      <c r="I5173" s="101"/>
      <c r="K5173" s="226"/>
      <c r="L5173" s="226"/>
      <c r="M5173" s="101"/>
      <c r="N5173" s="101"/>
    </row>
    <row r="5174" spans="7:14" hidden="1" x14ac:dyDescent="0.3">
      <c r="G5174" s="101"/>
      <c r="H5174" s="101"/>
      <c r="I5174" s="101"/>
      <c r="K5174" s="226"/>
      <c r="L5174" s="226"/>
      <c r="M5174" s="101"/>
      <c r="N5174" s="101"/>
    </row>
    <row r="5175" spans="7:14" hidden="1" x14ac:dyDescent="0.3">
      <c r="G5175" s="101"/>
      <c r="H5175" s="101"/>
      <c r="I5175" s="101"/>
      <c r="K5175" s="226"/>
      <c r="L5175" s="226"/>
      <c r="M5175" s="101"/>
      <c r="N5175" s="101"/>
    </row>
    <row r="5176" spans="7:14" hidden="1" x14ac:dyDescent="0.3">
      <c r="G5176" s="101"/>
      <c r="H5176" s="101"/>
      <c r="I5176" s="101"/>
      <c r="K5176" s="226"/>
      <c r="L5176" s="226"/>
      <c r="M5176" s="101"/>
      <c r="N5176" s="101"/>
    </row>
    <row r="5177" spans="7:14" hidden="1" x14ac:dyDescent="0.3">
      <c r="G5177" s="101"/>
      <c r="H5177" s="101"/>
      <c r="I5177" s="101"/>
      <c r="K5177" s="226"/>
      <c r="L5177" s="226"/>
      <c r="M5177" s="101"/>
      <c r="N5177" s="101"/>
    </row>
    <row r="5178" spans="7:14" hidden="1" x14ac:dyDescent="0.3">
      <c r="G5178" s="101"/>
      <c r="H5178" s="101"/>
      <c r="I5178" s="101"/>
      <c r="K5178" s="226"/>
      <c r="L5178" s="226"/>
      <c r="M5178" s="101"/>
      <c r="N5178" s="101"/>
    </row>
    <row r="5179" spans="7:14" hidden="1" x14ac:dyDescent="0.3">
      <c r="G5179" s="101"/>
      <c r="H5179" s="101"/>
      <c r="I5179" s="101"/>
      <c r="K5179" s="226"/>
      <c r="L5179" s="226"/>
      <c r="M5179" s="101"/>
      <c r="N5179" s="101"/>
    </row>
    <row r="5180" spans="7:14" hidden="1" x14ac:dyDescent="0.3">
      <c r="G5180" s="101"/>
      <c r="H5180" s="101"/>
      <c r="I5180" s="101"/>
      <c r="K5180" s="226"/>
      <c r="L5180" s="226"/>
      <c r="M5180" s="101"/>
      <c r="N5180" s="101"/>
    </row>
    <row r="5181" spans="7:14" hidden="1" x14ac:dyDescent="0.3">
      <c r="G5181" s="101"/>
      <c r="H5181" s="101"/>
      <c r="I5181" s="101"/>
      <c r="K5181" s="226"/>
      <c r="L5181" s="226"/>
      <c r="M5181" s="101"/>
      <c r="N5181" s="101"/>
    </row>
    <row r="5182" spans="7:14" hidden="1" x14ac:dyDescent="0.3">
      <c r="G5182" s="101"/>
      <c r="H5182" s="101"/>
      <c r="I5182" s="101"/>
      <c r="K5182" s="226"/>
      <c r="L5182" s="226"/>
      <c r="M5182" s="101"/>
      <c r="N5182" s="101"/>
    </row>
    <row r="5183" spans="7:14" hidden="1" x14ac:dyDescent="0.3">
      <c r="G5183" s="101"/>
      <c r="H5183" s="101"/>
      <c r="I5183" s="101"/>
      <c r="K5183" s="226"/>
      <c r="L5183" s="226"/>
      <c r="M5183" s="101"/>
      <c r="N5183" s="101"/>
    </row>
    <row r="5184" spans="7:14" hidden="1" x14ac:dyDescent="0.3">
      <c r="G5184" s="101"/>
      <c r="H5184" s="101"/>
      <c r="I5184" s="101"/>
      <c r="K5184" s="226"/>
      <c r="L5184" s="226"/>
      <c r="M5184" s="101"/>
      <c r="N5184" s="101"/>
    </row>
    <row r="5185" spans="7:14" hidden="1" x14ac:dyDescent="0.3">
      <c r="G5185" s="101"/>
      <c r="H5185" s="101"/>
      <c r="I5185" s="101"/>
      <c r="K5185" s="226"/>
      <c r="L5185" s="226"/>
      <c r="M5185" s="101"/>
      <c r="N5185" s="101"/>
    </row>
    <row r="5186" spans="7:14" hidden="1" x14ac:dyDescent="0.3">
      <c r="G5186" s="101"/>
      <c r="H5186" s="101"/>
      <c r="I5186" s="101"/>
      <c r="K5186" s="226"/>
      <c r="L5186" s="226"/>
      <c r="M5186" s="101"/>
      <c r="N5186" s="101"/>
    </row>
    <row r="5187" spans="7:14" hidden="1" x14ac:dyDescent="0.3">
      <c r="G5187" s="101"/>
      <c r="H5187" s="101"/>
      <c r="I5187" s="101"/>
      <c r="K5187" s="226"/>
      <c r="L5187" s="226"/>
      <c r="M5187" s="101"/>
      <c r="N5187" s="101"/>
    </row>
    <row r="5188" spans="7:14" hidden="1" x14ac:dyDescent="0.3">
      <c r="G5188" s="101"/>
      <c r="H5188" s="101"/>
      <c r="I5188" s="101"/>
      <c r="K5188" s="226"/>
      <c r="L5188" s="226"/>
      <c r="M5188" s="101"/>
      <c r="N5188" s="101"/>
    </row>
    <row r="5189" spans="7:14" hidden="1" x14ac:dyDescent="0.3">
      <c r="G5189" s="101"/>
      <c r="H5189" s="101"/>
      <c r="I5189" s="101"/>
      <c r="K5189" s="226"/>
      <c r="L5189" s="226"/>
      <c r="M5189" s="101"/>
      <c r="N5189" s="101"/>
    </row>
    <row r="5190" spans="7:14" hidden="1" x14ac:dyDescent="0.3">
      <c r="G5190" s="101"/>
      <c r="H5190" s="101"/>
      <c r="I5190" s="101"/>
      <c r="K5190" s="226"/>
      <c r="L5190" s="226"/>
      <c r="M5190" s="101"/>
      <c r="N5190" s="101"/>
    </row>
    <row r="5191" spans="7:14" hidden="1" x14ac:dyDescent="0.3">
      <c r="G5191" s="101"/>
      <c r="H5191" s="101"/>
      <c r="I5191" s="101"/>
      <c r="K5191" s="226"/>
      <c r="L5191" s="226"/>
      <c r="M5191" s="101"/>
      <c r="N5191" s="101"/>
    </row>
    <row r="5192" spans="7:14" hidden="1" x14ac:dyDescent="0.3">
      <c r="G5192" s="101"/>
      <c r="H5192" s="101"/>
      <c r="I5192" s="101"/>
      <c r="K5192" s="226"/>
      <c r="L5192" s="226"/>
      <c r="M5192" s="101"/>
      <c r="N5192" s="101"/>
    </row>
    <row r="5193" spans="7:14" hidden="1" x14ac:dyDescent="0.3">
      <c r="G5193" s="101"/>
      <c r="H5193" s="101"/>
      <c r="I5193" s="101"/>
      <c r="K5193" s="226"/>
      <c r="L5193" s="226"/>
      <c r="M5193" s="101"/>
      <c r="N5193" s="101"/>
    </row>
    <row r="5194" spans="7:14" hidden="1" x14ac:dyDescent="0.3">
      <c r="G5194" s="101"/>
      <c r="H5194" s="101"/>
      <c r="I5194" s="101"/>
      <c r="K5194" s="226"/>
      <c r="L5194" s="226"/>
      <c r="M5194" s="101"/>
      <c r="N5194" s="101"/>
    </row>
    <row r="5195" spans="7:14" hidden="1" x14ac:dyDescent="0.3">
      <c r="G5195" s="101"/>
      <c r="H5195" s="101"/>
      <c r="I5195" s="101"/>
      <c r="K5195" s="226"/>
      <c r="L5195" s="226"/>
      <c r="M5195" s="101"/>
      <c r="N5195" s="101"/>
    </row>
    <row r="5196" spans="7:14" hidden="1" x14ac:dyDescent="0.3">
      <c r="G5196" s="101"/>
      <c r="H5196" s="101"/>
      <c r="I5196" s="101"/>
      <c r="K5196" s="226"/>
      <c r="L5196" s="226"/>
      <c r="M5196" s="101"/>
      <c r="N5196" s="101"/>
    </row>
    <row r="5197" spans="7:14" hidden="1" x14ac:dyDescent="0.3">
      <c r="G5197" s="101"/>
      <c r="H5197" s="101"/>
      <c r="I5197" s="101"/>
      <c r="K5197" s="226"/>
      <c r="L5197" s="226"/>
      <c r="M5197" s="101"/>
      <c r="N5197" s="101"/>
    </row>
    <row r="5198" spans="7:14" hidden="1" x14ac:dyDescent="0.3">
      <c r="G5198" s="101"/>
      <c r="H5198" s="101"/>
      <c r="I5198" s="101"/>
      <c r="K5198" s="226"/>
      <c r="L5198" s="226"/>
      <c r="M5198" s="101"/>
      <c r="N5198" s="101"/>
    </row>
    <row r="5199" spans="7:14" hidden="1" x14ac:dyDescent="0.3">
      <c r="G5199" s="101"/>
      <c r="H5199" s="101"/>
      <c r="I5199" s="101"/>
      <c r="K5199" s="226"/>
      <c r="L5199" s="226"/>
      <c r="M5199" s="101"/>
      <c r="N5199" s="101"/>
    </row>
    <row r="5200" spans="7:14" hidden="1" x14ac:dyDescent="0.3">
      <c r="G5200" s="101"/>
      <c r="H5200" s="101"/>
      <c r="I5200" s="101"/>
      <c r="K5200" s="226"/>
      <c r="L5200" s="226"/>
      <c r="M5200" s="101"/>
      <c r="N5200" s="101"/>
    </row>
    <row r="5201" spans="7:14" hidden="1" x14ac:dyDescent="0.3">
      <c r="G5201" s="101"/>
      <c r="H5201" s="101"/>
      <c r="I5201" s="101"/>
      <c r="K5201" s="226"/>
      <c r="L5201" s="226"/>
      <c r="M5201" s="101"/>
      <c r="N5201" s="101"/>
    </row>
    <row r="5202" spans="7:14" hidden="1" x14ac:dyDescent="0.3">
      <c r="G5202" s="101"/>
      <c r="H5202" s="101"/>
      <c r="I5202" s="101"/>
      <c r="K5202" s="226"/>
      <c r="L5202" s="226"/>
      <c r="M5202" s="101"/>
      <c r="N5202" s="101"/>
    </row>
    <row r="5203" spans="7:14" hidden="1" x14ac:dyDescent="0.3">
      <c r="G5203" s="101"/>
      <c r="H5203" s="101"/>
      <c r="I5203" s="101"/>
      <c r="K5203" s="226"/>
      <c r="L5203" s="226"/>
      <c r="M5203" s="101"/>
      <c r="N5203" s="101"/>
    </row>
    <row r="5204" spans="7:14" hidden="1" x14ac:dyDescent="0.3">
      <c r="G5204" s="101"/>
      <c r="H5204" s="101"/>
      <c r="I5204" s="101"/>
      <c r="K5204" s="226"/>
      <c r="L5204" s="226"/>
      <c r="M5204" s="101"/>
      <c r="N5204" s="101"/>
    </row>
    <row r="5205" spans="7:14" hidden="1" x14ac:dyDescent="0.3">
      <c r="G5205" s="101"/>
      <c r="H5205" s="101"/>
      <c r="I5205" s="101"/>
      <c r="K5205" s="226"/>
      <c r="L5205" s="226"/>
      <c r="M5205" s="101"/>
      <c r="N5205" s="101"/>
    </row>
    <row r="5206" spans="7:14" hidden="1" x14ac:dyDescent="0.3">
      <c r="G5206" s="101"/>
      <c r="H5206" s="101"/>
      <c r="I5206" s="101"/>
      <c r="K5206" s="226"/>
      <c r="L5206" s="226"/>
      <c r="M5206" s="101"/>
      <c r="N5206" s="101"/>
    </row>
    <row r="5207" spans="7:14" hidden="1" x14ac:dyDescent="0.3">
      <c r="G5207" s="101"/>
      <c r="H5207" s="101"/>
      <c r="I5207" s="101"/>
      <c r="K5207" s="226"/>
      <c r="L5207" s="226"/>
      <c r="M5207" s="101"/>
      <c r="N5207" s="101"/>
    </row>
    <row r="5208" spans="7:14" hidden="1" x14ac:dyDescent="0.3">
      <c r="G5208" s="101"/>
      <c r="H5208" s="101"/>
      <c r="I5208" s="101"/>
      <c r="K5208" s="226"/>
      <c r="L5208" s="226"/>
      <c r="M5208" s="101"/>
      <c r="N5208" s="101"/>
    </row>
    <row r="5209" spans="7:14" hidden="1" x14ac:dyDescent="0.3">
      <c r="G5209" s="101"/>
      <c r="H5209" s="101"/>
      <c r="I5209" s="101"/>
      <c r="K5209" s="226"/>
      <c r="L5209" s="226"/>
      <c r="M5209" s="101"/>
      <c r="N5209" s="101"/>
    </row>
    <row r="5210" spans="7:14" hidden="1" x14ac:dyDescent="0.3">
      <c r="G5210" s="101"/>
      <c r="H5210" s="101"/>
      <c r="I5210" s="101"/>
      <c r="K5210" s="226"/>
      <c r="L5210" s="226"/>
      <c r="M5210" s="101"/>
      <c r="N5210" s="101"/>
    </row>
    <row r="5211" spans="7:14" hidden="1" x14ac:dyDescent="0.3">
      <c r="G5211" s="101"/>
      <c r="H5211" s="101"/>
      <c r="I5211" s="101"/>
      <c r="K5211" s="226"/>
      <c r="L5211" s="226"/>
      <c r="M5211" s="101"/>
      <c r="N5211" s="101"/>
    </row>
    <row r="5212" spans="7:14" hidden="1" x14ac:dyDescent="0.3">
      <c r="G5212" s="101"/>
      <c r="H5212" s="101"/>
      <c r="I5212" s="101"/>
      <c r="K5212" s="226"/>
      <c r="L5212" s="226"/>
      <c r="M5212" s="101"/>
      <c r="N5212" s="101"/>
    </row>
    <row r="5213" spans="7:14" hidden="1" x14ac:dyDescent="0.3">
      <c r="G5213" s="101"/>
      <c r="H5213" s="101"/>
      <c r="I5213" s="101"/>
      <c r="K5213" s="226"/>
      <c r="L5213" s="226"/>
      <c r="M5213" s="101"/>
      <c r="N5213" s="101"/>
    </row>
    <row r="5214" spans="7:14" hidden="1" x14ac:dyDescent="0.3">
      <c r="G5214" s="101"/>
      <c r="H5214" s="101"/>
      <c r="I5214" s="101"/>
      <c r="K5214" s="226"/>
      <c r="L5214" s="226"/>
      <c r="M5214" s="101"/>
      <c r="N5214" s="101"/>
    </row>
    <row r="5215" spans="7:14" hidden="1" x14ac:dyDescent="0.3">
      <c r="G5215" s="101"/>
      <c r="H5215" s="101"/>
      <c r="I5215" s="101"/>
      <c r="K5215" s="226"/>
      <c r="L5215" s="226"/>
      <c r="M5215" s="101"/>
      <c r="N5215" s="101"/>
    </row>
    <row r="5216" spans="7:14" hidden="1" x14ac:dyDescent="0.3">
      <c r="G5216" s="101"/>
      <c r="H5216" s="101"/>
      <c r="I5216" s="101"/>
      <c r="K5216" s="226"/>
      <c r="L5216" s="226"/>
      <c r="M5216" s="101"/>
      <c r="N5216" s="101"/>
    </row>
    <row r="5217" spans="7:14" hidden="1" x14ac:dyDescent="0.3">
      <c r="G5217" s="101"/>
      <c r="H5217" s="101"/>
      <c r="I5217" s="101"/>
      <c r="K5217" s="226"/>
      <c r="L5217" s="226"/>
      <c r="M5217" s="101"/>
      <c r="N5217" s="101"/>
    </row>
    <row r="5218" spans="7:14" hidden="1" x14ac:dyDescent="0.3">
      <c r="G5218" s="101"/>
      <c r="H5218" s="101"/>
      <c r="I5218" s="101"/>
      <c r="K5218" s="226"/>
      <c r="L5218" s="226"/>
      <c r="M5218" s="101"/>
      <c r="N5218" s="101"/>
    </row>
    <row r="5219" spans="7:14" hidden="1" x14ac:dyDescent="0.3">
      <c r="G5219" s="101"/>
      <c r="H5219" s="101"/>
      <c r="I5219" s="101"/>
      <c r="K5219" s="226"/>
      <c r="L5219" s="226"/>
      <c r="M5219" s="101"/>
      <c r="N5219" s="101"/>
    </row>
    <row r="5220" spans="7:14" hidden="1" x14ac:dyDescent="0.3">
      <c r="G5220" s="101"/>
      <c r="H5220" s="101"/>
      <c r="I5220" s="101"/>
      <c r="K5220" s="226"/>
      <c r="L5220" s="226"/>
      <c r="M5220" s="101"/>
      <c r="N5220" s="101"/>
    </row>
    <row r="5221" spans="7:14" hidden="1" x14ac:dyDescent="0.3">
      <c r="G5221" s="101"/>
      <c r="H5221" s="101"/>
      <c r="I5221" s="101"/>
      <c r="K5221" s="226"/>
      <c r="L5221" s="226"/>
      <c r="M5221" s="101"/>
      <c r="N5221" s="101"/>
    </row>
    <row r="5222" spans="7:14" hidden="1" x14ac:dyDescent="0.3">
      <c r="G5222" s="101"/>
      <c r="H5222" s="101"/>
      <c r="I5222" s="101"/>
      <c r="K5222" s="226"/>
      <c r="L5222" s="226"/>
      <c r="M5222" s="101"/>
      <c r="N5222" s="101"/>
    </row>
    <row r="5223" spans="7:14" hidden="1" x14ac:dyDescent="0.3">
      <c r="G5223" s="101"/>
      <c r="H5223" s="101"/>
      <c r="I5223" s="101"/>
      <c r="K5223" s="226"/>
      <c r="L5223" s="226"/>
      <c r="M5223" s="101"/>
      <c r="N5223" s="101"/>
    </row>
    <row r="5224" spans="7:14" hidden="1" x14ac:dyDescent="0.3">
      <c r="G5224" s="101"/>
      <c r="H5224" s="101"/>
      <c r="I5224" s="101"/>
      <c r="K5224" s="226"/>
      <c r="L5224" s="226"/>
      <c r="M5224" s="101"/>
      <c r="N5224" s="101"/>
    </row>
    <row r="5225" spans="7:14" hidden="1" x14ac:dyDescent="0.3">
      <c r="G5225" s="101"/>
      <c r="H5225" s="101"/>
      <c r="I5225" s="101"/>
      <c r="K5225" s="226"/>
      <c r="L5225" s="226"/>
      <c r="M5225" s="101"/>
      <c r="N5225" s="101"/>
    </row>
    <row r="5226" spans="7:14" hidden="1" x14ac:dyDescent="0.3">
      <c r="G5226" s="101"/>
      <c r="H5226" s="101"/>
      <c r="I5226" s="101"/>
      <c r="K5226" s="226"/>
      <c r="L5226" s="226"/>
      <c r="M5226" s="101"/>
      <c r="N5226" s="101"/>
    </row>
    <row r="5227" spans="7:14" hidden="1" x14ac:dyDescent="0.3">
      <c r="G5227" s="101"/>
      <c r="H5227" s="101"/>
      <c r="I5227" s="101"/>
      <c r="K5227" s="226"/>
      <c r="L5227" s="226"/>
      <c r="M5227" s="101"/>
      <c r="N5227" s="101"/>
    </row>
    <row r="5228" spans="7:14" hidden="1" x14ac:dyDescent="0.3">
      <c r="G5228" s="101"/>
      <c r="H5228" s="101"/>
      <c r="I5228" s="101"/>
      <c r="K5228" s="226"/>
      <c r="L5228" s="226"/>
      <c r="M5228" s="101"/>
      <c r="N5228" s="101"/>
    </row>
    <row r="5229" spans="7:14" hidden="1" x14ac:dyDescent="0.3">
      <c r="G5229" s="101"/>
      <c r="H5229" s="101"/>
      <c r="I5229" s="101"/>
      <c r="K5229" s="226"/>
      <c r="L5229" s="226"/>
      <c r="M5229" s="101"/>
      <c r="N5229" s="101"/>
    </row>
    <row r="5230" spans="7:14" hidden="1" x14ac:dyDescent="0.3">
      <c r="G5230" s="101"/>
      <c r="H5230" s="101"/>
      <c r="I5230" s="101"/>
      <c r="K5230" s="226"/>
      <c r="L5230" s="226"/>
      <c r="M5230" s="101"/>
      <c r="N5230" s="101"/>
    </row>
    <row r="5231" spans="7:14" hidden="1" x14ac:dyDescent="0.3">
      <c r="G5231" s="101"/>
      <c r="H5231" s="101"/>
      <c r="I5231" s="101"/>
      <c r="K5231" s="226"/>
      <c r="L5231" s="226"/>
      <c r="M5231" s="101"/>
      <c r="N5231" s="101"/>
    </row>
    <row r="5232" spans="7:14" hidden="1" x14ac:dyDescent="0.3">
      <c r="G5232" s="101"/>
      <c r="H5232" s="101"/>
      <c r="I5232" s="101"/>
      <c r="K5232" s="226"/>
      <c r="L5232" s="226"/>
      <c r="M5232" s="101"/>
      <c r="N5232" s="101"/>
    </row>
    <row r="5233" spans="7:14" hidden="1" x14ac:dyDescent="0.3">
      <c r="G5233" s="101"/>
      <c r="H5233" s="101"/>
      <c r="I5233" s="101"/>
      <c r="K5233" s="226"/>
      <c r="L5233" s="226"/>
      <c r="M5233" s="101"/>
      <c r="N5233" s="101"/>
    </row>
    <row r="5234" spans="7:14" hidden="1" x14ac:dyDescent="0.3">
      <c r="G5234" s="101"/>
      <c r="H5234" s="101"/>
      <c r="I5234" s="101"/>
      <c r="K5234" s="226"/>
      <c r="L5234" s="226"/>
      <c r="M5234" s="101"/>
      <c r="N5234" s="101"/>
    </row>
    <row r="5235" spans="7:14" hidden="1" x14ac:dyDescent="0.3">
      <c r="G5235" s="101"/>
      <c r="H5235" s="101"/>
      <c r="I5235" s="101"/>
      <c r="K5235" s="226"/>
      <c r="L5235" s="226"/>
      <c r="M5235" s="101"/>
      <c r="N5235" s="101"/>
    </row>
    <row r="5236" spans="7:14" hidden="1" x14ac:dyDescent="0.3">
      <c r="G5236" s="101"/>
      <c r="H5236" s="101"/>
      <c r="I5236" s="101"/>
      <c r="K5236" s="226"/>
      <c r="L5236" s="226"/>
      <c r="M5236" s="101"/>
      <c r="N5236" s="101"/>
    </row>
    <row r="5237" spans="7:14" hidden="1" x14ac:dyDescent="0.3">
      <c r="G5237" s="101"/>
      <c r="H5237" s="101"/>
      <c r="I5237" s="101"/>
      <c r="K5237" s="226"/>
      <c r="L5237" s="226"/>
      <c r="M5237" s="101"/>
      <c r="N5237" s="101"/>
    </row>
    <row r="5238" spans="7:14" hidden="1" x14ac:dyDescent="0.3">
      <c r="G5238" s="101"/>
      <c r="H5238" s="101"/>
      <c r="I5238" s="101"/>
      <c r="K5238" s="226"/>
      <c r="L5238" s="226"/>
      <c r="M5238" s="101"/>
      <c r="N5238" s="101"/>
    </row>
    <row r="5239" spans="7:14" hidden="1" x14ac:dyDescent="0.3">
      <c r="G5239" s="101"/>
      <c r="H5239" s="101"/>
      <c r="I5239" s="101"/>
      <c r="K5239" s="226"/>
      <c r="L5239" s="226"/>
      <c r="M5239" s="101"/>
      <c r="N5239" s="101"/>
    </row>
    <row r="5240" spans="7:14" hidden="1" x14ac:dyDescent="0.3">
      <c r="G5240" s="101"/>
      <c r="H5240" s="101"/>
      <c r="I5240" s="101"/>
      <c r="K5240" s="226"/>
      <c r="L5240" s="226"/>
      <c r="M5240" s="101"/>
      <c r="N5240" s="101"/>
    </row>
    <row r="5241" spans="7:14" hidden="1" x14ac:dyDescent="0.3">
      <c r="G5241" s="101"/>
      <c r="H5241" s="101"/>
      <c r="I5241" s="101"/>
      <c r="K5241" s="226"/>
      <c r="L5241" s="226"/>
      <c r="M5241" s="101"/>
      <c r="N5241" s="101"/>
    </row>
    <row r="5242" spans="7:14" hidden="1" x14ac:dyDescent="0.3">
      <c r="G5242" s="101"/>
      <c r="H5242" s="101"/>
      <c r="I5242" s="101"/>
      <c r="K5242" s="226"/>
      <c r="L5242" s="226"/>
      <c r="M5242" s="101"/>
      <c r="N5242" s="101"/>
    </row>
    <row r="5243" spans="7:14" hidden="1" x14ac:dyDescent="0.3">
      <c r="G5243" s="101"/>
      <c r="H5243" s="101"/>
      <c r="I5243" s="101"/>
      <c r="K5243" s="226"/>
      <c r="L5243" s="226"/>
      <c r="M5243" s="101"/>
      <c r="N5243" s="101"/>
    </row>
    <row r="5244" spans="7:14" hidden="1" x14ac:dyDescent="0.3">
      <c r="G5244" s="101"/>
      <c r="H5244" s="101"/>
      <c r="I5244" s="101"/>
      <c r="K5244" s="226"/>
      <c r="L5244" s="226"/>
      <c r="M5244" s="101"/>
      <c r="N5244" s="101"/>
    </row>
    <row r="5245" spans="7:14" hidden="1" x14ac:dyDescent="0.3">
      <c r="G5245" s="101"/>
      <c r="H5245" s="101"/>
      <c r="I5245" s="101"/>
      <c r="K5245" s="226"/>
      <c r="L5245" s="226"/>
      <c r="M5245" s="101"/>
      <c r="N5245" s="101"/>
    </row>
    <row r="5246" spans="7:14" hidden="1" x14ac:dyDescent="0.3">
      <c r="G5246" s="101"/>
      <c r="H5246" s="101"/>
      <c r="I5246" s="101"/>
      <c r="K5246" s="226"/>
      <c r="L5246" s="226"/>
      <c r="M5246" s="101"/>
      <c r="N5246" s="101"/>
    </row>
    <row r="5247" spans="7:14" hidden="1" x14ac:dyDescent="0.3">
      <c r="G5247" s="101"/>
      <c r="H5247" s="101"/>
      <c r="I5247" s="101"/>
      <c r="K5247" s="226"/>
      <c r="L5247" s="226"/>
      <c r="M5247" s="101"/>
      <c r="N5247" s="101"/>
    </row>
    <row r="5248" spans="7:14" hidden="1" x14ac:dyDescent="0.3">
      <c r="G5248" s="101"/>
      <c r="H5248" s="101"/>
      <c r="I5248" s="101"/>
      <c r="K5248" s="226"/>
      <c r="L5248" s="226"/>
      <c r="M5248" s="101"/>
      <c r="N5248" s="101"/>
    </row>
    <row r="5249" spans="7:14" hidden="1" x14ac:dyDescent="0.3">
      <c r="G5249" s="101"/>
      <c r="H5249" s="101"/>
      <c r="I5249" s="101"/>
      <c r="K5249" s="226"/>
      <c r="L5249" s="226"/>
      <c r="M5249" s="101"/>
      <c r="N5249" s="101"/>
    </row>
    <row r="5250" spans="7:14" hidden="1" x14ac:dyDescent="0.3">
      <c r="G5250" s="101"/>
      <c r="H5250" s="101"/>
      <c r="I5250" s="101"/>
      <c r="K5250" s="226"/>
      <c r="L5250" s="226"/>
      <c r="M5250" s="101"/>
      <c r="N5250" s="101"/>
    </row>
    <row r="5251" spans="7:14" hidden="1" x14ac:dyDescent="0.3">
      <c r="G5251" s="101"/>
      <c r="H5251" s="101"/>
      <c r="I5251" s="101"/>
      <c r="K5251" s="226"/>
      <c r="L5251" s="226"/>
      <c r="M5251" s="101"/>
      <c r="N5251" s="101"/>
    </row>
    <row r="5252" spans="7:14" hidden="1" x14ac:dyDescent="0.3">
      <c r="G5252" s="101"/>
      <c r="H5252" s="101"/>
      <c r="I5252" s="101"/>
      <c r="K5252" s="226"/>
      <c r="L5252" s="226"/>
      <c r="M5252" s="101"/>
      <c r="N5252" s="101"/>
    </row>
    <row r="5253" spans="7:14" hidden="1" x14ac:dyDescent="0.3">
      <c r="G5253" s="101"/>
      <c r="H5253" s="101"/>
      <c r="I5253" s="101"/>
      <c r="K5253" s="226"/>
      <c r="L5253" s="226"/>
      <c r="M5253" s="101"/>
      <c r="N5253" s="101"/>
    </row>
    <row r="5254" spans="7:14" hidden="1" x14ac:dyDescent="0.3">
      <c r="G5254" s="101"/>
      <c r="H5254" s="101"/>
      <c r="I5254" s="101"/>
      <c r="K5254" s="226"/>
      <c r="L5254" s="226"/>
      <c r="M5254" s="101"/>
      <c r="N5254" s="101"/>
    </row>
    <row r="5255" spans="7:14" hidden="1" x14ac:dyDescent="0.3">
      <c r="G5255" s="101"/>
      <c r="H5255" s="101"/>
      <c r="I5255" s="101"/>
      <c r="K5255" s="226"/>
      <c r="L5255" s="226"/>
      <c r="M5255" s="101"/>
      <c r="N5255" s="101"/>
    </row>
    <row r="5256" spans="7:14" hidden="1" x14ac:dyDescent="0.3">
      <c r="G5256" s="101"/>
      <c r="H5256" s="101"/>
      <c r="I5256" s="101"/>
      <c r="K5256" s="226"/>
      <c r="L5256" s="226"/>
      <c r="M5256" s="101"/>
      <c r="N5256" s="101"/>
    </row>
    <row r="5257" spans="7:14" hidden="1" x14ac:dyDescent="0.3">
      <c r="G5257" s="101"/>
      <c r="H5257" s="101"/>
      <c r="I5257" s="101"/>
      <c r="K5257" s="226"/>
      <c r="L5257" s="226"/>
      <c r="M5257" s="101"/>
      <c r="N5257" s="101"/>
    </row>
    <row r="5258" spans="7:14" hidden="1" x14ac:dyDescent="0.3">
      <c r="G5258" s="101"/>
      <c r="H5258" s="101"/>
      <c r="I5258" s="101"/>
      <c r="K5258" s="226"/>
      <c r="L5258" s="226"/>
      <c r="M5258" s="101"/>
      <c r="N5258" s="101"/>
    </row>
    <row r="5259" spans="7:14" hidden="1" x14ac:dyDescent="0.3">
      <c r="G5259" s="101"/>
      <c r="H5259" s="101"/>
      <c r="I5259" s="101"/>
      <c r="K5259" s="226"/>
      <c r="L5259" s="226"/>
      <c r="M5259" s="101"/>
      <c r="N5259" s="101"/>
    </row>
    <row r="5260" spans="7:14" hidden="1" x14ac:dyDescent="0.3">
      <c r="G5260" s="101"/>
      <c r="H5260" s="101"/>
      <c r="I5260" s="101"/>
      <c r="K5260" s="226"/>
      <c r="L5260" s="226"/>
      <c r="M5260" s="101"/>
      <c r="N5260" s="101"/>
    </row>
    <row r="5261" spans="7:14" hidden="1" x14ac:dyDescent="0.3">
      <c r="G5261" s="101"/>
      <c r="H5261" s="101"/>
      <c r="I5261" s="101"/>
      <c r="K5261" s="226"/>
      <c r="L5261" s="226"/>
      <c r="M5261" s="101"/>
      <c r="N5261" s="101"/>
    </row>
    <row r="5262" spans="7:14" hidden="1" x14ac:dyDescent="0.3">
      <c r="G5262" s="101"/>
      <c r="H5262" s="101"/>
      <c r="I5262" s="101"/>
      <c r="K5262" s="226"/>
      <c r="L5262" s="226"/>
      <c r="M5262" s="101"/>
      <c r="N5262" s="101"/>
    </row>
    <row r="5263" spans="7:14" hidden="1" x14ac:dyDescent="0.3">
      <c r="G5263" s="101"/>
      <c r="H5263" s="101"/>
      <c r="I5263" s="101"/>
      <c r="K5263" s="226"/>
      <c r="L5263" s="226"/>
      <c r="M5263" s="101"/>
      <c r="N5263" s="101"/>
    </row>
    <row r="5264" spans="7:14" hidden="1" x14ac:dyDescent="0.3">
      <c r="G5264" s="101"/>
      <c r="H5264" s="101"/>
      <c r="I5264" s="101"/>
      <c r="K5264" s="226"/>
      <c r="L5264" s="226"/>
      <c r="M5264" s="101"/>
      <c r="N5264" s="101"/>
    </row>
    <row r="5265" spans="7:14" hidden="1" x14ac:dyDescent="0.3">
      <c r="G5265" s="101"/>
      <c r="H5265" s="101"/>
      <c r="I5265" s="101"/>
      <c r="K5265" s="226"/>
      <c r="L5265" s="226"/>
      <c r="M5265" s="101"/>
      <c r="N5265" s="101"/>
    </row>
    <row r="5266" spans="7:14" hidden="1" x14ac:dyDescent="0.3">
      <c r="G5266" s="101"/>
      <c r="H5266" s="101"/>
      <c r="I5266" s="101"/>
      <c r="K5266" s="226"/>
      <c r="L5266" s="226"/>
      <c r="M5266" s="101"/>
      <c r="N5266" s="101"/>
    </row>
    <row r="5267" spans="7:14" hidden="1" x14ac:dyDescent="0.3">
      <c r="G5267" s="101"/>
      <c r="H5267" s="101"/>
      <c r="I5267" s="101"/>
      <c r="K5267" s="226"/>
      <c r="L5267" s="226"/>
      <c r="M5267" s="101"/>
      <c r="N5267" s="101"/>
    </row>
    <row r="5268" spans="7:14" hidden="1" x14ac:dyDescent="0.3">
      <c r="G5268" s="101"/>
      <c r="H5268" s="101"/>
      <c r="I5268" s="101"/>
      <c r="K5268" s="226"/>
      <c r="L5268" s="226"/>
      <c r="M5268" s="101"/>
      <c r="N5268" s="101"/>
    </row>
    <row r="5269" spans="7:14" hidden="1" x14ac:dyDescent="0.3">
      <c r="G5269" s="101"/>
      <c r="H5269" s="101"/>
      <c r="I5269" s="101"/>
      <c r="K5269" s="226"/>
      <c r="L5269" s="226"/>
      <c r="M5269" s="101"/>
      <c r="N5269" s="101"/>
    </row>
    <row r="5270" spans="7:14" hidden="1" x14ac:dyDescent="0.3">
      <c r="G5270" s="101"/>
      <c r="H5270" s="101"/>
      <c r="I5270" s="101"/>
      <c r="K5270" s="226"/>
      <c r="L5270" s="226"/>
      <c r="M5270" s="101"/>
      <c r="N5270" s="101"/>
    </row>
    <row r="5271" spans="7:14" hidden="1" x14ac:dyDescent="0.3">
      <c r="G5271" s="101"/>
      <c r="H5271" s="101"/>
      <c r="I5271" s="101"/>
      <c r="K5271" s="226"/>
      <c r="L5271" s="226"/>
      <c r="M5271" s="101"/>
      <c r="N5271" s="101"/>
    </row>
    <row r="5272" spans="7:14" hidden="1" x14ac:dyDescent="0.3">
      <c r="G5272" s="101"/>
      <c r="H5272" s="101"/>
      <c r="I5272" s="101"/>
      <c r="K5272" s="226"/>
      <c r="L5272" s="226"/>
      <c r="M5272" s="101"/>
      <c r="N5272" s="101"/>
    </row>
    <row r="5273" spans="7:14" hidden="1" x14ac:dyDescent="0.3">
      <c r="G5273" s="101"/>
      <c r="H5273" s="101"/>
      <c r="I5273" s="101"/>
      <c r="K5273" s="226"/>
      <c r="L5273" s="226"/>
      <c r="M5273" s="101"/>
      <c r="N5273" s="101"/>
    </row>
    <row r="5274" spans="7:14" hidden="1" x14ac:dyDescent="0.3">
      <c r="G5274" s="101"/>
      <c r="H5274" s="101"/>
      <c r="I5274" s="101"/>
      <c r="K5274" s="226"/>
      <c r="L5274" s="226"/>
      <c r="M5274" s="101"/>
      <c r="N5274" s="101"/>
    </row>
    <row r="5275" spans="7:14" hidden="1" x14ac:dyDescent="0.3">
      <c r="G5275" s="101"/>
      <c r="H5275" s="101"/>
      <c r="I5275" s="101"/>
      <c r="K5275" s="226"/>
      <c r="L5275" s="226"/>
      <c r="M5275" s="101"/>
      <c r="N5275" s="101"/>
    </row>
    <row r="5276" spans="7:14" hidden="1" x14ac:dyDescent="0.3">
      <c r="G5276" s="101"/>
      <c r="H5276" s="101"/>
      <c r="I5276" s="101"/>
      <c r="K5276" s="226"/>
      <c r="L5276" s="226"/>
      <c r="M5276" s="101"/>
      <c r="N5276" s="101"/>
    </row>
    <row r="5277" spans="7:14" hidden="1" x14ac:dyDescent="0.3">
      <c r="G5277" s="101"/>
      <c r="H5277" s="101"/>
      <c r="I5277" s="101"/>
      <c r="K5277" s="226"/>
      <c r="L5277" s="226"/>
      <c r="M5277" s="101"/>
      <c r="N5277" s="101"/>
    </row>
    <row r="5278" spans="7:14" hidden="1" x14ac:dyDescent="0.3">
      <c r="G5278" s="101"/>
      <c r="H5278" s="101"/>
      <c r="I5278" s="101"/>
      <c r="K5278" s="226"/>
      <c r="L5278" s="226"/>
      <c r="M5278" s="101"/>
      <c r="N5278" s="101"/>
    </row>
    <row r="5279" spans="7:14" hidden="1" x14ac:dyDescent="0.3">
      <c r="G5279" s="101"/>
      <c r="H5279" s="101"/>
      <c r="I5279" s="101"/>
      <c r="K5279" s="226"/>
      <c r="L5279" s="226"/>
      <c r="M5279" s="101"/>
      <c r="N5279" s="101"/>
    </row>
    <row r="5280" spans="7:14" hidden="1" x14ac:dyDescent="0.3">
      <c r="G5280" s="101"/>
      <c r="H5280" s="101"/>
      <c r="I5280" s="101"/>
      <c r="K5280" s="226"/>
      <c r="L5280" s="226"/>
      <c r="M5280" s="101"/>
      <c r="N5280" s="101"/>
    </row>
    <row r="5281" spans="7:14" hidden="1" x14ac:dyDescent="0.3">
      <c r="G5281" s="101"/>
      <c r="H5281" s="101"/>
      <c r="I5281" s="101"/>
      <c r="K5281" s="226"/>
      <c r="L5281" s="226"/>
      <c r="M5281" s="101"/>
      <c r="N5281" s="101"/>
    </row>
    <row r="5282" spans="7:14" hidden="1" x14ac:dyDescent="0.3">
      <c r="G5282" s="101"/>
      <c r="H5282" s="101"/>
      <c r="I5282" s="101"/>
      <c r="K5282" s="226"/>
      <c r="L5282" s="226"/>
      <c r="M5282" s="101"/>
      <c r="N5282" s="101"/>
    </row>
    <row r="5283" spans="7:14" hidden="1" x14ac:dyDescent="0.3">
      <c r="G5283" s="101"/>
      <c r="H5283" s="101"/>
      <c r="I5283" s="101"/>
      <c r="K5283" s="226"/>
      <c r="L5283" s="226"/>
      <c r="M5283" s="101"/>
      <c r="N5283" s="101"/>
    </row>
    <row r="5284" spans="7:14" hidden="1" x14ac:dyDescent="0.3">
      <c r="G5284" s="101"/>
      <c r="H5284" s="101"/>
      <c r="I5284" s="101"/>
      <c r="K5284" s="226"/>
      <c r="L5284" s="226"/>
      <c r="M5284" s="101"/>
      <c r="N5284" s="101"/>
    </row>
    <row r="5285" spans="7:14" hidden="1" x14ac:dyDescent="0.3">
      <c r="G5285" s="101"/>
      <c r="H5285" s="101"/>
      <c r="I5285" s="101"/>
      <c r="K5285" s="226"/>
      <c r="L5285" s="226"/>
      <c r="M5285" s="101"/>
      <c r="N5285" s="101"/>
    </row>
    <row r="5286" spans="7:14" hidden="1" x14ac:dyDescent="0.3">
      <c r="G5286" s="101"/>
      <c r="H5286" s="101"/>
      <c r="I5286" s="101"/>
      <c r="K5286" s="226"/>
      <c r="L5286" s="226"/>
      <c r="M5286" s="101"/>
      <c r="N5286" s="101"/>
    </row>
    <row r="5287" spans="7:14" hidden="1" x14ac:dyDescent="0.3">
      <c r="G5287" s="101"/>
      <c r="H5287" s="101"/>
      <c r="I5287" s="101"/>
      <c r="K5287" s="226"/>
      <c r="L5287" s="226"/>
      <c r="M5287" s="101"/>
      <c r="N5287" s="101"/>
    </row>
    <row r="5288" spans="7:14" hidden="1" x14ac:dyDescent="0.3">
      <c r="G5288" s="101"/>
      <c r="H5288" s="101"/>
      <c r="I5288" s="101"/>
      <c r="K5288" s="226"/>
      <c r="L5288" s="226"/>
      <c r="M5288" s="101"/>
      <c r="N5288" s="101"/>
    </row>
    <row r="5289" spans="7:14" hidden="1" x14ac:dyDescent="0.3">
      <c r="G5289" s="101"/>
      <c r="H5289" s="101"/>
      <c r="I5289" s="101"/>
      <c r="K5289" s="226"/>
      <c r="L5289" s="226"/>
      <c r="M5289" s="101"/>
      <c r="N5289" s="101"/>
    </row>
    <row r="5290" spans="7:14" hidden="1" x14ac:dyDescent="0.3">
      <c r="G5290" s="101"/>
      <c r="H5290" s="101"/>
      <c r="I5290" s="101"/>
      <c r="K5290" s="226"/>
      <c r="L5290" s="226"/>
      <c r="M5290" s="101"/>
      <c r="N5290" s="101"/>
    </row>
    <row r="5291" spans="7:14" hidden="1" x14ac:dyDescent="0.3">
      <c r="G5291" s="101"/>
      <c r="H5291" s="101"/>
      <c r="I5291" s="101"/>
      <c r="K5291" s="226"/>
      <c r="L5291" s="226"/>
      <c r="M5291" s="101"/>
      <c r="N5291" s="101"/>
    </row>
    <row r="5292" spans="7:14" hidden="1" x14ac:dyDescent="0.3">
      <c r="G5292" s="101"/>
      <c r="H5292" s="101"/>
      <c r="I5292" s="101"/>
      <c r="K5292" s="226"/>
      <c r="L5292" s="226"/>
      <c r="M5292" s="101"/>
      <c r="N5292" s="101"/>
    </row>
    <row r="5293" spans="7:14" hidden="1" x14ac:dyDescent="0.3">
      <c r="G5293" s="101"/>
      <c r="H5293" s="101"/>
      <c r="I5293" s="101"/>
      <c r="K5293" s="226"/>
      <c r="L5293" s="226"/>
      <c r="M5293" s="101"/>
      <c r="N5293" s="101"/>
    </row>
    <row r="5294" spans="7:14" hidden="1" x14ac:dyDescent="0.3">
      <c r="G5294" s="101"/>
      <c r="H5294" s="101"/>
      <c r="I5294" s="101"/>
      <c r="K5294" s="226"/>
      <c r="L5294" s="226"/>
      <c r="M5294" s="101"/>
      <c r="N5294" s="101"/>
    </row>
    <row r="5295" spans="7:14" hidden="1" x14ac:dyDescent="0.3">
      <c r="G5295" s="101"/>
      <c r="H5295" s="101"/>
      <c r="I5295" s="101"/>
      <c r="K5295" s="226"/>
      <c r="L5295" s="226"/>
      <c r="M5295" s="101"/>
      <c r="N5295" s="101"/>
    </row>
    <row r="5296" spans="7:14" hidden="1" x14ac:dyDescent="0.3">
      <c r="G5296" s="101"/>
      <c r="H5296" s="101"/>
      <c r="I5296" s="101"/>
      <c r="K5296" s="226"/>
      <c r="L5296" s="226"/>
      <c r="M5296" s="101"/>
      <c r="N5296" s="101"/>
    </row>
    <row r="5297" spans="7:14" hidden="1" x14ac:dyDescent="0.3">
      <c r="G5297" s="101"/>
      <c r="H5297" s="101"/>
      <c r="I5297" s="101"/>
      <c r="K5297" s="226"/>
      <c r="L5297" s="226"/>
      <c r="M5297" s="101"/>
      <c r="N5297" s="101"/>
    </row>
    <row r="5298" spans="7:14" hidden="1" x14ac:dyDescent="0.3">
      <c r="G5298" s="101"/>
      <c r="H5298" s="101"/>
      <c r="I5298" s="101"/>
      <c r="K5298" s="226"/>
      <c r="L5298" s="226"/>
      <c r="M5298" s="101"/>
      <c r="N5298" s="101"/>
    </row>
    <row r="5299" spans="7:14" hidden="1" x14ac:dyDescent="0.3">
      <c r="G5299" s="101"/>
      <c r="H5299" s="101"/>
      <c r="I5299" s="101"/>
      <c r="K5299" s="226"/>
      <c r="L5299" s="226"/>
      <c r="M5299" s="101"/>
      <c r="N5299" s="101"/>
    </row>
    <row r="5300" spans="7:14" hidden="1" x14ac:dyDescent="0.3">
      <c r="G5300" s="101"/>
      <c r="H5300" s="101"/>
      <c r="I5300" s="101"/>
      <c r="K5300" s="226"/>
      <c r="L5300" s="226"/>
      <c r="M5300" s="101"/>
      <c r="N5300" s="101"/>
    </row>
    <row r="5301" spans="7:14" hidden="1" x14ac:dyDescent="0.3">
      <c r="G5301" s="101"/>
      <c r="H5301" s="101"/>
      <c r="I5301" s="101"/>
      <c r="K5301" s="226"/>
      <c r="L5301" s="226"/>
      <c r="M5301" s="101"/>
      <c r="N5301" s="101"/>
    </row>
    <row r="5302" spans="7:14" hidden="1" x14ac:dyDescent="0.3">
      <c r="G5302" s="101"/>
      <c r="H5302" s="101"/>
      <c r="I5302" s="101"/>
      <c r="K5302" s="226"/>
      <c r="L5302" s="226"/>
      <c r="M5302" s="101"/>
      <c r="N5302" s="101"/>
    </row>
    <row r="5303" spans="7:14" hidden="1" x14ac:dyDescent="0.3">
      <c r="G5303" s="101"/>
      <c r="H5303" s="101"/>
      <c r="I5303" s="101"/>
      <c r="K5303" s="226"/>
      <c r="L5303" s="226"/>
      <c r="M5303" s="101"/>
      <c r="N5303" s="101"/>
    </row>
    <row r="5304" spans="7:14" hidden="1" x14ac:dyDescent="0.3">
      <c r="G5304" s="101"/>
      <c r="H5304" s="101"/>
      <c r="I5304" s="101"/>
      <c r="K5304" s="226"/>
      <c r="L5304" s="226"/>
      <c r="M5304" s="101"/>
      <c r="N5304" s="101"/>
    </row>
    <row r="5305" spans="7:14" hidden="1" x14ac:dyDescent="0.3">
      <c r="G5305" s="101"/>
      <c r="H5305" s="101"/>
      <c r="I5305" s="101"/>
      <c r="K5305" s="226"/>
      <c r="L5305" s="226"/>
      <c r="M5305" s="101"/>
      <c r="N5305" s="101"/>
    </row>
    <row r="5306" spans="7:14" hidden="1" x14ac:dyDescent="0.3">
      <c r="G5306" s="101"/>
      <c r="H5306" s="101"/>
      <c r="I5306" s="101"/>
      <c r="K5306" s="226"/>
      <c r="L5306" s="226"/>
      <c r="M5306" s="101"/>
      <c r="N5306" s="101"/>
    </row>
    <row r="5307" spans="7:14" hidden="1" x14ac:dyDescent="0.3">
      <c r="G5307" s="101"/>
      <c r="H5307" s="101"/>
      <c r="I5307" s="101"/>
      <c r="K5307" s="226"/>
      <c r="L5307" s="226"/>
      <c r="M5307" s="101"/>
      <c r="N5307" s="101"/>
    </row>
    <row r="5308" spans="7:14" hidden="1" x14ac:dyDescent="0.3">
      <c r="G5308" s="101"/>
      <c r="H5308" s="101"/>
      <c r="I5308" s="101"/>
      <c r="K5308" s="226"/>
      <c r="L5308" s="226"/>
      <c r="M5308" s="101"/>
      <c r="N5308" s="101"/>
    </row>
    <row r="5309" spans="7:14" hidden="1" x14ac:dyDescent="0.3">
      <c r="G5309" s="101"/>
      <c r="H5309" s="101"/>
      <c r="I5309" s="101"/>
      <c r="K5309" s="226"/>
      <c r="L5309" s="226"/>
      <c r="M5309" s="101"/>
      <c r="N5309" s="101"/>
    </row>
    <row r="5310" spans="7:14" hidden="1" x14ac:dyDescent="0.3">
      <c r="G5310" s="101"/>
      <c r="H5310" s="101"/>
      <c r="I5310" s="101"/>
      <c r="K5310" s="226"/>
      <c r="L5310" s="226"/>
      <c r="M5310" s="101"/>
      <c r="N5310" s="101"/>
    </row>
    <row r="5311" spans="7:14" hidden="1" x14ac:dyDescent="0.3">
      <c r="G5311" s="101"/>
      <c r="H5311" s="101"/>
      <c r="I5311" s="101"/>
      <c r="K5311" s="226"/>
      <c r="L5311" s="226"/>
      <c r="M5311" s="101"/>
      <c r="N5311" s="101"/>
    </row>
    <row r="5312" spans="7:14" hidden="1" x14ac:dyDescent="0.3">
      <c r="G5312" s="101"/>
      <c r="H5312" s="101"/>
      <c r="I5312" s="101"/>
      <c r="K5312" s="226"/>
      <c r="L5312" s="226"/>
      <c r="M5312" s="101"/>
      <c r="N5312" s="101"/>
    </row>
    <row r="5313" spans="7:14" hidden="1" x14ac:dyDescent="0.3">
      <c r="G5313" s="101"/>
      <c r="H5313" s="101"/>
      <c r="I5313" s="101"/>
      <c r="K5313" s="226"/>
      <c r="L5313" s="226"/>
      <c r="M5313" s="101"/>
      <c r="N5313" s="101"/>
    </row>
    <row r="5314" spans="7:14" hidden="1" x14ac:dyDescent="0.3">
      <c r="G5314" s="101"/>
      <c r="H5314" s="101"/>
      <c r="I5314" s="101"/>
      <c r="K5314" s="226"/>
      <c r="L5314" s="226"/>
      <c r="M5314" s="101"/>
      <c r="N5314" s="101"/>
    </row>
    <row r="5315" spans="7:14" hidden="1" x14ac:dyDescent="0.3">
      <c r="G5315" s="101"/>
      <c r="H5315" s="101"/>
      <c r="I5315" s="101"/>
      <c r="K5315" s="226"/>
      <c r="L5315" s="226"/>
      <c r="M5315" s="101"/>
      <c r="N5315" s="101"/>
    </row>
    <row r="5316" spans="7:14" hidden="1" x14ac:dyDescent="0.3">
      <c r="G5316" s="101"/>
      <c r="H5316" s="101"/>
      <c r="I5316" s="101"/>
      <c r="K5316" s="226"/>
      <c r="L5316" s="226"/>
      <c r="M5316" s="101"/>
      <c r="N5316" s="101"/>
    </row>
    <row r="5317" spans="7:14" hidden="1" x14ac:dyDescent="0.3">
      <c r="G5317" s="101"/>
      <c r="H5317" s="101"/>
      <c r="I5317" s="101"/>
      <c r="K5317" s="226"/>
      <c r="L5317" s="226"/>
      <c r="M5317" s="101"/>
      <c r="N5317" s="101"/>
    </row>
    <row r="5318" spans="7:14" hidden="1" x14ac:dyDescent="0.3">
      <c r="G5318" s="101"/>
      <c r="H5318" s="101"/>
      <c r="I5318" s="101"/>
      <c r="K5318" s="226"/>
      <c r="L5318" s="226"/>
      <c r="M5318" s="101"/>
      <c r="N5318" s="101"/>
    </row>
    <row r="5319" spans="7:14" hidden="1" x14ac:dyDescent="0.3">
      <c r="G5319" s="101"/>
      <c r="H5319" s="101"/>
      <c r="I5319" s="101"/>
      <c r="K5319" s="226"/>
      <c r="L5319" s="226"/>
      <c r="M5319" s="101"/>
      <c r="N5319" s="101"/>
    </row>
    <row r="5320" spans="7:14" hidden="1" x14ac:dyDescent="0.3">
      <c r="G5320" s="101"/>
      <c r="H5320" s="101"/>
      <c r="I5320" s="101"/>
      <c r="K5320" s="226"/>
      <c r="L5320" s="226"/>
      <c r="M5320" s="101"/>
      <c r="N5320" s="101"/>
    </row>
    <row r="5321" spans="7:14" hidden="1" x14ac:dyDescent="0.3">
      <c r="G5321" s="101"/>
      <c r="H5321" s="101"/>
      <c r="I5321" s="101"/>
      <c r="K5321" s="226"/>
      <c r="L5321" s="226"/>
      <c r="M5321" s="101"/>
      <c r="N5321" s="101"/>
    </row>
    <row r="5322" spans="7:14" hidden="1" x14ac:dyDescent="0.3">
      <c r="G5322" s="101"/>
      <c r="H5322" s="101"/>
      <c r="I5322" s="101"/>
      <c r="K5322" s="226"/>
      <c r="L5322" s="226"/>
      <c r="M5322" s="101"/>
      <c r="N5322" s="101"/>
    </row>
    <row r="5323" spans="7:14" hidden="1" x14ac:dyDescent="0.3">
      <c r="G5323" s="101"/>
      <c r="H5323" s="101"/>
      <c r="I5323" s="101"/>
      <c r="K5323" s="226"/>
      <c r="L5323" s="226"/>
      <c r="M5323" s="101"/>
      <c r="N5323" s="101"/>
    </row>
    <row r="5324" spans="7:14" hidden="1" x14ac:dyDescent="0.3">
      <c r="G5324" s="101"/>
      <c r="H5324" s="101"/>
      <c r="I5324" s="101"/>
      <c r="K5324" s="226"/>
      <c r="L5324" s="226"/>
      <c r="M5324" s="101"/>
      <c r="N5324" s="101"/>
    </row>
    <row r="5325" spans="7:14" hidden="1" x14ac:dyDescent="0.3">
      <c r="G5325" s="101"/>
      <c r="H5325" s="101"/>
      <c r="I5325" s="101"/>
      <c r="K5325" s="226"/>
      <c r="L5325" s="226"/>
      <c r="M5325" s="101"/>
      <c r="N5325" s="101"/>
    </row>
    <row r="5326" spans="7:14" hidden="1" x14ac:dyDescent="0.3">
      <c r="G5326" s="101"/>
      <c r="H5326" s="101"/>
      <c r="I5326" s="101"/>
      <c r="K5326" s="226"/>
      <c r="L5326" s="226"/>
      <c r="M5326" s="101"/>
      <c r="N5326" s="101"/>
    </row>
    <row r="5327" spans="7:14" hidden="1" x14ac:dyDescent="0.3">
      <c r="G5327" s="101"/>
      <c r="H5327" s="101"/>
      <c r="I5327" s="101"/>
      <c r="K5327" s="226"/>
      <c r="L5327" s="226"/>
      <c r="M5327" s="101"/>
      <c r="N5327" s="101"/>
    </row>
    <row r="5328" spans="7:14" hidden="1" x14ac:dyDescent="0.3">
      <c r="G5328" s="101"/>
      <c r="H5328" s="101"/>
      <c r="I5328" s="101"/>
      <c r="K5328" s="226"/>
      <c r="L5328" s="226"/>
      <c r="M5328" s="101"/>
      <c r="N5328" s="101"/>
    </row>
    <row r="5329" spans="7:14" hidden="1" x14ac:dyDescent="0.3">
      <c r="G5329" s="101"/>
      <c r="H5329" s="101"/>
      <c r="I5329" s="101"/>
      <c r="K5329" s="226"/>
      <c r="L5329" s="226"/>
      <c r="M5329" s="101"/>
      <c r="N5329" s="101"/>
    </row>
    <row r="5330" spans="7:14" hidden="1" x14ac:dyDescent="0.3">
      <c r="G5330" s="101"/>
      <c r="H5330" s="101"/>
      <c r="I5330" s="101"/>
      <c r="K5330" s="226"/>
      <c r="L5330" s="226"/>
      <c r="M5330" s="101"/>
      <c r="N5330" s="101"/>
    </row>
    <row r="5331" spans="7:14" hidden="1" x14ac:dyDescent="0.3">
      <c r="G5331" s="101"/>
      <c r="H5331" s="101"/>
      <c r="I5331" s="101"/>
      <c r="K5331" s="226"/>
      <c r="L5331" s="226"/>
      <c r="M5331" s="101"/>
      <c r="N5331" s="101"/>
    </row>
    <row r="5332" spans="7:14" hidden="1" x14ac:dyDescent="0.3">
      <c r="G5332" s="101"/>
      <c r="H5332" s="101"/>
      <c r="I5332" s="101"/>
      <c r="K5332" s="226"/>
      <c r="L5332" s="226"/>
      <c r="M5332" s="101"/>
      <c r="N5332" s="101"/>
    </row>
    <row r="5333" spans="7:14" hidden="1" x14ac:dyDescent="0.3">
      <c r="G5333" s="101"/>
      <c r="H5333" s="101"/>
      <c r="I5333" s="101"/>
      <c r="K5333" s="226"/>
      <c r="L5333" s="226"/>
      <c r="M5333" s="101"/>
      <c r="N5333" s="101"/>
    </row>
    <row r="5334" spans="7:14" hidden="1" x14ac:dyDescent="0.3">
      <c r="G5334" s="101"/>
      <c r="H5334" s="101"/>
      <c r="I5334" s="101"/>
      <c r="K5334" s="226"/>
      <c r="L5334" s="226"/>
      <c r="M5334" s="101"/>
      <c r="N5334" s="101"/>
    </row>
    <row r="5335" spans="7:14" hidden="1" x14ac:dyDescent="0.3">
      <c r="G5335" s="101"/>
      <c r="H5335" s="101"/>
      <c r="I5335" s="101"/>
      <c r="K5335" s="226"/>
      <c r="L5335" s="226"/>
      <c r="M5335" s="101"/>
      <c r="N5335" s="101"/>
    </row>
    <row r="5336" spans="7:14" hidden="1" x14ac:dyDescent="0.3">
      <c r="G5336" s="101"/>
      <c r="H5336" s="101"/>
      <c r="I5336" s="101"/>
      <c r="K5336" s="226"/>
      <c r="L5336" s="226"/>
      <c r="M5336" s="101"/>
      <c r="N5336" s="101"/>
    </row>
    <row r="5337" spans="7:14" hidden="1" x14ac:dyDescent="0.3">
      <c r="G5337" s="101"/>
      <c r="H5337" s="101"/>
      <c r="I5337" s="101"/>
      <c r="K5337" s="226"/>
      <c r="L5337" s="226"/>
      <c r="M5337" s="101"/>
      <c r="N5337" s="101"/>
    </row>
    <row r="5338" spans="7:14" hidden="1" x14ac:dyDescent="0.3">
      <c r="G5338" s="101"/>
      <c r="H5338" s="101"/>
      <c r="I5338" s="101"/>
      <c r="K5338" s="226"/>
      <c r="L5338" s="226"/>
      <c r="M5338" s="101"/>
      <c r="N5338" s="101"/>
    </row>
    <row r="5339" spans="7:14" hidden="1" x14ac:dyDescent="0.3">
      <c r="G5339" s="101"/>
      <c r="H5339" s="101"/>
      <c r="I5339" s="101"/>
      <c r="K5339" s="226"/>
      <c r="L5339" s="226"/>
      <c r="M5339" s="101"/>
      <c r="N5339" s="101"/>
    </row>
    <row r="5340" spans="7:14" hidden="1" x14ac:dyDescent="0.3">
      <c r="G5340" s="101"/>
      <c r="H5340" s="101"/>
      <c r="I5340" s="101"/>
      <c r="K5340" s="226"/>
      <c r="L5340" s="226"/>
      <c r="M5340" s="101"/>
      <c r="N5340" s="101"/>
    </row>
    <row r="5341" spans="7:14" hidden="1" x14ac:dyDescent="0.3">
      <c r="G5341" s="101"/>
      <c r="H5341" s="101"/>
      <c r="I5341" s="101"/>
      <c r="K5341" s="226"/>
      <c r="L5341" s="226"/>
      <c r="M5341" s="101"/>
      <c r="N5341" s="101"/>
    </row>
    <row r="5342" spans="7:14" hidden="1" x14ac:dyDescent="0.3">
      <c r="G5342" s="101"/>
      <c r="H5342" s="101"/>
      <c r="I5342" s="101"/>
      <c r="K5342" s="226"/>
      <c r="L5342" s="226"/>
      <c r="M5342" s="101"/>
      <c r="N5342" s="101"/>
    </row>
    <row r="5343" spans="7:14" hidden="1" x14ac:dyDescent="0.3">
      <c r="G5343" s="101"/>
      <c r="H5343" s="101"/>
      <c r="I5343" s="101"/>
      <c r="K5343" s="226"/>
      <c r="L5343" s="226"/>
      <c r="M5343" s="101"/>
      <c r="N5343" s="101"/>
    </row>
    <row r="5344" spans="7:14" hidden="1" x14ac:dyDescent="0.3">
      <c r="G5344" s="101"/>
      <c r="H5344" s="101"/>
      <c r="I5344" s="101"/>
      <c r="K5344" s="226"/>
      <c r="L5344" s="226"/>
      <c r="M5344" s="101"/>
      <c r="N5344" s="101"/>
    </row>
    <row r="5345" spans="7:14" hidden="1" x14ac:dyDescent="0.3">
      <c r="G5345" s="101"/>
      <c r="H5345" s="101"/>
      <c r="I5345" s="101"/>
      <c r="K5345" s="226"/>
      <c r="L5345" s="226"/>
      <c r="M5345" s="101"/>
      <c r="N5345" s="101"/>
    </row>
    <row r="5346" spans="7:14" hidden="1" x14ac:dyDescent="0.3">
      <c r="G5346" s="101"/>
      <c r="H5346" s="101"/>
      <c r="I5346" s="101"/>
      <c r="K5346" s="226"/>
      <c r="L5346" s="226"/>
      <c r="M5346" s="101"/>
      <c r="N5346" s="101"/>
    </row>
    <row r="5347" spans="7:14" hidden="1" x14ac:dyDescent="0.3">
      <c r="G5347" s="101"/>
      <c r="H5347" s="101"/>
      <c r="I5347" s="101"/>
      <c r="K5347" s="226"/>
      <c r="L5347" s="226"/>
      <c r="M5347" s="101"/>
      <c r="N5347" s="101"/>
    </row>
    <row r="5348" spans="7:14" hidden="1" x14ac:dyDescent="0.3">
      <c r="G5348" s="101"/>
      <c r="H5348" s="101"/>
      <c r="I5348" s="101"/>
      <c r="K5348" s="226"/>
      <c r="L5348" s="226"/>
      <c r="M5348" s="101"/>
      <c r="N5348" s="101"/>
    </row>
    <row r="5349" spans="7:14" hidden="1" x14ac:dyDescent="0.3">
      <c r="G5349" s="101"/>
      <c r="H5349" s="101"/>
      <c r="I5349" s="101"/>
      <c r="K5349" s="226"/>
      <c r="L5349" s="226"/>
      <c r="M5349" s="101"/>
      <c r="N5349" s="101"/>
    </row>
    <row r="5350" spans="7:14" hidden="1" x14ac:dyDescent="0.3">
      <c r="G5350" s="101"/>
      <c r="H5350" s="101"/>
      <c r="I5350" s="101"/>
      <c r="K5350" s="226"/>
      <c r="L5350" s="226"/>
      <c r="M5350" s="101"/>
      <c r="N5350" s="101"/>
    </row>
    <row r="5351" spans="7:14" hidden="1" x14ac:dyDescent="0.3">
      <c r="G5351" s="101"/>
      <c r="H5351" s="101"/>
      <c r="I5351" s="101"/>
      <c r="K5351" s="226"/>
      <c r="L5351" s="226"/>
      <c r="M5351" s="101"/>
      <c r="N5351" s="101"/>
    </row>
    <row r="5352" spans="7:14" hidden="1" x14ac:dyDescent="0.3">
      <c r="G5352" s="101"/>
      <c r="H5352" s="101"/>
      <c r="I5352" s="101"/>
      <c r="K5352" s="226"/>
      <c r="L5352" s="226"/>
      <c r="M5352" s="101"/>
      <c r="N5352" s="101"/>
    </row>
    <row r="5353" spans="7:14" hidden="1" x14ac:dyDescent="0.3">
      <c r="G5353" s="101"/>
      <c r="H5353" s="101"/>
      <c r="I5353" s="101"/>
      <c r="K5353" s="226"/>
      <c r="L5353" s="226"/>
      <c r="M5353" s="101"/>
      <c r="N5353" s="101"/>
    </row>
    <row r="5354" spans="7:14" hidden="1" x14ac:dyDescent="0.3">
      <c r="G5354" s="101"/>
      <c r="H5354" s="101"/>
      <c r="I5354" s="101"/>
      <c r="K5354" s="226"/>
      <c r="L5354" s="226"/>
      <c r="M5354" s="101"/>
      <c r="N5354" s="101"/>
    </row>
    <row r="5355" spans="7:14" hidden="1" x14ac:dyDescent="0.3">
      <c r="G5355" s="101"/>
      <c r="H5355" s="101"/>
      <c r="I5355" s="101"/>
      <c r="K5355" s="226"/>
      <c r="L5355" s="226"/>
      <c r="M5355" s="101"/>
      <c r="N5355" s="101"/>
    </row>
    <row r="5356" spans="7:14" hidden="1" x14ac:dyDescent="0.3">
      <c r="G5356" s="101"/>
      <c r="H5356" s="101"/>
      <c r="I5356" s="101"/>
      <c r="K5356" s="226"/>
      <c r="L5356" s="226"/>
      <c r="M5356" s="101"/>
      <c r="N5356" s="101"/>
    </row>
    <row r="5357" spans="7:14" hidden="1" x14ac:dyDescent="0.3">
      <c r="G5357" s="101"/>
      <c r="H5357" s="101"/>
      <c r="I5357" s="101"/>
      <c r="K5357" s="226"/>
      <c r="L5357" s="226"/>
      <c r="M5357" s="101"/>
      <c r="N5357" s="101"/>
    </row>
    <row r="5358" spans="7:14" hidden="1" x14ac:dyDescent="0.3">
      <c r="G5358" s="101"/>
      <c r="H5358" s="101"/>
      <c r="I5358" s="101"/>
      <c r="K5358" s="226"/>
      <c r="L5358" s="226"/>
      <c r="M5358" s="101"/>
      <c r="N5358" s="101"/>
    </row>
    <row r="5359" spans="7:14" hidden="1" x14ac:dyDescent="0.3">
      <c r="G5359" s="101"/>
      <c r="H5359" s="101"/>
      <c r="I5359" s="101"/>
      <c r="K5359" s="226"/>
      <c r="L5359" s="226"/>
      <c r="M5359" s="101"/>
      <c r="N5359" s="101"/>
    </row>
    <row r="5360" spans="7:14" hidden="1" x14ac:dyDescent="0.3">
      <c r="G5360" s="101"/>
      <c r="H5360" s="101"/>
      <c r="I5360" s="101"/>
      <c r="K5360" s="226"/>
      <c r="L5360" s="226"/>
      <c r="M5360" s="101"/>
      <c r="N5360" s="101"/>
    </row>
    <row r="5361" spans="7:14" hidden="1" x14ac:dyDescent="0.3">
      <c r="G5361" s="101"/>
      <c r="H5361" s="101"/>
      <c r="I5361" s="101"/>
      <c r="K5361" s="226"/>
      <c r="L5361" s="226"/>
      <c r="M5361" s="101"/>
      <c r="N5361" s="101"/>
    </row>
    <row r="5362" spans="7:14" hidden="1" x14ac:dyDescent="0.3">
      <c r="G5362" s="101"/>
      <c r="H5362" s="101"/>
      <c r="I5362" s="101"/>
      <c r="K5362" s="226"/>
      <c r="L5362" s="226"/>
      <c r="M5362" s="101"/>
      <c r="N5362" s="101"/>
    </row>
    <row r="5363" spans="7:14" hidden="1" x14ac:dyDescent="0.3">
      <c r="G5363" s="101"/>
      <c r="H5363" s="101"/>
      <c r="I5363" s="101"/>
      <c r="K5363" s="226"/>
      <c r="L5363" s="226"/>
      <c r="M5363" s="101"/>
      <c r="N5363" s="101"/>
    </row>
    <row r="5364" spans="7:14" hidden="1" x14ac:dyDescent="0.3">
      <c r="G5364" s="101"/>
      <c r="H5364" s="101"/>
      <c r="I5364" s="101"/>
      <c r="K5364" s="226"/>
      <c r="L5364" s="226"/>
      <c r="M5364" s="101"/>
      <c r="N5364" s="101"/>
    </row>
    <row r="5365" spans="7:14" hidden="1" x14ac:dyDescent="0.3">
      <c r="G5365" s="101"/>
      <c r="H5365" s="101"/>
      <c r="I5365" s="101"/>
      <c r="K5365" s="226"/>
      <c r="L5365" s="226"/>
      <c r="M5365" s="101"/>
      <c r="N5365" s="101"/>
    </row>
    <row r="5366" spans="7:14" hidden="1" x14ac:dyDescent="0.3">
      <c r="G5366" s="101"/>
      <c r="H5366" s="101"/>
      <c r="I5366" s="101"/>
      <c r="K5366" s="226"/>
      <c r="L5366" s="226"/>
      <c r="M5366" s="101"/>
      <c r="N5366" s="101"/>
    </row>
    <row r="5367" spans="7:14" hidden="1" x14ac:dyDescent="0.3">
      <c r="G5367" s="101"/>
      <c r="H5367" s="101"/>
      <c r="I5367" s="101"/>
      <c r="K5367" s="226"/>
      <c r="L5367" s="226"/>
      <c r="M5367" s="101"/>
      <c r="N5367" s="101"/>
    </row>
    <row r="5368" spans="7:14" hidden="1" x14ac:dyDescent="0.3">
      <c r="G5368" s="101"/>
      <c r="H5368" s="101"/>
      <c r="I5368" s="101"/>
      <c r="K5368" s="226"/>
      <c r="L5368" s="226"/>
      <c r="M5368" s="101"/>
      <c r="N5368" s="101"/>
    </row>
    <row r="5369" spans="7:14" hidden="1" x14ac:dyDescent="0.3">
      <c r="G5369" s="101"/>
      <c r="H5369" s="101"/>
      <c r="I5369" s="101"/>
      <c r="K5369" s="226"/>
      <c r="L5369" s="226"/>
      <c r="M5369" s="101"/>
      <c r="N5369" s="101"/>
    </row>
    <row r="5370" spans="7:14" hidden="1" x14ac:dyDescent="0.3">
      <c r="G5370" s="101"/>
      <c r="H5370" s="101"/>
      <c r="I5370" s="101"/>
      <c r="K5370" s="226"/>
      <c r="L5370" s="226"/>
      <c r="M5370" s="101"/>
      <c r="N5370" s="101"/>
    </row>
    <row r="5371" spans="7:14" hidden="1" x14ac:dyDescent="0.3">
      <c r="G5371" s="101"/>
      <c r="H5371" s="101"/>
      <c r="I5371" s="101"/>
      <c r="K5371" s="226"/>
      <c r="L5371" s="226"/>
      <c r="M5371" s="101"/>
      <c r="N5371" s="101"/>
    </row>
    <row r="5372" spans="7:14" hidden="1" x14ac:dyDescent="0.3">
      <c r="G5372" s="101"/>
      <c r="H5372" s="101"/>
      <c r="I5372" s="101"/>
      <c r="K5372" s="226"/>
      <c r="L5372" s="226"/>
      <c r="M5372" s="101"/>
      <c r="N5372" s="101"/>
    </row>
    <row r="5373" spans="7:14" hidden="1" x14ac:dyDescent="0.3">
      <c r="G5373" s="101"/>
      <c r="H5373" s="101"/>
      <c r="I5373" s="101"/>
      <c r="K5373" s="226"/>
      <c r="L5373" s="226"/>
      <c r="M5373" s="101"/>
      <c r="N5373" s="101"/>
    </row>
    <row r="5374" spans="7:14" hidden="1" x14ac:dyDescent="0.3">
      <c r="G5374" s="101"/>
      <c r="H5374" s="101"/>
      <c r="I5374" s="101"/>
      <c r="K5374" s="226"/>
      <c r="L5374" s="226"/>
      <c r="M5374" s="101"/>
      <c r="N5374" s="101"/>
    </row>
    <row r="5375" spans="7:14" hidden="1" x14ac:dyDescent="0.3">
      <c r="G5375" s="101"/>
      <c r="H5375" s="101"/>
      <c r="I5375" s="101"/>
      <c r="K5375" s="226"/>
      <c r="L5375" s="226"/>
      <c r="M5375" s="101"/>
      <c r="N5375" s="101"/>
    </row>
    <row r="5376" spans="7:14" hidden="1" x14ac:dyDescent="0.3">
      <c r="G5376" s="101"/>
      <c r="H5376" s="101"/>
      <c r="I5376" s="101"/>
      <c r="K5376" s="226"/>
      <c r="L5376" s="226"/>
      <c r="M5376" s="101"/>
      <c r="N5376" s="101"/>
    </row>
    <row r="5377" spans="7:14" hidden="1" x14ac:dyDescent="0.3">
      <c r="G5377" s="101"/>
      <c r="H5377" s="101"/>
      <c r="I5377" s="101"/>
      <c r="K5377" s="226"/>
      <c r="L5377" s="226"/>
      <c r="M5377" s="101"/>
      <c r="N5377" s="101"/>
    </row>
    <row r="5378" spans="7:14" hidden="1" x14ac:dyDescent="0.3">
      <c r="G5378" s="101"/>
      <c r="H5378" s="101"/>
      <c r="I5378" s="101"/>
      <c r="K5378" s="226"/>
      <c r="L5378" s="226"/>
      <c r="M5378" s="101"/>
      <c r="N5378" s="101"/>
    </row>
    <row r="5379" spans="7:14" hidden="1" x14ac:dyDescent="0.3">
      <c r="G5379" s="101"/>
      <c r="H5379" s="101"/>
      <c r="I5379" s="101"/>
      <c r="K5379" s="226"/>
      <c r="L5379" s="226"/>
      <c r="M5379" s="101"/>
      <c r="N5379" s="101"/>
    </row>
    <row r="5380" spans="7:14" hidden="1" x14ac:dyDescent="0.3">
      <c r="G5380" s="101"/>
      <c r="H5380" s="101"/>
      <c r="I5380" s="101"/>
      <c r="K5380" s="226"/>
      <c r="L5380" s="226"/>
      <c r="M5380" s="101"/>
      <c r="N5380" s="101"/>
    </row>
    <row r="5381" spans="7:14" hidden="1" x14ac:dyDescent="0.3">
      <c r="G5381" s="101"/>
      <c r="H5381" s="101"/>
      <c r="I5381" s="101"/>
      <c r="K5381" s="226"/>
      <c r="L5381" s="226"/>
      <c r="M5381" s="101"/>
      <c r="N5381" s="101"/>
    </row>
    <row r="5382" spans="7:14" hidden="1" x14ac:dyDescent="0.3">
      <c r="G5382" s="101"/>
      <c r="H5382" s="101"/>
      <c r="I5382" s="101"/>
      <c r="K5382" s="226"/>
      <c r="L5382" s="226"/>
      <c r="M5382" s="101"/>
      <c r="N5382" s="101"/>
    </row>
    <row r="5383" spans="7:14" hidden="1" x14ac:dyDescent="0.3">
      <c r="G5383" s="101"/>
      <c r="H5383" s="101"/>
      <c r="I5383" s="101"/>
      <c r="K5383" s="226"/>
      <c r="L5383" s="226"/>
      <c r="M5383" s="101"/>
      <c r="N5383" s="101"/>
    </row>
    <row r="5384" spans="7:14" hidden="1" x14ac:dyDescent="0.3">
      <c r="G5384" s="101"/>
      <c r="H5384" s="101"/>
      <c r="I5384" s="101"/>
      <c r="K5384" s="226"/>
      <c r="L5384" s="226"/>
      <c r="M5384" s="101"/>
      <c r="N5384" s="101"/>
    </row>
    <row r="5385" spans="7:14" hidden="1" x14ac:dyDescent="0.3">
      <c r="G5385" s="101"/>
      <c r="H5385" s="101"/>
      <c r="I5385" s="101"/>
      <c r="K5385" s="226"/>
      <c r="L5385" s="226"/>
      <c r="M5385" s="101"/>
      <c r="N5385" s="101"/>
    </row>
    <row r="5386" spans="7:14" hidden="1" x14ac:dyDescent="0.3">
      <c r="G5386" s="101"/>
      <c r="H5386" s="101"/>
      <c r="I5386" s="101"/>
      <c r="K5386" s="226"/>
      <c r="L5386" s="226"/>
      <c r="M5386" s="101"/>
      <c r="N5386" s="101"/>
    </row>
    <row r="5387" spans="7:14" hidden="1" x14ac:dyDescent="0.3">
      <c r="G5387" s="101"/>
      <c r="H5387" s="101"/>
      <c r="I5387" s="101"/>
      <c r="K5387" s="226"/>
      <c r="L5387" s="226"/>
      <c r="M5387" s="101"/>
      <c r="N5387" s="101"/>
    </row>
    <row r="5388" spans="7:14" hidden="1" x14ac:dyDescent="0.3">
      <c r="G5388" s="101"/>
      <c r="H5388" s="101"/>
      <c r="I5388" s="101"/>
      <c r="K5388" s="226"/>
      <c r="L5388" s="226"/>
      <c r="M5388" s="101"/>
      <c r="N5388" s="101"/>
    </row>
    <row r="5389" spans="7:14" hidden="1" x14ac:dyDescent="0.3">
      <c r="G5389" s="101"/>
      <c r="H5389" s="101"/>
      <c r="I5389" s="101"/>
      <c r="K5389" s="226"/>
      <c r="L5389" s="226"/>
      <c r="M5389" s="101"/>
      <c r="N5389" s="101"/>
    </row>
    <row r="5390" spans="7:14" hidden="1" x14ac:dyDescent="0.3">
      <c r="G5390" s="101"/>
      <c r="H5390" s="101"/>
      <c r="I5390" s="101"/>
      <c r="K5390" s="226"/>
      <c r="L5390" s="226"/>
      <c r="M5390" s="101"/>
      <c r="N5390" s="101"/>
    </row>
    <row r="5391" spans="7:14" hidden="1" x14ac:dyDescent="0.3">
      <c r="G5391" s="101"/>
      <c r="H5391" s="101"/>
      <c r="I5391" s="101"/>
      <c r="K5391" s="226"/>
      <c r="L5391" s="226"/>
      <c r="M5391" s="101"/>
      <c r="N5391" s="101"/>
    </row>
    <row r="5392" spans="7:14" hidden="1" x14ac:dyDescent="0.3">
      <c r="G5392" s="101"/>
      <c r="H5392" s="101"/>
      <c r="I5392" s="101"/>
      <c r="K5392" s="226"/>
      <c r="L5392" s="226"/>
      <c r="M5392" s="101"/>
      <c r="N5392" s="101"/>
    </row>
    <row r="5393" spans="7:14" hidden="1" x14ac:dyDescent="0.3">
      <c r="G5393" s="101"/>
      <c r="H5393" s="101"/>
      <c r="I5393" s="101"/>
      <c r="K5393" s="226"/>
      <c r="L5393" s="226"/>
      <c r="M5393" s="101"/>
      <c r="N5393" s="101"/>
    </row>
    <row r="5394" spans="7:14" hidden="1" x14ac:dyDescent="0.3">
      <c r="G5394" s="101"/>
      <c r="H5394" s="101"/>
      <c r="I5394" s="101"/>
      <c r="K5394" s="226"/>
      <c r="L5394" s="226"/>
      <c r="M5394" s="101"/>
      <c r="N5394" s="101"/>
    </row>
    <row r="5395" spans="7:14" hidden="1" x14ac:dyDescent="0.3">
      <c r="G5395" s="101"/>
      <c r="H5395" s="101"/>
      <c r="I5395" s="101"/>
      <c r="K5395" s="226"/>
      <c r="L5395" s="226"/>
      <c r="M5395" s="101"/>
      <c r="N5395" s="101"/>
    </row>
    <row r="5396" spans="7:14" hidden="1" x14ac:dyDescent="0.3">
      <c r="G5396" s="101"/>
      <c r="H5396" s="101"/>
      <c r="I5396" s="101"/>
      <c r="K5396" s="226"/>
      <c r="L5396" s="226"/>
      <c r="M5396" s="101"/>
      <c r="N5396" s="101"/>
    </row>
    <row r="5397" spans="7:14" hidden="1" x14ac:dyDescent="0.3">
      <c r="G5397" s="101"/>
      <c r="H5397" s="101"/>
      <c r="I5397" s="101"/>
      <c r="K5397" s="226"/>
      <c r="L5397" s="226"/>
      <c r="M5397" s="101"/>
      <c r="N5397" s="101"/>
    </row>
    <row r="5398" spans="7:14" hidden="1" x14ac:dyDescent="0.3">
      <c r="G5398" s="101"/>
      <c r="H5398" s="101"/>
      <c r="I5398" s="101"/>
      <c r="K5398" s="226"/>
      <c r="L5398" s="226"/>
      <c r="M5398" s="101"/>
      <c r="N5398" s="101"/>
    </row>
    <row r="5399" spans="7:14" hidden="1" x14ac:dyDescent="0.3">
      <c r="G5399" s="101"/>
      <c r="H5399" s="101"/>
      <c r="I5399" s="101"/>
      <c r="K5399" s="226"/>
      <c r="L5399" s="226"/>
      <c r="M5399" s="101"/>
      <c r="N5399" s="101"/>
    </row>
    <row r="5400" spans="7:14" hidden="1" x14ac:dyDescent="0.3">
      <c r="G5400" s="101"/>
      <c r="H5400" s="101"/>
      <c r="I5400" s="101"/>
      <c r="K5400" s="226"/>
      <c r="L5400" s="226"/>
      <c r="M5400" s="101"/>
      <c r="N5400" s="101"/>
    </row>
    <row r="5401" spans="7:14" hidden="1" x14ac:dyDescent="0.3">
      <c r="G5401" s="101"/>
      <c r="H5401" s="101"/>
      <c r="I5401" s="101"/>
      <c r="K5401" s="226"/>
      <c r="L5401" s="226"/>
      <c r="M5401" s="101"/>
      <c r="N5401" s="101"/>
    </row>
    <row r="5402" spans="7:14" hidden="1" x14ac:dyDescent="0.3">
      <c r="G5402" s="101"/>
      <c r="H5402" s="101"/>
      <c r="I5402" s="101"/>
      <c r="K5402" s="226"/>
      <c r="L5402" s="226"/>
      <c r="M5402" s="101"/>
      <c r="N5402" s="101"/>
    </row>
    <row r="5403" spans="7:14" hidden="1" x14ac:dyDescent="0.3">
      <c r="G5403" s="101"/>
      <c r="H5403" s="101"/>
      <c r="I5403" s="101"/>
      <c r="K5403" s="226"/>
      <c r="L5403" s="226"/>
      <c r="M5403" s="101"/>
      <c r="N5403" s="101"/>
    </row>
    <row r="5404" spans="7:14" hidden="1" x14ac:dyDescent="0.3">
      <c r="G5404" s="101"/>
      <c r="H5404" s="101"/>
      <c r="I5404" s="101"/>
      <c r="K5404" s="226"/>
      <c r="L5404" s="226"/>
      <c r="M5404" s="101"/>
      <c r="N5404" s="101"/>
    </row>
    <row r="5405" spans="7:14" hidden="1" x14ac:dyDescent="0.3">
      <c r="G5405" s="101"/>
      <c r="H5405" s="101"/>
      <c r="I5405" s="101"/>
      <c r="K5405" s="226"/>
      <c r="L5405" s="226"/>
      <c r="M5405" s="101"/>
      <c r="N5405" s="101"/>
    </row>
    <row r="5406" spans="7:14" hidden="1" x14ac:dyDescent="0.3">
      <c r="G5406" s="101"/>
      <c r="H5406" s="101"/>
      <c r="I5406" s="101"/>
      <c r="K5406" s="226"/>
      <c r="L5406" s="226"/>
      <c r="M5406" s="101"/>
      <c r="N5406" s="101"/>
    </row>
    <row r="5407" spans="7:14" hidden="1" x14ac:dyDescent="0.3">
      <c r="G5407" s="101"/>
      <c r="H5407" s="101"/>
      <c r="I5407" s="101"/>
      <c r="K5407" s="226"/>
      <c r="L5407" s="226"/>
      <c r="M5407" s="101"/>
      <c r="N5407" s="101"/>
    </row>
    <row r="5408" spans="7:14" hidden="1" x14ac:dyDescent="0.3">
      <c r="G5408" s="101"/>
      <c r="H5408" s="101"/>
      <c r="I5408" s="101"/>
      <c r="K5408" s="226"/>
      <c r="L5408" s="226"/>
      <c r="M5408" s="101"/>
      <c r="N5408" s="101"/>
    </row>
    <row r="5409" spans="7:14" hidden="1" x14ac:dyDescent="0.3">
      <c r="G5409" s="101"/>
      <c r="H5409" s="101"/>
      <c r="I5409" s="101"/>
      <c r="K5409" s="226"/>
      <c r="L5409" s="226"/>
      <c r="M5409" s="101"/>
      <c r="N5409" s="101"/>
    </row>
    <row r="5410" spans="7:14" hidden="1" x14ac:dyDescent="0.3">
      <c r="G5410" s="101"/>
      <c r="H5410" s="101"/>
      <c r="I5410" s="101"/>
      <c r="K5410" s="226"/>
      <c r="L5410" s="226"/>
      <c r="M5410" s="101"/>
      <c r="N5410" s="101"/>
    </row>
    <row r="5411" spans="7:14" hidden="1" x14ac:dyDescent="0.3">
      <c r="G5411" s="101"/>
      <c r="H5411" s="101"/>
      <c r="I5411" s="101"/>
      <c r="K5411" s="226"/>
      <c r="L5411" s="226"/>
      <c r="M5411" s="101"/>
      <c r="N5411" s="101"/>
    </row>
    <row r="5412" spans="7:14" hidden="1" x14ac:dyDescent="0.3">
      <c r="G5412" s="101"/>
      <c r="H5412" s="101"/>
      <c r="I5412" s="101"/>
      <c r="K5412" s="226"/>
      <c r="L5412" s="226"/>
      <c r="M5412" s="101"/>
      <c r="N5412" s="101"/>
    </row>
    <row r="5413" spans="7:14" hidden="1" x14ac:dyDescent="0.3">
      <c r="G5413" s="101"/>
      <c r="H5413" s="101"/>
      <c r="I5413" s="101"/>
      <c r="K5413" s="226"/>
      <c r="L5413" s="226"/>
      <c r="M5413" s="101"/>
      <c r="N5413" s="101"/>
    </row>
    <row r="5414" spans="7:14" hidden="1" x14ac:dyDescent="0.3">
      <c r="G5414" s="101"/>
      <c r="H5414" s="101"/>
      <c r="I5414" s="101"/>
      <c r="K5414" s="226"/>
      <c r="L5414" s="226"/>
      <c r="M5414" s="101"/>
      <c r="N5414" s="101"/>
    </row>
    <row r="5415" spans="7:14" hidden="1" x14ac:dyDescent="0.3">
      <c r="G5415" s="101"/>
      <c r="H5415" s="101"/>
      <c r="I5415" s="101"/>
      <c r="K5415" s="226"/>
      <c r="L5415" s="226"/>
      <c r="M5415" s="101"/>
      <c r="N5415" s="101"/>
    </row>
    <row r="5416" spans="7:14" hidden="1" x14ac:dyDescent="0.3">
      <c r="G5416" s="101"/>
      <c r="H5416" s="101"/>
      <c r="I5416" s="101"/>
      <c r="K5416" s="226"/>
      <c r="L5416" s="226"/>
      <c r="M5416" s="101"/>
      <c r="N5416" s="101"/>
    </row>
    <row r="5417" spans="7:14" hidden="1" x14ac:dyDescent="0.3">
      <c r="G5417" s="101"/>
      <c r="H5417" s="101"/>
      <c r="I5417" s="101"/>
      <c r="K5417" s="226"/>
      <c r="L5417" s="226"/>
      <c r="M5417" s="101"/>
      <c r="N5417" s="101"/>
    </row>
    <row r="5418" spans="7:14" hidden="1" x14ac:dyDescent="0.3">
      <c r="G5418" s="101"/>
      <c r="H5418" s="101"/>
      <c r="I5418" s="101"/>
      <c r="K5418" s="226"/>
      <c r="L5418" s="226"/>
      <c r="M5418" s="101"/>
      <c r="N5418" s="101"/>
    </row>
    <row r="5419" spans="7:14" hidden="1" x14ac:dyDescent="0.3">
      <c r="G5419" s="101"/>
      <c r="H5419" s="101"/>
      <c r="I5419" s="101"/>
      <c r="K5419" s="226"/>
      <c r="L5419" s="226"/>
      <c r="M5419" s="101"/>
      <c r="N5419" s="101"/>
    </row>
    <row r="5420" spans="7:14" hidden="1" x14ac:dyDescent="0.3">
      <c r="G5420" s="101"/>
      <c r="H5420" s="101"/>
      <c r="I5420" s="101"/>
      <c r="K5420" s="226"/>
      <c r="L5420" s="226"/>
      <c r="M5420" s="101"/>
      <c r="N5420" s="101"/>
    </row>
    <row r="5421" spans="7:14" hidden="1" x14ac:dyDescent="0.3">
      <c r="G5421" s="101"/>
      <c r="H5421" s="101"/>
      <c r="I5421" s="101"/>
      <c r="K5421" s="226"/>
      <c r="L5421" s="226"/>
      <c r="M5421" s="101"/>
      <c r="N5421" s="101"/>
    </row>
    <row r="5422" spans="7:14" hidden="1" x14ac:dyDescent="0.3">
      <c r="G5422" s="101"/>
      <c r="H5422" s="101"/>
      <c r="I5422" s="101"/>
      <c r="K5422" s="226"/>
      <c r="L5422" s="226"/>
      <c r="M5422" s="101"/>
      <c r="N5422" s="101"/>
    </row>
    <row r="5423" spans="7:14" hidden="1" x14ac:dyDescent="0.3">
      <c r="G5423" s="101"/>
      <c r="H5423" s="101"/>
      <c r="I5423" s="101"/>
      <c r="K5423" s="226"/>
      <c r="L5423" s="226"/>
      <c r="M5423" s="101"/>
      <c r="N5423" s="101"/>
    </row>
    <row r="5424" spans="7:14" hidden="1" x14ac:dyDescent="0.3">
      <c r="G5424" s="101"/>
      <c r="H5424" s="101"/>
      <c r="I5424" s="101"/>
      <c r="K5424" s="226"/>
      <c r="L5424" s="226"/>
      <c r="M5424" s="101"/>
      <c r="N5424" s="101"/>
    </row>
    <row r="5425" spans="7:14" hidden="1" x14ac:dyDescent="0.3">
      <c r="G5425" s="101"/>
      <c r="H5425" s="101"/>
      <c r="I5425" s="101"/>
      <c r="K5425" s="226"/>
      <c r="L5425" s="226"/>
      <c r="M5425" s="101"/>
      <c r="N5425" s="101"/>
    </row>
    <row r="5426" spans="7:14" hidden="1" x14ac:dyDescent="0.3">
      <c r="G5426" s="101"/>
      <c r="H5426" s="101"/>
      <c r="I5426" s="101"/>
      <c r="K5426" s="226"/>
      <c r="L5426" s="226"/>
      <c r="M5426" s="101"/>
      <c r="N5426" s="101"/>
    </row>
    <row r="5427" spans="7:14" hidden="1" x14ac:dyDescent="0.3">
      <c r="G5427" s="101"/>
      <c r="H5427" s="101"/>
      <c r="I5427" s="101"/>
      <c r="K5427" s="226"/>
      <c r="L5427" s="226"/>
      <c r="M5427" s="101"/>
      <c r="N5427" s="101"/>
    </row>
    <row r="5428" spans="7:14" hidden="1" x14ac:dyDescent="0.3">
      <c r="G5428" s="101"/>
      <c r="H5428" s="101"/>
      <c r="I5428" s="101"/>
      <c r="K5428" s="226"/>
      <c r="L5428" s="226"/>
      <c r="M5428" s="101"/>
      <c r="N5428" s="101"/>
    </row>
    <row r="5429" spans="7:14" hidden="1" x14ac:dyDescent="0.3">
      <c r="G5429" s="101"/>
      <c r="H5429" s="101"/>
      <c r="I5429" s="101"/>
      <c r="K5429" s="226"/>
      <c r="L5429" s="226"/>
      <c r="M5429" s="101"/>
      <c r="N5429" s="101"/>
    </row>
    <row r="5430" spans="7:14" hidden="1" x14ac:dyDescent="0.3">
      <c r="G5430" s="101"/>
      <c r="H5430" s="101"/>
      <c r="I5430" s="101"/>
      <c r="K5430" s="226"/>
      <c r="L5430" s="226"/>
      <c r="M5430" s="101"/>
      <c r="N5430" s="101"/>
    </row>
    <row r="5431" spans="7:14" hidden="1" x14ac:dyDescent="0.3">
      <c r="G5431" s="101"/>
      <c r="H5431" s="101"/>
      <c r="I5431" s="101"/>
      <c r="K5431" s="226"/>
      <c r="L5431" s="226"/>
      <c r="M5431" s="101"/>
      <c r="N5431" s="101"/>
    </row>
    <row r="5432" spans="7:14" hidden="1" x14ac:dyDescent="0.3">
      <c r="G5432" s="101"/>
      <c r="H5432" s="101"/>
      <c r="I5432" s="101"/>
      <c r="K5432" s="226"/>
      <c r="L5432" s="226"/>
      <c r="M5432" s="101"/>
      <c r="N5432" s="101"/>
    </row>
    <row r="5433" spans="7:14" hidden="1" x14ac:dyDescent="0.3">
      <c r="G5433" s="101"/>
      <c r="H5433" s="101"/>
      <c r="I5433" s="101"/>
      <c r="K5433" s="226"/>
      <c r="L5433" s="226"/>
      <c r="M5433" s="101"/>
      <c r="N5433" s="101"/>
    </row>
    <row r="5434" spans="7:14" hidden="1" x14ac:dyDescent="0.3">
      <c r="G5434" s="101"/>
      <c r="H5434" s="101"/>
      <c r="I5434" s="101"/>
      <c r="K5434" s="226"/>
      <c r="L5434" s="226"/>
      <c r="M5434" s="101"/>
      <c r="N5434" s="101"/>
    </row>
    <row r="5435" spans="7:14" hidden="1" x14ac:dyDescent="0.3">
      <c r="G5435" s="101"/>
      <c r="H5435" s="101"/>
      <c r="I5435" s="101"/>
      <c r="K5435" s="226"/>
      <c r="L5435" s="226"/>
      <c r="M5435" s="101"/>
      <c r="N5435" s="101"/>
    </row>
    <row r="5436" spans="7:14" hidden="1" x14ac:dyDescent="0.3">
      <c r="G5436" s="101"/>
      <c r="H5436" s="101"/>
      <c r="I5436" s="101"/>
      <c r="K5436" s="226"/>
      <c r="L5436" s="226"/>
      <c r="M5436" s="101"/>
      <c r="N5436" s="101"/>
    </row>
    <row r="5437" spans="7:14" hidden="1" x14ac:dyDescent="0.3">
      <c r="G5437" s="101"/>
      <c r="H5437" s="101"/>
      <c r="I5437" s="101"/>
      <c r="K5437" s="226"/>
      <c r="L5437" s="226"/>
      <c r="M5437" s="101"/>
      <c r="N5437" s="101"/>
    </row>
    <row r="5438" spans="7:14" hidden="1" x14ac:dyDescent="0.3">
      <c r="G5438" s="101"/>
      <c r="H5438" s="101"/>
      <c r="I5438" s="101"/>
      <c r="K5438" s="226"/>
      <c r="L5438" s="226"/>
      <c r="M5438" s="101"/>
      <c r="N5438" s="101"/>
    </row>
    <row r="5439" spans="7:14" hidden="1" x14ac:dyDescent="0.3">
      <c r="G5439" s="101"/>
      <c r="H5439" s="101"/>
      <c r="I5439" s="101"/>
      <c r="K5439" s="226"/>
      <c r="L5439" s="226"/>
      <c r="M5439" s="101"/>
      <c r="N5439" s="101"/>
    </row>
    <row r="5440" spans="7:14" hidden="1" x14ac:dyDescent="0.3">
      <c r="G5440" s="101"/>
      <c r="H5440" s="101"/>
      <c r="I5440" s="101"/>
      <c r="K5440" s="226"/>
      <c r="L5440" s="226"/>
      <c r="M5440" s="101"/>
      <c r="N5440" s="101"/>
    </row>
    <row r="5441" spans="7:14" hidden="1" x14ac:dyDescent="0.3">
      <c r="G5441" s="101"/>
      <c r="H5441" s="101"/>
      <c r="I5441" s="101"/>
      <c r="K5441" s="226"/>
      <c r="L5441" s="226"/>
      <c r="M5441" s="101"/>
      <c r="N5441" s="101"/>
    </row>
    <row r="5442" spans="7:14" hidden="1" x14ac:dyDescent="0.3">
      <c r="G5442" s="101"/>
      <c r="H5442" s="101"/>
      <c r="I5442" s="101"/>
      <c r="K5442" s="226"/>
      <c r="L5442" s="226"/>
      <c r="M5442" s="101"/>
      <c r="N5442" s="101"/>
    </row>
    <row r="5443" spans="7:14" hidden="1" x14ac:dyDescent="0.3">
      <c r="G5443" s="101"/>
      <c r="H5443" s="101"/>
      <c r="I5443" s="101"/>
      <c r="K5443" s="226"/>
      <c r="L5443" s="226"/>
      <c r="M5443" s="101"/>
      <c r="N5443" s="101"/>
    </row>
    <row r="5444" spans="7:14" hidden="1" x14ac:dyDescent="0.3">
      <c r="G5444" s="101"/>
      <c r="H5444" s="101"/>
      <c r="I5444" s="101"/>
      <c r="K5444" s="226"/>
      <c r="L5444" s="226"/>
      <c r="M5444" s="101"/>
      <c r="N5444" s="101"/>
    </row>
    <row r="5445" spans="7:14" hidden="1" x14ac:dyDescent="0.3">
      <c r="G5445" s="101"/>
      <c r="H5445" s="101"/>
      <c r="I5445" s="101"/>
      <c r="K5445" s="226"/>
      <c r="L5445" s="226"/>
      <c r="M5445" s="101"/>
      <c r="N5445" s="101"/>
    </row>
    <row r="5446" spans="7:14" hidden="1" x14ac:dyDescent="0.3">
      <c r="G5446" s="101"/>
      <c r="H5446" s="101"/>
      <c r="I5446" s="101"/>
      <c r="K5446" s="226"/>
      <c r="L5446" s="226"/>
      <c r="M5446" s="101"/>
      <c r="N5446" s="101"/>
    </row>
    <row r="5447" spans="7:14" hidden="1" x14ac:dyDescent="0.3">
      <c r="G5447" s="101"/>
      <c r="H5447" s="101"/>
      <c r="I5447" s="101"/>
      <c r="K5447" s="226"/>
      <c r="L5447" s="226"/>
      <c r="M5447" s="101"/>
      <c r="N5447" s="101"/>
    </row>
    <row r="5448" spans="7:14" hidden="1" x14ac:dyDescent="0.3">
      <c r="G5448" s="101"/>
      <c r="H5448" s="101"/>
      <c r="I5448" s="101"/>
      <c r="K5448" s="226"/>
      <c r="L5448" s="226"/>
      <c r="M5448" s="101"/>
      <c r="N5448" s="101"/>
    </row>
    <row r="5449" spans="7:14" hidden="1" x14ac:dyDescent="0.3">
      <c r="G5449" s="101"/>
      <c r="H5449" s="101"/>
      <c r="I5449" s="101"/>
      <c r="K5449" s="226"/>
      <c r="L5449" s="226"/>
      <c r="M5449" s="101"/>
      <c r="N5449" s="101"/>
    </row>
    <row r="5450" spans="7:14" hidden="1" x14ac:dyDescent="0.3">
      <c r="G5450" s="101"/>
      <c r="H5450" s="101"/>
      <c r="I5450" s="101"/>
      <c r="K5450" s="226"/>
      <c r="L5450" s="226"/>
      <c r="M5450" s="101"/>
      <c r="N5450" s="101"/>
    </row>
    <row r="5451" spans="7:14" hidden="1" x14ac:dyDescent="0.3">
      <c r="G5451" s="101"/>
      <c r="H5451" s="101"/>
      <c r="I5451" s="101"/>
      <c r="K5451" s="226"/>
      <c r="L5451" s="226"/>
      <c r="M5451" s="101"/>
      <c r="N5451" s="101"/>
    </row>
    <row r="5452" spans="7:14" hidden="1" x14ac:dyDescent="0.3">
      <c r="G5452" s="101"/>
      <c r="H5452" s="101"/>
      <c r="I5452" s="101"/>
      <c r="K5452" s="226"/>
      <c r="L5452" s="226"/>
      <c r="M5452" s="101"/>
      <c r="N5452" s="101"/>
    </row>
    <row r="5453" spans="7:14" hidden="1" x14ac:dyDescent="0.3">
      <c r="G5453" s="101"/>
      <c r="H5453" s="101"/>
      <c r="I5453" s="101"/>
      <c r="K5453" s="226"/>
      <c r="L5453" s="226"/>
      <c r="M5453" s="101"/>
      <c r="N5453" s="101"/>
    </row>
    <row r="5454" spans="7:14" hidden="1" x14ac:dyDescent="0.3">
      <c r="G5454" s="101"/>
      <c r="H5454" s="101"/>
      <c r="I5454" s="101"/>
      <c r="K5454" s="226"/>
      <c r="L5454" s="226"/>
      <c r="M5454" s="101"/>
      <c r="N5454" s="101"/>
    </row>
    <row r="5455" spans="7:14" hidden="1" x14ac:dyDescent="0.3">
      <c r="G5455" s="101"/>
      <c r="H5455" s="101"/>
      <c r="I5455" s="101"/>
      <c r="K5455" s="226"/>
      <c r="L5455" s="226"/>
      <c r="M5455" s="101"/>
      <c r="N5455" s="101"/>
    </row>
    <row r="5456" spans="7:14" hidden="1" x14ac:dyDescent="0.3">
      <c r="G5456" s="101"/>
      <c r="H5456" s="101"/>
      <c r="I5456" s="101"/>
      <c r="K5456" s="226"/>
      <c r="L5456" s="226"/>
      <c r="M5456" s="101"/>
      <c r="N5456" s="101"/>
    </row>
    <row r="5457" spans="7:14" hidden="1" x14ac:dyDescent="0.3">
      <c r="G5457" s="101"/>
      <c r="H5457" s="101"/>
      <c r="I5457" s="101"/>
      <c r="K5457" s="226"/>
      <c r="L5457" s="226"/>
      <c r="M5457" s="101"/>
      <c r="N5457" s="101"/>
    </row>
    <row r="5458" spans="7:14" hidden="1" x14ac:dyDescent="0.3">
      <c r="G5458" s="101"/>
      <c r="H5458" s="101"/>
      <c r="I5458" s="101"/>
      <c r="K5458" s="226"/>
      <c r="L5458" s="226"/>
      <c r="M5458" s="101"/>
      <c r="N5458" s="101"/>
    </row>
    <row r="5459" spans="7:14" hidden="1" x14ac:dyDescent="0.3">
      <c r="G5459" s="101"/>
      <c r="H5459" s="101"/>
      <c r="I5459" s="101"/>
      <c r="K5459" s="226"/>
      <c r="L5459" s="226"/>
      <c r="M5459" s="101"/>
      <c r="N5459" s="101"/>
    </row>
    <row r="5460" spans="7:14" hidden="1" x14ac:dyDescent="0.3">
      <c r="G5460" s="101"/>
      <c r="H5460" s="101"/>
      <c r="I5460" s="101"/>
      <c r="K5460" s="226"/>
      <c r="L5460" s="226"/>
      <c r="M5460" s="101"/>
      <c r="N5460" s="101"/>
    </row>
    <row r="5461" spans="7:14" hidden="1" x14ac:dyDescent="0.3">
      <c r="G5461" s="101"/>
      <c r="H5461" s="101"/>
      <c r="I5461" s="101"/>
      <c r="K5461" s="226"/>
      <c r="L5461" s="226"/>
      <c r="M5461" s="101"/>
      <c r="N5461" s="101"/>
    </row>
    <row r="5462" spans="7:14" hidden="1" x14ac:dyDescent="0.3">
      <c r="G5462" s="101"/>
      <c r="H5462" s="101"/>
      <c r="I5462" s="101"/>
      <c r="K5462" s="226"/>
      <c r="L5462" s="226"/>
      <c r="M5462" s="101"/>
      <c r="N5462" s="101"/>
    </row>
    <row r="5463" spans="7:14" hidden="1" x14ac:dyDescent="0.3">
      <c r="G5463" s="101"/>
      <c r="H5463" s="101"/>
      <c r="I5463" s="101"/>
      <c r="K5463" s="226"/>
      <c r="L5463" s="226"/>
      <c r="M5463" s="101"/>
      <c r="N5463" s="101"/>
    </row>
    <row r="5464" spans="7:14" hidden="1" x14ac:dyDescent="0.3">
      <c r="G5464" s="101"/>
      <c r="H5464" s="101"/>
      <c r="I5464" s="101"/>
      <c r="K5464" s="226"/>
      <c r="L5464" s="226"/>
      <c r="M5464" s="101"/>
      <c r="N5464" s="101"/>
    </row>
    <row r="5465" spans="7:14" hidden="1" x14ac:dyDescent="0.3">
      <c r="G5465" s="101"/>
      <c r="H5465" s="101"/>
      <c r="I5465" s="101"/>
      <c r="K5465" s="226"/>
      <c r="L5465" s="226"/>
      <c r="M5465" s="101"/>
      <c r="N5465" s="101"/>
    </row>
    <row r="5466" spans="7:14" hidden="1" x14ac:dyDescent="0.3">
      <c r="G5466" s="101"/>
      <c r="H5466" s="101"/>
      <c r="I5466" s="101"/>
      <c r="K5466" s="226"/>
      <c r="L5466" s="226"/>
      <c r="M5466" s="101"/>
      <c r="N5466" s="101"/>
    </row>
    <row r="5467" spans="7:14" hidden="1" x14ac:dyDescent="0.3">
      <c r="G5467" s="101"/>
      <c r="H5467" s="101"/>
      <c r="I5467" s="101"/>
      <c r="K5467" s="226"/>
      <c r="L5467" s="226"/>
      <c r="M5467" s="101"/>
      <c r="N5467" s="101"/>
    </row>
    <row r="5468" spans="7:14" hidden="1" x14ac:dyDescent="0.3">
      <c r="G5468" s="101"/>
      <c r="H5468" s="101"/>
      <c r="I5468" s="101"/>
      <c r="K5468" s="226"/>
      <c r="L5468" s="226"/>
      <c r="M5468" s="101"/>
      <c r="N5468" s="101"/>
    </row>
    <row r="5469" spans="7:14" hidden="1" x14ac:dyDescent="0.3">
      <c r="G5469" s="101"/>
      <c r="H5469" s="101"/>
      <c r="I5469" s="101"/>
      <c r="K5469" s="226"/>
      <c r="L5469" s="226"/>
      <c r="M5469" s="101"/>
      <c r="N5469" s="101"/>
    </row>
    <row r="5470" spans="7:14" hidden="1" x14ac:dyDescent="0.3">
      <c r="G5470" s="101"/>
      <c r="H5470" s="101"/>
      <c r="I5470" s="101"/>
      <c r="K5470" s="226"/>
      <c r="L5470" s="226"/>
      <c r="M5470" s="101"/>
      <c r="N5470" s="101"/>
    </row>
    <row r="5471" spans="7:14" hidden="1" x14ac:dyDescent="0.3">
      <c r="G5471" s="101"/>
      <c r="H5471" s="101"/>
      <c r="I5471" s="101"/>
      <c r="K5471" s="226"/>
      <c r="L5471" s="226"/>
      <c r="M5471" s="101"/>
      <c r="N5471" s="101"/>
    </row>
    <row r="5472" spans="7:14" hidden="1" x14ac:dyDescent="0.3">
      <c r="G5472" s="101"/>
      <c r="H5472" s="101"/>
      <c r="I5472" s="101"/>
      <c r="K5472" s="226"/>
      <c r="L5472" s="226"/>
      <c r="M5472" s="101"/>
      <c r="N5472" s="101"/>
    </row>
    <row r="5473" spans="7:14" hidden="1" x14ac:dyDescent="0.3">
      <c r="G5473" s="101"/>
      <c r="H5473" s="101"/>
      <c r="I5473" s="101"/>
      <c r="K5473" s="226"/>
      <c r="L5473" s="226"/>
      <c r="M5473" s="101"/>
      <c r="N5473" s="101"/>
    </row>
    <row r="5474" spans="7:14" hidden="1" x14ac:dyDescent="0.3">
      <c r="G5474" s="101"/>
      <c r="H5474" s="101"/>
      <c r="I5474" s="101"/>
      <c r="K5474" s="226"/>
      <c r="L5474" s="226"/>
      <c r="M5474" s="101"/>
      <c r="N5474" s="101"/>
    </row>
    <row r="5475" spans="7:14" hidden="1" x14ac:dyDescent="0.3">
      <c r="G5475" s="101"/>
      <c r="H5475" s="101"/>
      <c r="I5475" s="101"/>
      <c r="K5475" s="226"/>
      <c r="L5475" s="226"/>
      <c r="M5475" s="101"/>
      <c r="N5475" s="101"/>
    </row>
    <row r="5476" spans="7:14" hidden="1" x14ac:dyDescent="0.3">
      <c r="G5476" s="101"/>
      <c r="H5476" s="101"/>
      <c r="I5476" s="101"/>
      <c r="K5476" s="226"/>
      <c r="L5476" s="226"/>
      <c r="M5476" s="101"/>
      <c r="N5476" s="101"/>
    </row>
    <row r="5477" spans="7:14" hidden="1" x14ac:dyDescent="0.3">
      <c r="G5477" s="101"/>
      <c r="H5477" s="101"/>
      <c r="I5477" s="101"/>
      <c r="K5477" s="226"/>
      <c r="L5477" s="226"/>
      <c r="M5477" s="101"/>
      <c r="N5477" s="101"/>
    </row>
    <row r="5478" spans="7:14" hidden="1" x14ac:dyDescent="0.3">
      <c r="G5478" s="101"/>
      <c r="H5478" s="101"/>
      <c r="I5478" s="101"/>
      <c r="K5478" s="226"/>
      <c r="L5478" s="226"/>
      <c r="M5478" s="101"/>
      <c r="N5478" s="101"/>
    </row>
    <row r="5479" spans="7:14" hidden="1" x14ac:dyDescent="0.3">
      <c r="G5479" s="101"/>
      <c r="H5479" s="101"/>
      <c r="I5479" s="101"/>
      <c r="K5479" s="226"/>
      <c r="L5479" s="226"/>
      <c r="M5479" s="101"/>
      <c r="N5479" s="101"/>
    </row>
    <row r="5480" spans="7:14" hidden="1" x14ac:dyDescent="0.3">
      <c r="G5480" s="101"/>
      <c r="H5480" s="101"/>
      <c r="I5480" s="101"/>
      <c r="K5480" s="226"/>
      <c r="L5480" s="226"/>
      <c r="M5480" s="101"/>
      <c r="N5480" s="101"/>
    </row>
    <row r="5481" spans="7:14" hidden="1" x14ac:dyDescent="0.3">
      <c r="G5481" s="101"/>
      <c r="H5481" s="101"/>
      <c r="I5481" s="101"/>
      <c r="K5481" s="226"/>
      <c r="L5481" s="226"/>
      <c r="M5481" s="101"/>
      <c r="N5481" s="101"/>
    </row>
    <row r="5482" spans="7:14" hidden="1" x14ac:dyDescent="0.3">
      <c r="G5482" s="101"/>
      <c r="H5482" s="101"/>
      <c r="I5482" s="101"/>
      <c r="K5482" s="226"/>
      <c r="L5482" s="226"/>
      <c r="M5482" s="101"/>
      <c r="N5482" s="101"/>
    </row>
    <row r="5483" spans="7:14" hidden="1" x14ac:dyDescent="0.3">
      <c r="G5483" s="101"/>
      <c r="H5483" s="101"/>
      <c r="I5483" s="101"/>
      <c r="K5483" s="226"/>
      <c r="L5483" s="226"/>
      <c r="M5483" s="101"/>
      <c r="N5483" s="101"/>
    </row>
    <row r="5484" spans="7:14" hidden="1" x14ac:dyDescent="0.3">
      <c r="G5484" s="101"/>
      <c r="H5484" s="101"/>
      <c r="I5484" s="101"/>
      <c r="K5484" s="226"/>
      <c r="L5484" s="226"/>
      <c r="M5484" s="101"/>
      <c r="N5484" s="101"/>
    </row>
    <row r="5485" spans="7:14" hidden="1" x14ac:dyDescent="0.3">
      <c r="G5485" s="101"/>
      <c r="H5485" s="101"/>
      <c r="I5485" s="101"/>
      <c r="K5485" s="226"/>
      <c r="L5485" s="226"/>
      <c r="M5485" s="101"/>
      <c r="N5485" s="101"/>
    </row>
    <row r="5486" spans="7:14" hidden="1" x14ac:dyDescent="0.3">
      <c r="G5486" s="101"/>
      <c r="H5486" s="101"/>
      <c r="I5486" s="101"/>
      <c r="K5486" s="226"/>
      <c r="L5486" s="226"/>
      <c r="M5486" s="101"/>
      <c r="N5486" s="101"/>
    </row>
    <row r="5487" spans="7:14" hidden="1" x14ac:dyDescent="0.3">
      <c r="G5487" s="101"/>
      <c r="H5487" s="101"/>
      <c r="I5487" s="101"/>
      <c r="K5487" s="226"/>
      <c r="L5487" s="226"/>
      <c r="M5487" s="101"/>
      <c r="N5487" s="101"/>
    </row>
    <row r="5488" spans="7:14" hidden="1" x14ac:dyDescent="0.3">
      <c r="G5488" s="101"/>
      <c r="H5488" s="101"/>
      <c r="I5488" s="101"/>
      <c r="K5488" s="226"/>
      <c r="L5488" s="226"/>
      <c r="M5488" s="101"/>
      <c r="N5488" s="101"/>
    </row>
    <row r="5489" spans="7:14" hidden="1" x14ac:dyDescent="0.3">
      <c r="G5489" s="101"/>
      <c r="H5489" s="101"/>
      <c r="I5489" s="101"/>
      <c r="K5489" s="226"/>
      <c r="L5489" s="226"/>
      <c r="M5489" s="101"/>
      <c r="N5489" s="101"/>
    </row>
    <row r="5490" spans="7:14" hidden="1" x14ac:dyDescent="0.3">
      <c r="G5490" s="101"/>
      <c r="H5490" s="101"/>
      <c r="I5490" s="101"/>
      <c r="K5490" s="226"/>
      <c r="L5490" s="226"/>
      <c r="M5490" s="101"/>
      <c r="N5490" s="101"/>
    </row>
    <row r="5491" spans="7:14" hidden="1" x14ac:dyDescent="0.3">
      <c r="G5491" s="101"/>
      <c r="H5491" s="101"/>
      <c r="I5491" s="101"/>
      <c r="K5491" s="226"/>
      <c r="L5491" s="226"/>
      <c r="M5491" s="101"/>
      <c r="N5491" s="101"/>
    </row>
    <row r="5492" spans="7:14" hidden="1" x14ac:dyDescent="0.3">
      <c r="G5492" s="101"/>
      <c r="H5492" s="101"/>
      <c r="I5492" s="101"/>
      <c r="K5492" s="226"/>
      <c r="L5492" s="226"/>
      <c r="M5492" s="101"/>
      <c r="N5492" s="101"/>
    </row>
    <row r="5493" spans="7:14" hidden="1" x14ac:dyDescent="0.3">
      <c r="G5493" s="101"/>
      <c r="H5493" s="101"/>
      <c r="I5493" s="101"/>
      <c r="K5493" s="226"/>
      <c r="L5493" s="226"/>
      <c r="M5493" s="101"/>
      <c r="N5493" s="101"/>
    </row>
    <row r="5494" spans="7:14" hidden="1" x14ac:dyDescent="0.3">
      <c r="G5494" s="101"/>
      <c r="H5494" s="101"/>
      <c r="I5494" s="101"/>
      <c r="K5494" s="226"/>
      <c r="L5494" s="226"/>
      <c r="M5494" s="101"/>
      <c r="N5494" s="101"/>
    </row>
    <row r="5495" spans="7:14" hidden="1" x14ac:dyDescent="0.3">
      <c r="G5495" s="101"/>
      <c r="H5495" s="101"/>
      <c r="I5495" s="101"/>
      <c r="K5495" s="226"/>
      <c r="L5495" s="226"/>
      <c r="M5495" s="101"/>
      <c r="N5495" s="101"/>
    </row>
    <row r="5496" spans="7:14" hidden="1" x14ac:dyDescent="0.3">
      <c r="G5496" s="101"/>
      <c r="H5496" s="101"/>
      <c r="I5496" s="101"/>
      <c r="K5496" s="226"/>
      <c r="L5496" s="226"/>
      <c r="M5496" s="101"/>
      <c r="N5496" s="101"/>
    </row>
    <row r="5497" spans="7:14" hidden="1" x14ac:dyDescent="0.3">
      <c r="G5497" s="101"/>
      <c r="H5497" s="101"/>
      <c r="I5497" s="101"/>
      <c r="K5497" s="226"/>
      <c r="L5497" s="226"/>
      <c r="M5497" s="101"/>
      <c r="N5497" s="101"/>
    </row>
    <row r="5498" spans="7:14" hidden="1" x14ac:dyDescent="0.3">
      <c r="G5498" s="101"/>
      <c r="H5498" s="101"/>
      <c r="I5498" s="101"/>
      <c r="K5498" s="226"/>
      <c r="L5498" s="226"/>
      <c r="M5498" s="101"/>
      <c r="N5498" s="101"/>
    </row>
    <row r="5499" spans="7:14" hidden="1" x14ac:dyDescent="0.3">
      <c r="G5499" s="101"/>
      <c r="H5499" s="101"/>
      <c r="I5499" s="101"/>
      <c r="K5499" s="226"/>
      <c r="L5499" s="226"/>
      <c r="M5499" s="101"/>
      <c r="N5499" s="101"/>
    </row>
    <row r="5500" spans="7:14" hidden="1" x14ac:dyDescent="0.3">
      <c r="G5500" s="101"/>
      <c r="H5500" s="101"/>
      <c r="I5500" s="101"/>
      <c r="K5500" s="226"/>
      <c r="L5500" s="226"/>
      <c r="M5500" s="101"/>
      <c r="N5500" s="101"/>
    </row>
    <row r="5501" spans="7:14" hidden="1" x14ac:dyDescent="0.3">
      <c r="G5501" s="101"/>
      <c r="H5501" s="101"/>
      <c r="I5501" s="101"/>
      <c r="K5501" s="226"/>
      <c r="L5501" s="226"/>
      <c r="M5501" s="101"/>
      <c r="N5501" s="101"/>
    </row>
    <row r="5502" spans="7:14" hidden="1" x14ac:dyDescent="0.3">
      <c r="G5502" s="101"/>
      <c r="H5502" s="101"/>
      <c r="I5502" s="101"/>
      <c r="K5502" s="226"/>
      <c r="L5502" s="226"/>
      <c r="M5502" s="101"/>
      <c r="N5502" s="101"/>
    </row>
    <row r="5503" spans="7:14" hidden="1" x14ac:dyDescent="0.3">
      <c r="G5503" s="101"/>
      <c r="H5503" s="101"/>
      <c r="I5503" s="101"/>
      <c r="K5503" s="226"/>
      <c r="L5503" s="226"/>
      <c r="M5503" s="101"/>
      <c r="N5503" s="101"/>
    </row>
    <row r="5504" spans="7:14" hidden="1" x14ac:dyDescent="0.3">
      <c r="G5504" s="101"/>
      <c r="H5504" s="101"/>
      <c r="I5504" s="101"/>
      <c r="K5504" s="226"/>
      <c r="L5504" s="226"/>
      <c r="M5504" s="101"/>
      <c r="N5504" s="101"/>
    </row>
    <row r="5505" spans="7:14" hidden="1" x14ac:dyDescent="0.3">
      <c r="G5505" s="101"/>
      <c r="H5505" s="101"/>
      <c r="I5505" s="101"/>
      <c r="K5505" s="226"/>
      <c r="L5505" s="226"/>
      <c r="M5505" s="101"/>
      <c r="N5505" s="101"/>
    </row>
    <row r="5506" spans="7:14" hidden="1" x14ac:dyDescent="0.3">
      <c r="G5506" s="101"/>
      <c r="H5506" s="101"/>
      <c r="I5506" s="101"/>
      <c r="K5506" s="226"/>
      <c r="L5506" s="226"/>
      <c r="M5506" s="101"/>
      <c r="N5506" s="101"/>
    </row>
    <row r="5507" spans="7:14" hidden="1" x14ac:dyDescent="0.3">
      <c r="G5507" s="101"/>
      <c r="H5507" s="101"/>
      <c r="I5507" s="101"/>
      <c r="K5507" s="226"/>
      <c r="L5507" s="226"/>
      <c r="M5507" s="101"/>
      <c r="N5507" s="101"/>
    </row>
    <row r="5508" spans="7:14" hidden="1" x14ac:dyDescent="0.3">
      <c r="G5508" s="101"/>
      <c r="H5508" s="101"/>
      <c r="I5508" s="101"/>
      <c r="K5508" s="226"/>
      <c r="L5508" s="226"/>
      <c r="M5508" s="101"/>
      <c r="N5508" s="101"/>
    </row>
    <row r="5509" spans="7:14" hidden="1" x14ac:dyDescent="0.3">
      <c r="G5509" s="101"/>
      <c r="H5509" s="101"/>
      <c r="I5509" s="101"/>
      <c r="K5509" s="226"/>
      <c r="L5509" s="226"/>
      <c r="M5509" s="101"/>
      <c r="N5509" s="101"/>
    </row>
    <row r="5510" spans="7:14" hidden="1" x14ac:dyDescent="0.3">
      <c r="G5510" s="101"/>
      <c r="H5510" s="101"/>
      <c r="I5510" s="101"/>
      <c r="K5510" s="226"/>
      <c r="L5510" s="226"/>
      <c r="M5510" s="101"/>
      <c r="N5510" s="101"/>
    </row>
    <row r="5511" spans="7:14" hidden="1" x14ac:dyDescent="0.3">
      <c r="G5511" s="101"/>
      <c r="H5511" s="101"/>
      <c r="I5511" s="101"/>
      <c r="K5511" s="226"/>
      <c r="L5511" s="226"/>
      <c r="M5511" s="101"/>
      <c r="N5511" s="101"/>
    </row>
    <row r="5512" spans="7:14" hidden="1" x14ac:dyDescent="0.3">
      <c r="G5512" s="101"/>
      <c r="H5512" s="101"/>
      <c r="I5512" s="101"/>
      <c r="K5512" s="226"/>
      <c r="L5512" s="226"/>
      <c r="M5512" s="101"/>
      <c r="N5512" s="101"/>
    </row>
    <row r="5513" spans="7:14" hidden="1" x14ac:dyDescent="0.3">
      <c r="G5513" s="101"/>
      <c r="H5513" s="101"/>
      <c r="I5513" s="101"/>
      <c r="K5513" s="226"/>
      <c r="L5513" s="226"/>
      <c r="M5513" s="101"/>
      <c r="N5513" s="101"/>
    </row>
    <row r="5514" spans="7:14" hidden="1" x14ac:dyDescent="0.3">
      <c r="G5514" s="101"/>
      <c r="H5514" s="101"/>
      <c r="I5514" s="101"/>
      <c r="K5514" s="226"/>
      <c r="L5514" s="226"/>
      <c r="M5514" s="101"/>
      <c r="N5514" s="101"/>
    </row>
    <row r="5515" spans="7:14" hidden="1" x14ac:dyDescent="0.3">
      <c r="G5515" s="101"/>
      <c r="H5515" s="101"/>
      <c r="I5515" s="101"/>
      <c r="K5515" s="226"/>
      <c r="L5515" s="226"/>
      <c r="M5515" s="101"/>
      <c r="N5515" s="101"/>
    </row>
    <row r="5516" spans="7:14" hidden="1" x14ac:dyDescent="0.3">
      <c r="G5516" s="101"/>
      <c r="H5516" s="101"/>
      <c r="I5516" s="101"/>
      <c r="K5516" s="226"/>
      <c r="L5516" s="226"/>
      <c r="M5516" s="101"/>
      <c r="N5516" s="101"/>
    </row>
    <row r="5517" spans="7:14" hidden="1" x14ac:dyDescent="0.3">
      <c r="G5517" s="101"/>
      <c r="H5517" s="101"/>
      <c r="I5517" s="101"/>
      <c r="K5517" s="226"/>
      <c r="L5517" s="226"/>
      <c r="M5517" s="101"/>
      <c r="N5517" s="101"/>
    </row>
    <row r="5518" spans="7:14" hidden="1" x14ac:dyDescent="0.3">
      <c r="G5518" s="101"/>
      <c r="H5518" s="101"/>
      <c r="I5518" s="101"/>
      <c r="K5518" s="226"/>
      <c r="L5518" s="226"/>
      <c r="M5518" s="101"/>
      <c r="N5518" s="101"/>
    </row>
    <row r="5519" spans="7:14" hidden="1" x14ac:dyDescent="0.3">
      <c r="G5519" s="101"/>
      <c r="H5519" s="101"/>
      <c r="I5519" s="101"/>
      <c r="K5519" s="226"/>
      <c r="L5519" s="226"/>
      <c r="M5519" s="101"/>
      <c r="N5519" s="101"/>
    </row>
    <row r="5520" spans="7:14" hidden="1" x14ac:dyDescent="0.3">
      <c r="G5520" s="101"/>
      <c r="H5520" s="101"/>
      <c r="I5520" s="101"/>
      <c r="K5520" s="226"/>
      <c r="L5520" s="226"/>
      <c r="M5520" s="101"/>
      <c r="N5520" s="101"/>
    </row>
    <row r="5521" spans="7:14" hidden="1" x14ac:dyDescent="0.3">
      <c r="G5521" s="101"/>
      <c r="H5521" s="101"/>
      <c r="I5521" s="101"/>
      <c r="K5521" s="226"/>
      <c r="L5521" s="226"/>
      <c r="M5521" s="101"/>
      <c r="N5521" s="101"/>
    </row>
    <row r="5522" spans="7:14" hidden="1" x14ac:dyDescent="0.3">
      <c r="G5522" s="101"/>
      <c r="H5522" s="101"/>
      <c r="I5522" s="101"/>
      <c r="K5522" s="226"/>
      <c r="L5522" s="226"/>
      <c r="M5522" s="101"/>
      <c r="N5522" s="101"/>
    </row>
    <row r="5523" spans="7:14" hidden="1" x14ac:dyDescent="0.3">
      <c r="G5523" s="101"/>
      <c r="H5523" s="101"/>
      <c r="I5523" s="101"/>
      <c r="K5523" s="226"/>
      <c r="L5523" s="226"/>
      <c r="M5523" s="101"/>
      <c r="N5523" s="101"/>
    </row>
    <row r="5524" spans="7:14" hidden="1" x14ac:dyDescent="0.3">
      <c r="G5524" s="101"/>
      <c r="H5524" s="101"/>
      <c r="I5524" s="101"/>
      <c r="K5524" s="226"/>
      <c r="L5524" s="226"/>
      <c r="M5524" s="101"/>
      <c r="N5524" s="101"/>
    </row>
    <row r="5525" spans="7:14" hidden="1" x14ac:dyDescent="0.3">
      <c r="G5525" s="101"/>
      <c r="H5525" s="101"/>
      <c r="I5525" s="101"/>
      <c r="K5525" s="226"/>
      <c r="L5525" s="226"/>
      <c r="M5525" s="101"/>
      <c r="N5525" s="101"/>
    </row>
    <row r="5526" spans="7:14" hidden="1" x14ac:dyDescent="0.3">
      <c r="G5526" s="101"/>
      <c r="H5526" s="101"/>
      <c r="I5526" s="101"/>
      <c r="K5526" s="226"/>
      <c r="L5526" s="226"/>
      <c r="M5526" s="101"/>
      <c r="N5526" s="101"/>
    </row>
    <row r="5527" spans="7:14" hidden="1" x14ac:dyDescent="0.3">
      <c r="G5527" s="101"/>
      <c r="H5527" s="101"/>
      <c r="I5527" s="101"/>
      <c r="K5527" s="226"/>
      <c r="L5527" s="226"/>
      <c r="M5527" s="101"/>
      <c r="N5527" s="101"/>
    </row>
    <row r="5528" spans="7:14" hidden="1" x14ac:dyDescent="0.3">
      <c r="G5528" s="101"/>
      <c r="H5528" s="101"/>
      <c r="I5528" s="101"/>
      <c r="K5528" s="226"/>
      <c r="L5528" s="226"/>
      <c r="M5528" s="101"/>
      <c r="N5528" s="101"/>
    </row>
    <row r="5529" spans="7:14" hidden="1" x14ac:dyDescent="0.3">
      <c r="G5529" s="101"/>
      <c r="H5529" s="101"/>
      <c r="I5529" s="101"/>
      <c r="K5529" s="226"/>
      <c r="L5529" s="226"/>
      <c r="M5529" s="101"/>
      <c r="N5529" s="101"/>
    </row>
    <row r="5530" spans="7:14" hidden="1" x14ac:dyDescent="0.3">
      <c r="G5530" s="101"/>
      <c r="H5530" s="101"/>
      <c r="I5530" s="101"/>
      <c r="K5530" s="226"/>
      <c r="L5530" s="226"/>
      <c r="M5530" s="101"/>
      <c r="N5530" s="101"/>
    </row>
    <row r="5531" spans="7:14" hidden="1" x14ac:dyDescent="0.3">
      <c r="G5531" s="101"/>
      <c r="H5531" s="101"/>
      <c r="I5531" s="101"/>
      <c r="K5531" s="226"/>
      <c r="L5531" s="226"/>
      <c r="M5531" s="101"/>
      <c r="N5531" s="101"/>
    </row>
    <row r="5532" spans="7:14" hidden="1" x14ac:dyDescent="0.3">
      <c r="G5532" s="101"/>
      <c r="H5532" s="101"/>
      <c r="I5532" s="101"/>
      <c r="K5532" s="226"/>
      <c r="L5532" s="226"/>
      <c r="M5532" s="101"/>
      <c r="N5532" s="101"/>
    </row>
    <row r="5533" spans="7:14" hidden="1" x14ac:dyDescent="0.3">
      <c r="G5533" s="101"/>
      <c r="H5533" s="101"/>
      <c r="I5533" s="101"/>
      <c r="K5533" s="226"/>
      <c r="L5533" s="226"/>
      <c r="M5533" s="101"/>
      <c r="N5533" s="101"/>
    </row>
    <row r="5534" spans="7:14" hidden="1" x14ac:dyDescent="0.3">
      <c r="G5534" s="101"/>
      <c r="H5534" s="101"/>
      <c r="I5534" s="101"/>
      <c r="K5534" s="226"/>
      <c r="L5534" s="226"/>
      <c r="M5534" s="101"/>
      <c r="N5534" s="101"/>
    </row>
    <row r="5535" spans="7:14" hidden="1" x14ac:dyDescent="0.3">
      <c r="G5535" s="101"/>
      <c r="H5535" s="101"/>
      <c r="I5535" s="101"/>
      <c r="K5535" s="226"/>
      <c r="L5535" s="226"/>
      <c r="M5535" s="101"/>
      <c r="N5535" s="101"/>
    </row>
    <row r="5536" spans="7:14" hidden="1" x14ac:dyDescent="0.3">
      <c r="G5536" s="101"/>
      <c r="H5536" s="101"/>
      <c r="I5536" s="101"/>
      <c r="K5536" s="226"/>
      <c r="L5536" s="226"/>
      <c r="M5536" s="101"/>
      <c r="N5536" s="101"/>
    </row>
    <row r="5537" spans="7:14" hidden="1" x14ac:dyDescent="0.3">
      <c r="G5537" s="101"/>
      <c r="H5537" s="101"/>
      <c r="I5537" s="101"/>
      <c r="K5537" s="226"/>
      <c r="L5537" s="226"/>
      <c r="M5537" s="101"/>
      <c r="N5537" s="101"/>
    </row>
    <row r="5538" spans="7:14" hidden="1" x14ac:dyDescent="0.3">
      <c r="G5538" s="101"/>
      <c r="H5538" s="101"/>
      <c r="I5538" s="101"/>
      <c r="K5538" s="226"/>
      <c r="L5538" s="226"/>
      <c r="M5538" s="101"/>
      <c r="N5538" s="101"/>
    </row>
    <row r="5539" spans="7:14" hidden="1" x14ac:dyDescent="0.3">
      <c r="G5539" s="101"/>
      <c r="H5539" s="101"/>
      <c r="I5539" s="101"/>
      <c r="K5539" s="226"/>
      <c r="L5539" s="226"/>
      <c r="M5539" s="101"/>
      <c r="N5539" s="101"/>
    </row>
    <row r="5540" spans="7:14" hidden="1" x14ac:dyDescent="0.3">
      <c r="G5540" s="101"/>
      <c r="H5540" s="101"/>
      <c r="I5540" s="101"/>
      <c r="K5540" s="226"/>
      <c r="L5540" s="226"/>
      <c r="M5540" s="101"/>
      <c r="N5540" s="101"/>
    </row>
    <row r="5541" spans="7:14" hidden="1" x14ac:dyDescent="0.3">
      <c r="G5541" s="101"/>
      <c r="H5541" s="101"/>
      <c r="I5541" s="101"/>
      <c r="K5541" s="226"/>
      <c r="L5541" s="226"/>
      <c r="M5541" s="101"/>
      <c r="N5541" s="101"/>
    </row>
    <row r="5542" spans="7:14" hidden="1" x14ac:dyDescent="0.3">
      <c r="G5542" s="101"/>
      <c r="H5542" s="101"/>
      <c r="I5542" s="101"/>
      <c r="K5542" s="226"/>
      <c r="L5542" s="226"/>
      <c r="M5542" s="101"/>
      <c r="N5542" s="101"/>
    </row>
    <row r="5543" spans="7:14" hidden="1" x14ac:dyDescent="0.3">
      <c r="G5543" s="101"/>
      <c r="H5543" s="101"/>
      <c r="I5543" s="101"/>
      <c r="K5543" s="226"/>
      <c r="L5543" s="226"/>
      <c r="M5543" s="101"/>
      <c r="N5543" s="101"/>
    </row>
    <row r="5544" spans="7:14" hidden="1" x14ac:dyDescent="0.3">
      <c r="G5544" s="101"/>
      <c r="H5544" s="101"/>
      <c r="I5544" s="101"/>
      <c r="K5544" s="226"/>
      <c r="L5544" s="226"/>
      <c r="M5544" s="101"/>
      <c r="N5544" s="101"/>
    </row>
    <row r="5545" spans="7:14" hidden="1" x14ac:dyDescent="0.3">
      <c r="G5545" s="101"/>
      <c r="H5545" s="101"/>
      <c r="I5545" s="101"/>
      <c r="K5545" s="226"/>
      <c r="L5545" s="226"/>
      <c r="M5545" s="101"/>
      <c r="N5545" s="101"/>
    </row>
    <row r="5546" spans="7:14" hidden="1" x14ac:dyDescent="0.3">
      <c r="G5546" s="101"/>
      <c r="H5546" s="101"/>
      <c r="I5546" s="101"/>
      <c r="K5546" s="226"/>
      <c r="L5546" s="226"/>
      <c r="M5546" s="101"/>
      <c r="N5546" s="101"/>
    </row>
    <row r="5547" spans="7:14" hidden="1" x14ac:dyDescent="0.3">
      <c r="G5547" s="101"/>
      <c r="H5547" s="101"/>
      <c r="I5547" s="101"/>
      <c r="K5547" s="226"/>
      <c r="L5547" s="226"/>
      <c r="M5547" s="101"/>
      <c r="N5547" s="101"/>
    </row>
    <row r="5548" spans="7:14" hidden="1" x14ac:dyDescent="0.3">
      <c r="G5548" s="101"/>
      <c r="H5548" s="101"/>
      <c r="I5548" s="101"/>
      <c r="K5548" s="226"/>
      <c r="L5548" s="226"/>
      <c r="M5548" s="101"/>
      <c r="N5548" s="101"/>
    </row>
    <row r="5549" spans="7:14" hidden="1" x14ac:dyDescent="0.3">
      <c r="G5549" s="101"/>
      <c r="H5549" s="101"/>
      <c r="I5549" s="101"/>
      <c r="K5549" s="226"/>
      <c r="L5549" s="226"/>
      <c r="M5549" s="101"/>
      <c r="N5549" s="101"/>
    </row>
    <row r="5550" spans="7:14" hidden="1" x14ac:dyDescent="0.3">
      <c r="G5550" s="101"/>
      <c r="H5550" s="101"/>
      <c r="I5550" s="101"/>
      <c r="K5550" s="226"/>
      <c r="L5550" s="226"/>
      <c r="M5550" s="101"/>
      <c r="N5550" s="101"/>
    </row>
    <row r="5551" spans="7:14" hidden="1" x14ac:dyDescent="0.3">
      <c r="G5551" s="101"/>
      <c r="H5551" s="101"/>
      <c r="I5551" s="101"/>
      <c r="K5551" s="226"/>
      <c r="L5551" s="226"/>
      <c r="M5551" s="101"/>
      <c r="N5551" s="101"/>
    </row>
    <row r="5552" spans="7:14" hidden="1" x14ac:dyDescent="0.3">
      <c r="G5552" s="101"/>
      <c r="H5552" s="101"/>
      <c r="I5552" s="101"/>
      <c r="K5552" s="226"/>
      <c r="L5552" s="226"/>
      <c r="M5552" s="101"/>
      <c r="N5552" s="101"/>
    </row>
    <row r="5553" spans="7:14" hidden="1" x14ac:dyDescent="0.3">
      <c r="G5553" s="101"/>
      <c r="H5553" s="101"/>
      <c r="I5553" s="101"/>
      <c r="K5553" s="226"/>
      <c r="L5553" s="226"/>
      <c r="M5553" s="101"/>
      <c r="N5553" s="101"/>
    </row>
    <row r="5554" spans="7:14" hidden="1" x14ac:dyDescent="0.3">
      <c r="G5554" s="101"/>
      <c r="H5554" s="101"/>
      <c r="I5554" s="101"/>
      <c r="K5554" s="226"/>
      <c r="L5554" s="226"/>
      <c r="M5554" s="101"/>
      <c r="N5554" s="101"/>
    </row>
    <row r="5555" spans="7:14" hidden="1" x14ac:dyDescent="0.3">
      <c r="G5555" s="101"/>
      <c r="H5555" s="101"/>
      <c r="I5555" s="101"/>
      <c r="K5555" s="226"/>
      <c r="L5555" s="226"/>
      <c r="M5555" s="101"/>
      <c r="N5555" s="101"/>
    </row>
    <row r="5556" spans="7:14" hidden="1" x14ac:dyDescent="0.3">
      <c r="G5556" s="101"/>
      <c r="H5556" s="101"/>
      <c r="I5556" s="101"/>
      <c r="K5556" s="226"/>
      <c r="L5556" s="226"/>
      <c r="M5556" s="101"/>
      <c r="N5556" s="101"/>
    </row>
    <row r="5557" spans="7:14" hidden="1" x14ac:dyDescent="0.3">
      <c r="G5557" s="101"/>
      <c r="H5557" s="101"/>
      <c r="I5557" s="101"/>
      <c r="K5557" s="226"/>
      <c r="L5557" s="226"/>
      <c r="M5557" s="101"/>
      <c r="N5557" s="101"/>
    </row>
    <row r="5558" spans="7:14" hidden="1" x14ac:dyDescent="0.3">
      <c r="G5558" s="101"/>
      <c r="H5558" s="101"/>
      <c r="I5558" s="101"/>
      <c r="K5558" s="226"/>
      <c r="L5558" s="226"/>
      <c r="M5558" s="101"/>
      <c r="N5558" s="101"/>
    </row>
    <row r="5559" spans="7:14" hidden="1" x14ac:dyDescent="0.3">
      <c r="G5559" s="101"/>
      <c r="H5559" s="101"/>
      <c r="I5559" s="101"/>
      <c r="K5559" s="226"/>
      <c r="L5559" s="226"/>
      <c r="M5559" s="101"/>
      <c r="N5559" s="101"/>
    </row>
    <row r="5560" spans="7:14" hidden="1" x14ac:dyDescent="0.3">
      <c r="G5560" s="101"/>
      <c r="H5560" s="101"/>
      <c r="I5560" s="101"/>
      <c r="K5560" s="226"/>
      <c r="L5560" s="226"/>
      <c r="M5560" s="101"/>
      <c r="N5560" s="101"/>
    </row>
    <row r="5561" spans="7:14" hidden="1" x14ac:dyDescent="0.3">
      <c r="G5561" s="101"/>
      <c r="H5561" s="101"/>
      <c r="I5561" s="101"/>
      <c r="K5561" s="226"/>
      <c r="L5561" s="226"/>
      <c r="M5561" s="101"/>
      <c r="N5561" s="101"/>
    </row>
    <row r="5562" spans="7:14" hidden="1" x14ac:dyDescent="0.3">
      <c r="G5562" s="101"/>
      <c r="H5562" s="101"/>
      <c r="I5562" s="101"/>
      <c r="K5562" s="226"/>
      <c r="L5562" s="226"/>
      <c r="M5562" s="101"/>
      <c r="N5562" s="101"/>
    </row>
    <row r="5563" spans="7:14" hidden="1" x14ac:dyDescent="0.3">
      <c r="G5563" s="101"/>
      <c r="H5563" s="101"/>
      <c r="I5563" s="101"/>
      <c r="K5563" s="226"/>
      <c r="L5563" s="226"/>
      <c r="M5563" s="101"/>
      <c r="N5563" s="101"/>
    </row>
    <row r="5564" spans="7:14" hidden="1" x14ac:dyDescent="0.3">
      <c r="G5564" s="101"/>
      <c r="H5564" s="101"/>
      <c r="I5564" s="101"/>
      <c r="K5564" s="226"/>
      <c r="L5564" s="226"/>
      <c r="M5564" s="101"/>
      <c r="N5564" s="101"/>
    </row>
    <row r="5565" spans="7:14" hidden="1" x14ac:dyDescent="0.3">
      <c r="G5565" s="101"/>
      <c r="H5565" s="101"/>
      <c r="I5565" s="101"/>
      <c r="K5565" s="226"/>
      <c r="L5565" s="226"/>
      <c r="M5565" s="101"/>
      <c r="N5565" s="101"/>
    </row>
    <row r="5566" spans="7:14" hidden="1" x14ac:dyDescent="0.3">
      <c r="G5566" s="101"/>
      <c r="H5566" s="101"/>
      <c r="I5566" s="101"/>
      <c r="K5566" s="226"/>
      <c r="L5566" s="226"/>
      <c r="M5566" s="101"/>
      <c r="N5566" s="101"/>
    </row>
    <row r="5567" spans="7:14" hidden="1" x14ac:dyDescent="0.3">
      <c r="G5567" s="101"/>
      <c r="H5567" s="101"/>
      <c r="I5567" s="101"/>
      <c r="K5567" s="226"/>
      <c r="L5567" s="226"/>
      <c r="M5567" s="101"/>
      <c r="N5567" s="101"/>
    </row>
    <row r="5568" spans="7:14" hidden="1" x14ac:dyDescent="0.3">
      <c r="G5568" s="101"/>
      <c r="H5568" s="101"/>
      <c r="I5568" s="101"/>
      <c r="K5568" s="226"/>
      <c r="L5568" s="226"/>
      <c r="M5568" s="101"/>
      <c r="N5568" s="101"/>
    </row>
    <row r="5569" spans="7:14" hidden="1" x14ac:dyDescent="0.3">
      <c r="G5569" s="101"/>
      <c r="H5569" s="101"/>
      <c r="I5569" s="101"/>
      <c r="K5569" s="226"/>
      <c r="L5569" s="226"/>
      <c r="M5569" s="101"/>
      <c r="N5569" s="101"/>
    </row>
    <row r="5570" spans="7:14" hidden="1" x14ac:dyDescent="0.3">
      <c r="G5570" s="101"/>
      <c r="H5570" s="101"/>
      <c r="I5570" s="101"/>
      <c r="K5570" s="226"/>
      <c r="L5570" s="226"/>
      <c r="M5570" s="101"/>
      <c r="N5570" s="101"/>
    </row>
    <row r="5571" spans="7:14" hidden="1" x14ac:dyDescent="0.3">
      <c r="G5571" s="101"/>
      <c r="H5571" s="101"/>
      <c r="I5571" s="101"/>
      <c r="K5571" s="226"/>
      <c r="L5571" s="226"/>
      <c r="M5571" s="101"/>
      <c r="N5571" s="101"/>
    </row>
    <row r="5572" spans="7:14" hidden="1" x14ac:dyDescent="0.3">
      <c r="G5572" s="101"/>
      <c r="H5572" s="101"/>
      <c r="I5572" s="101"/>
      <c r="K5572" s="226"/>
      <c r="L5572" s="226"/>
      <c r="M5572" s="101"/>
      <c r="N5572" s="101"/>
    </row>
    <row r="5573" spans="7:14" hidden="1" x14ac:dyDescent="0.3">
      <c r="G5573" s="101"/>
      <c r="H5573" s="101"/>
      <c r="I5573" s="101"/>
      <c r="K5573" s="226"/>
      <c r="L5573" s="226"/>
      <c r="M5573" s="101"/>
      <c r="N5573" s="101"/>
    </row>
    <row r="5574" spans="7:14" hidden="1" x14ac:dyDescent="0.3">
      <c r="G5574" s="101"/>
      <c r="H5574" s="101"/>
      <c r="I5574" s="101"/>
      <c r="K5574" s="226"/>
      <c r="L5574" s="226"/>
      <c r="M5574" s="101"/>
      <c r="N5574" s="101"/>
    </row>
    <row r="5575" spans="7:14" hidden="1" x14ac:dyDescent="0.3">
      <c r="G5575" s="101"/>
      <c r="H5575" s="101"/>
      <c r="I5575" s="101"/>
      <c r="K5575" s="226"/>
      <c r="L5575" s="226"/>
      <c r="M5575" s="101"/>
      <c r="N5575" s="101"/>
    </row>
    <row r="5576" spans="7:14" hidden="1" x14ac:dyDescent="0.3">
      <c r="G5576" s="101"/>
      <c r="H5576" s="101"/>
      <c r="I5576" s="101"/>
      <c r="K5576" s="226"/>
      <c r="L5576" s="226"/>
      <c r="M5576" s="101"/>
      <c r="N5576" s="101"/>
    </row>
    <row r="5577" spans="7:14" hidden="1" x14ac:dyDescent="0.3">
      <c r="G5577" s="101"/>
      <c r="H5577" s="101"/>
      <c r="I5577" s="101"/>
      <c r="K5577" s="226"/>
      <c r="L5577" s="226"/>
      <c r="M5577" s="101"/>
      <c r="N5577" s="101"/>
    </row>
    <row r="5578" spans="7:14" hidden="1" x14ac:dyDescent="0.3">
      <c r="G5578" s="101"/>
      <c r="H5578" s="101"/>
      <c r="I5578" s="101"/>
      <c r="K5578" s="226"/>
      <c r="L5578" s="226"/>
      <c r="M5578" s="101"/>
      <c r="N5578" s="101"/>
    </row>
    <row r="5579" spans="7:14" hidden="1" x14ac:dyDescent="0.3">
      <c r="G5579" s="101"/>
      <c r="H5579" s="101"/>
      <c r="I5579" s="101"/>
      <c r="K5579" s="226"/>
      <c r="L5579" s="226"/>
      <c r="M5579" s="101"/>
      <c r="N5579" s="101"/>
    </row>
    <row r="5580" spans="7:14" hidden="1" x14ac:dyDescent="0.3">
      <c r="G5580" s="101"/>
      <c r="H5580" s="101"/>
      <c r="I5580" s="101"/>
      <c r="K5580" s="226"/>
      <c r="L5580" s="226"/>
      <c r="M5580" s="101"/>
      <c r="N5580" s="101"/>
    </row>
    <row r="5581" spans="7:14" hidden="1" x14ac:dyDescent="0.3">
      <c r="G5581" s="101"/>
      <c r="H5581" s="101"/>
      <c r="I5581" s="101"/>
      <c r="K5581" s="226"/>
      <c r="L5581" s="226"/>
      <c r="M5581" s="101"/>
      <c r="N5581" s="101"/>
    </row>
    <row r="5582" spans="7:14" hidden="1" x14ac:dyDescent="0.3">
      <c r="G5582" s="101"/>
      <c r="H5582" s="101"/>
      <c r="I5582" s="101"/>
      <c r="K5582" s="226"/>
      <c r="L5582" s="226"/>
      <c r="M5582" s="101"/>
      <c r="N5582" s="101"/>
    </row>
    <row r="5583" spans="7:14" hidden="1" x14ac:dyDescent="0.3">
      <c r="G5583" s="101"/>
      <c r="H5583" s="101"/>
      <c r="I5583" s="101"/>
      <c r="K5583" s="226"/>
      <c r="L5583" s="226"/>
      <c r="M5583" s="101"/>
      <c r="N5583" s="101"/>
    </row>
    <row r="5584" spans="7:14" hidden="1" x14ac:dyDescent="0.3">
      <c r="G5584" s="101"/>
      <c r="H5584" s="101"/>
      <c r="I5584" s="101"/>
      <c r="K5584" s="226"/>
      <c r="L5584" s="226"/>
      <c r="M5584" s="101"/>
      <c r="N5584" s="101"/>
    </row>
    <row r="5585" spans="7:14" hidden="1" x14ac:dyDescent="0.3">
      <c r="G5585" s="101"/>
      <c r="H5585" s="101"/>
      <c r="I5585" s="101"/>
      <c r="K5585" s="226"/>
      <c r="L5585" s="226"/>
      <c r="M5585" s="101"/>
      <c r="N5585" s="101"/>
    </row>
    <row r="5586" spans="7:14" hidden="1" x14ac:dyDescent="0.3">
      <c r="G5586" s="101"/>
      <c r="H5586" s="101"/>
      <c r="I5586" s="101"/>
      <c r="K5586" s="226"/>
      <c r="L5586" s="226"/>
      <c r="M5586" s="101"/>
      <c r="N5586" s="101"/>
    </row>
    <row r="5587" spans="7:14" hidden="1" x14ac:dyDescent="0.3">
      <c r="G5587" s="101"/>
      <c r="H5587" s="101"/>
      <c r="I5587" s="101"/>
      <c r="K5587" s="226"/>
      <c r="L5587" s="226"/>
      <c r="M5587" s="101"/>
      <c r="N5587" s="101"/>
    </row>
    <row r="5588" spans="7:14" hidden="1" x14ac:dyDescent="0.3">
      <c r="G5588" s="101"/>
      <c r="H5588" s="101"/>
      <c r="I5588" s="101"/>
      <c r="K5588" s="226"/>
      <c r="L5588" s="226"/>
      <c r="M5588" s="101"/>
      <c r="N5588" s="101"/>
    </row>
    <row r="5589" spans="7:14" hidden="1" x14ac:dyDescent="0.3">
      <c r="G5589" s="101"/>
      <c r="H5589" s="101"/>
      <c r="I5589" s="101"/>
      <c r="K5589" s="226"/>
      <c r="L5589" s="226"/>
      <c r="M5589" s="101"/>
      <c r="N5589" s="101"/>
    </row>
    <row r="5590" spans="7:14" hidden="1" x14ac:dyDescent="0.3">
      <c r="G5590" s="101"/>
      <c r="H5590" s="101"/>
      <c r="I5590" s="101"/>
      <c r="K5590" s="226"/>
      <c r="L5590" s="226"/>
      <c r="M5590" s="101"/>
      <c r="N5590" s="101"/>
    </row>
    <row r="5591" spans="7:14" hidden="1" x14ac:dyDescent="0.3">
      <c r="G5591" s="101"/>
      <c r="H5591" s="101"/>
      <c r="I5591" s="101"/>
      <c r="K5591" s="226"/>
      <c r="L5591" s="226"/>
      <c r="M5591" s="101"/>
      <c r="N5591" s="101"/>
    </row>
    <row r="5592" spans="7:14" hidden="1" x14ac:dyDescent="0.3">
      <c r="G5592" s="101"/>
      <c r="H5592" s="101"/>
      <c r="I5592" s="101"/>
      <c r="K5592" s="226"/>
      <c r="L5592" s="226"/>
      <c r="M5592" s="101"/>
      <c r="N5592" s="101"/>
    </row>
    <row r="5593" spans="7:14" hidden="1" x14ac:dyDescent="0.3">
      <c r="G5593" s="101"/>
      <c r="H5593" s="101"/>
      <c r="I5593" s="101"/>
      <c r="K5593" s="226"/>
      <c r="L5593" s="226"/>
      <c r="M5593" s="101"/>
      <c r="N5593" s="101"/>
    </row>
    <row r="5594" spans="7:14" hidden="1" x14ac:dyDescent="0.3">
      <c r="G5594" s="101"/>
      <c r="H5594" s="101"/>
      <c r="I5594" s="101"/>
      <c r="K5594" s="226"/>
      <c r="L5594" s="226"/>
      <c r="M5594" s="101"/>
      <c r="N5594" s="101"/>
    </row>
    <row r="5595" spans="7:14" hidden="1" x14ac:dyDescent="0.3">
      <c r="G5595" s="101"/>
      <c r="H5595" s="101"/>
      <c r="I5595" s="101"/>
      <c r="K5595" s="226"/>
      <c r="L5595" s="226"/>
      <c r="M5595" s="101"/>
      <c r="N5595" s="101"/>
    </row>
    <row r="5596" spans="7:14" hidden="1" x14ac:dyDescent="0.3">
      <c r="G5596" s="101"/>
      <c r="H5596" s="101"/>
      <c r="I5596" s="101"/>
      <c r="K5596" s="226"/>
      <c r="L5596" s="226"/>
      <c r="M5596" s="101"/>
      <c r="N5596" s="101"/>
    </row>
    <row r="5597" spans="7:14" hidden="1" x14ac:dyDescent="0.3">
      <c r="G5597" s="101"/>
      <c r="H5597" s="101"/>
      <c r="I5597" s="101"/>
      <c r="K5597" s="226"/>
      <c r="L5597" s="226"/>
      <c r="M5597" s="101"/>
      <c r="N5597" s="101"/>
    </row>
    <row r="5598" spans="7:14" hidden="1" x14ac:dyDescent="0.3">
      <c r="G5598" s="101"/>
      <c r="H5598" s="101"/>
      <c r="I5598" s="101"/>
      <c r="K5598" s="226"/>
      <c r="L5598" s="226"/>
      <c r="M5598" s="101"/>
      <c r="N5598" s="101"/>
    </row>
    <row r="5599" spans="7:14" hidden="1" x14ac:dyDescent="0.3">
      <c r="G5599" s="101"/>
      <c r="H5599" s="101"/>
      <c r="I5599" s="101"/>
      <c r="K5599" s="226"/>
      <c r="L5599" s="226"/>
      <c r="M5599" s="101"/>
      <c r="N5599" s="101"/>
    </row>
    <row r="5600" spans="7:14" hidden="1" x14ac:dyDescent="0.3">
      <c r="G5600" s="101"/>
      <c r="H5600" s="101"/>
      <c r="I5600" s="101"/>
      <c r="K5600" s="226"/>
      <c r="L5600" s="226"/>
      <c r="M5600" s="101"/>
      <c r="N5600" s="101"/>
    </row>
    <row r="5601" spans="7:14" hidden="1" x14ac:dyDescent="0.3">
      <c r="G5601" s="101"/>
      <c r="H5601" s="101"/>
      <c r="I5601" s="101"/>
      <c r="K5601" s="226"/>
      <c r="L5601" s="226"/>
      <c r="M5601" s="101"/>
      <c r="N5601" s="101"/>
    </row>
    <row r="5602" spans="7:14" hidden="1" x14ac:dyDescent="0.3">
      <c r="G5602" s="101"/>
      <c r="H5602" s="101"/>
      <c r="I5602" s="101"/>
      <c r="K5602" s="226"/>
      <c r="L5602" s="226"/>
      <c r="M5602" s="101"/>
      <c r="N5602" s="101"/>
    </row>
    <row r="5603" spans="7:14" hidden="1" x14ac:dyDescent="0.3">
      <c r="G5603" s="101"/>
      <c r="H5603" s="101"/>
      <c r="I5603" s="101"/>
      <c r="K5603" s="226"/>
      <c r="L5603" s="226"/>
      <c r="M5603" s="101"/>
      <c r="N5603" s="101"/>
    </row>
    <row r="5604" spans="7:14" hidden="1" x14ac:dyDescent="0.3">
      <c r="G5604" s="101"/>
      <c r="H5604" s="101"/>
      <c r="I5604" s="101"/>
      <c r="K5604" s="226"/>
      <c r="L5604" s="226"/>
      <c r="M5604" s="101"/>
      <c r="N5604" s="101"/>
    </row>
    <row r="5605" spans="7:14" hidden="1" x14ac:dyDescent="0.3">
      <c r="G5605" s="101"/>
      <c r="H5605" s="101"/>
      <c r="I5605" s="101"/>
      <c r="K5605" s="226"/>
      <c r="L5605" s="226"/>
      <c r="M5605" s="101"/>
      <c r="N5605" s="101"/>
    </row>
    <row r="5606" spans="7:14" hidden="1" x14ac:dyDescent="0.3">
      <c r="G5606" s="101"/>
      <c r="H5606" s="101"/>
      <c r="I5606" s="101"/>
      <c r="K5606" s="226"/>
      <c r="L5606" s="226"/>
      <c r="M5606" s="101"/>
      <c r="N5606" s="101"/>
    </row>
    <row r="5607" spans="7:14" hidden="1" x14ac:dyDescent="0.3">
      <c r="G5607" s="101"/>
      <c r="H5607" s="101"/>
      <c r="I5607" s="101"/>
      <c r="K5607" s="226"/>
      <c r="L5607" s="226"/>
      <c r="M5607" s="101"/>
      <c r="N5607" s="101"/>
    </row>
    <row r="5608" spans="7:14" hidden="1" x14ac:dyDescent="0.3">
      <c r="G5608" s="101"/>
      <c r="H5608" s="101"/>
      <c r="I5608" s="101"/>
      <c r="K5608" s="226"/>
      <c r="L5608" s="226"/>
      <c r="M5608" s="101"/>
      <c r="N5608" s="101"/>
    </row>
    <row r="5609" spans="7:14" hidden="1" x14ac:dyDescent="0.3">
      <c r="G5609" s="101"/>
      <c r="H5609" s="101"/>
      <c r="I5609" s="101"/>
      <c r="K5609" s="226"/>
      <c r="L5609" s="226"/>
      <c r="M5609" s="101"/>
      <c r="N5609" s="101"/>
    </row>
    <row r="5610" spans="7:14" hidden="1" x14ac:dyDescent="0.3">
      <c r="G5610" s="101"/>
      <c r="H5610" s="101"/>
      <c r="I5610" s="101"/>
      <c r="K5610" s="226"/>
      <c r="L5610" s="226"/>
      <c r="M5610" s="101"/>
      <c r="N5610" s="101"/>
    </row>
    <row r="5611" spans="7:14" hidden="1" x14ac:dyDescent="0.3">
      <c r="G5611" s="101"/>
      <c r="H5611" s="101"/>
      <c r="I5611" s="101"/>
      <c r="K5611" s="226"/>
      <c r="L5611" s="226"/>
      <c r="M5611" s="101"/>
      <c r="N5611" s="101"/>
    </row>
    <row r="5612" spans="7:14" hidden="1" x14ac:dyDescent="0.3">
      <c r="G5612" s="101"/>
      <c r="H5612" s="101"/>
      <c r="I5612" s="101"/>
      <c r="K5612" s="226"/>
      <c r="L5612" s="226"/>
      <c r="M5612" s="101"/>
      <c r="N5612" s="101"/>
    </row>
    <row r="5613" spans="7:14" hidden="1" x14ac:dyDescent="0.3">
      <c r="G5613" s="101"/>
      <c r="H5613" s="101"/>
      <c r="I5613" s="101"/>
      <c r="K5613" s="226"/>
      <c r="L5613" s="226"/>
      <c r="M5613" s="101"/>
      <c r="N5613" s="101"/>
    </row>
    <row r="5614" spans="7:14" hidden="1" x14ac:dyDescent="0.3">
      <c r="G5614" s="101"/>
      <c r="H5614" s="101"/>
      <c r="I5614" s="101"/>
      <c r="K5614" s="226"/>
      <c r="L5614" s="226"/>
      <c r="M5614" s="101"/>
      <c r="N5614" s="101"/>
    </row>
    <row r="5615" spans="7:14" hidden="1" x14ac:dyDescent="0.3">
      <c r="G5615" s="101"/>
      <c r="H5615" s="101"/>
      <c r="I5615" s="101"/>
      <c r="K5615" s="226"/>
      <c r="L5615" s="226"/>
      <c r="M5615" s="101"/>
      <c r="N5615" s="101"/>
    </row>
    <row r="5616" spans="7:14" hidden="1" x14ac:dyDescent="0.3">
      <c r="G5616" s="101"/>
      <c r="H5616" s="101"/>
      <c r="I5616" s="101"/>
      <c r="K5616" s="226"/>
      <c r="L5616" s="226"/>
      <c r="M5616" s="101"/>
      <c r="N5616" s="101"/>
    </row>
    <row r="5617" spans="7:14" hidden="1" x14ac:dyDescent="0.3">
      <c r="G5617" s="101"/>
      <c r="H5617" s="101"/>
      <c r="I5617" s="101"/>
      <c r="K5617" s="226"/>
      <c r="L5617" s="226"/>
      <c r="M5617" s="101"/>
      <c r="N5617" s="101"/>
    </row>
    <row r="5618" spans="7:14" hidden="1" x14ac:dyDescent="0.3">
      <c r="G5618" s="101"/>
      <c r="H5618" s="101"/>
      <c r="I5618" s="101"/>
      <c r="K5618" s="226"/>
      <c r="L5618" s="226"/>
      <c r="M5618" s="101"/>
      <c r="N5618" s="101"/>
    </row>
    <row r="5619" spans="7:14" hidden="1" x14ac:dyDescent="0.3">
      <c r="G5619" s="101"/>
      <c r="H5619" s="101"/>
      <c r="I5619" s="101"/>
      <c r="K5619" s="226"/>
      <c r="L5619" s="226"/>
      <c r="M5619" s="101"/>
      <c r="N5619" s="101"/>
    </row>
    <row r="5620" spans="7:14" hidden="1" x14ac:dyDescent="0.3">
      <c r="G5620" s="101"/>
      <c r="H5620" s="101"/>
      <c r="I5620" s="101"/>
      <c r="K5620" s="226"/>
      <c r="L5620" s="226"/>
      <c r="M5620" s="101"/>
      <c r="N5620" s="101"/>
    </row>
    <row r="5621" spans="7:14" hidden="1" x14ac:dyDescent="0.3">
      <c r="G5621" s="101"/>
      <c r="H5621" s="101"/>
      <c r="I5621" s="101"/>
      <c r="K5621" s="226"/>
      <c r="L5621" s="226"/>
      <c r="M5621" s="101"/>
      <c r="N5621" s="101"/>
    </row>
    <row r="5622" spans="7:14" hidden="1" x14ac:dyDescent="0.3">
      <c r="G5622" s="101"/>
      <c r="H5622" s="101"/>
      <c r="I5622" s="101"/>
      <c r="K5622" s="226"/>
      <c r="L5622" s="226"/>
      <c r="M5622" s="101"/>
      <c r="N5622" s="101"/>
    </row>
    <row r="5623" spans="7:14" hidden="1" x14ac:dyDescent="0.3">
      <c r="G5623" s="101"/>
      <c r="H5623" s="101"/>
      <c r="I5623" s="101"/>
      <c r="K5623" s="226"/>
      <c r="L5623" s="226"/>
      <c r="M5623" s="101"/>
      <c r="N5623" s="101"/>
    </row>
    <row r="5624" spans="7:14" hidden="1" x14ac:dyDescent="0.3">
      <c r="G5624" s="101"/>
      <c r="H5624" s="101"/>
      <c r="I5624" s="101"/>
      <c r="K5624" s="226"/>
      <c r="L5624" s="226"/>
      <c r="M5624" s="101"/>
      <c r="N5624" s="101"/>
    </row>
    <row r="5625" spans="7:14" hidden="1" x14ac:dyDescent="0.3">
      <c r="G5625" s="101"/>
      <c r="H5625" s="101"/>
      <c r="I5625" s="101"/>
      <c r="K5625" s="226"/>
      <c r="L5625" s="226"/>
      <c r="M5625" s="101"/>
      <c r="N5625" s="101"/>
    </row>
    <row r="5626" spans="7:14" hidden="1" x14ac:dyDescent="0.3">
      <c r="G5626" s="101"/>
      <c r="H5626" s="101"/>
      <c r="I5626" s="101"/>
      <c r="K5626" s="226"/>
      <c r="L5626" s="226"/>
      <c r="M5626" s="101"/>
      <c r="N5626" s="101"/>
    </row>
    <row r="5627" spans="7:14" hidden="1" x14ac:dyDescent="0.3">
      <c r="G5627" s="101"/>
      <c r="H5627" s="101"/>
      <c r="I5627" s="101"/>
      <c r="K5627" s="226"/>
      <c r="L5627" s="226"/>
      <c r="M5627" s="101"/>
      <c r="N5627" s="101"/>
    </row>
    <row r="5628" spans="7:14" hidden="1" x14ac:dyDescent="0.3">
      <c r="G5628" s="101"/>
      <c r="H5628" s="101"/>
      <c r="I5628" s="101"/>
      <c r="K5628" s="226"/>
      <c r="L5628" s="226"/>
      <c r="M5628" s="101"/>
      <c r="N5628" s="101"/>
    </row>
    <row r="5629" spans="7:14" hidden="1" x14ac:dyDescent="0.3">
      <c r="G5629" s="101"/>
      <c r="H5629" s="101"/>
      <c r="I5629" s="101"/>
      <c r="K5629" s="226"/>
      <c r="L5629" s="226"/>
      <c r="M5629" s="101"/>
      <c r="N5629" s="101"/>
    </row>
    <row r="5630" spans="7:14" hidden="1" x14ac:dyDescent="0.3">
      <c r="G5630" s="101"/>
      <c r="H5630" s="101"/>
      <c r="I5630" s="101"/>
      <c r="K5630" s="226"/>
      <c r="L5630" s="226"/>
      <c r="M5630" s="101"/>
      <c r="N5630" s="101"/>
    </row>
    <row r="5631" spans="7:14" hidden="1" x14ac:dyDescent="0.3">
      <c r="G5631" s="101"/>
      <c r="H5631" s="101"/>
      <c r="I5631" s="101"/>
      <c r="K5631" s="226"/>
      <c r="L5631" s="226"/>
      <c r="M5631" s="101"/>
      <c r="N5631" s="101"/>
    </row>
    <row r="5632" spans="7:14" hidden="1" x14ac:dyDescent="0.3">
      <c r="G5632" s="101"/>
      <c r="H5632" s="101"/>
      <c r="I5632" s="101"/>
      <c r="K5632" s="226"/>
      <c r="L5632" s="226"/>
      <c r="M5632" s="101"/>
      <c r="N5632" s="101"/>
    </row>
    <row r="5633" spans="7:14" hidden="1" x14ac:dyDescent="0.3">
      <c r="G5633" s="101"/>
      <c r="H5633" s="101"/>
      <c r="I5633" s="101"/>
      <c r="K5633" s="226"/>
      <c r="L5633" s="226"/>
      <c r="M5633" s="101"/>
      <c r="N5633" s="101"/>
    </row>
    <row r="5634" spans="7:14" hidden="1" x14ac:dyDescent="0.3">
      <c r="G5634" s="101"/>
      <c r="H5634" s="101"/>
      <c r="I5634" s="101"/>
      <c r="K5634" s="226"/>
      <c r="L5634" s="226"/>
      <c r="M5634" s="101"/>
      <c r="N5634" s="101"/>
    </row>
    <row r="5635" spans="7:14" hidden="1" x14ac:dyDescent="0.3">
      <c r="G5635" s="101"/>
      <c r="H5635" s="101"/>
      <c r="I5635" s="101"/>
      <c r="K5635" s="226"/>
      <c r="L5635" s="226"/>
      <c r="M5635" s="101"/>
      <c r="N5635" s="101"/>
    </row>
    <row r="5636" spans="7:14" hidden="1" x14ac:dyDescent="0.3">
      <c r="G5636" s="101"/>
      <c r="H5636" s="101"/>
      <c r="I5636" s="101"/>
      <c r="K5636" s="226"/>
      <c r="L5636" s="226"/>
      <c r="M5636" s="101"/>
      <c r="N5636" s="101"/>
    </row>
    <row r="5637" spans="7:14" hidden="1" x14ac:dyDescent="0.3">
      <c r="G5637" s="101"/>
      <c r="H5637" s="101"/>
      <c r="I5637" s="101"/>
      <c r="K5637" s="226"/>
      <c r="L5637" s="226"/>
      <c r="M5637" s="101"/>
      <c r="N5637" s="101"/>
    </row>
    <row r="5638" spans="7:14" hidden="1" x14ac:dyDescent="0.3">
      <c r="G5638" s="101"/>
      <c r="H5638" s="101"/>
      <c r="I5638" s="101"/>
      <c r="K5638" s="226"/>
      <c r="L5638" s="226"/>
      <c r="M5638" s="101"/>
      <c r="N5638" s="101"/>
    </row>
    <row r="5639" spans="7:14" hidden="1" x14ac:dyDescent="0.3">
      <c r="G5639" s="101"/>
      <c r="H5639" s="101"/>
      <c r="I5639" s="101"/>
      <c r="K5639" s="226"/>
      <c r="L5639" s="226"/>
      <c r="M5639" s="101"/>
      <c r="N5639" s="101"/>
    </row>
    <row r="5640" spans="7:14" hidden="1" x14ac:dyDescent="0.3">
      <c r="G5640" s="101"/>
      <c r="H5640" s="101"/>
      <c r="I5640" s="101"/>
      <c r="K5640" s="226"/>
      <c r="L5640" s="226"/>
      <c r="M5640" s="101"/>
      <c r="N5640" s="101"/>
    </row>
    <row r="5641" spans="7:14" hidden="1" x14ac:dyDescent="0.3">
      <c r="G5641" s="101"/>
      <c r="H5641" s="101"/>
      <c r="I5641" s="101"/>
      <c r="K5641" s="226"/>
      <c r="L5641" s="226"/>
      <c r="M5641" s="101"/>
      <c r="N5641" s="101"/>
    </row>
    <row r="5642" spans="7:14" hidden="1" x14ac:dyDescent="0.3">
      <c r="G5642" s="101"/>
      <c r="H5642" s="101"/>
      <c r="I5642" s="101"/>
      <c r="K5642" s="226"/>
      <c r="L5642" s="226"/>
      <c r="M5642" s="101"/>
      <c r="N5642" s="101"/>
    </row>
    <row r="5643" spans="7:14" hidden="1" x14ac:dyDescent="0.3">
      <c r="G5643" s="101"/>
      <c r="H5643" s="101"/>
      <c r="I5643" s="101"/>
      <c r="K5643" s="226"/>
      <c r="L5643" s="226"/>
      <c r="M5643" s="101"/>
      <c r="N5643" s="101"/>
    </row>
    <row r="5644" spans="7:14" hidden="1" x14ac:dyDescent="0.3">
      <c r="G5644" s="101"/>
      <c r="H5644" s="101"/>
      <c r="I5644" s="101"/>
      <c r="K5644" s="226"/>
      <c r="L5644" s="226"/>
      <c r="M5644" s="101"/>
      <c r="N5644" s="101"/>
    </row>
    <row r="5645" spans="7:14" hidden="1" x14ac:dyDescent="0.3">
      <c r="G5645" s="101"/>
      <c r="H5645" s="101"/>
      <c r="I5645" s="101"/>
      <c r="K5645" s="226"/>
      <c r="L5645" s="226"/>
      <c r="M5645" s="101"/>
      <c r="N5645" s="101"/>
    </row>
    <row r="5646" spans="7:14" hidden="1" x14ac:dyDescent="0.3">
      <c r="G5646" s="101"/>
      <c r="H5646" s="101"/>
      <c r="I5646" s="101"/>
      <c r="K5646" s="226"/>
      <c r="L5646" s="226"/>
      <c r="M5646" s="101"/>
      <c r="N5646" s="101"/>
    </row>
    <row r="5647" spans="7:14" hidden="1" x14ac:dyDescent="0.3">
      <c r="G5647" s="101"/>
      <c r="H5647" s="101"/>
      <c r="I5647" s="101"/>
      <c r="K5647" s="226"/>
      <c r="L5647" s="226"/>
      <c r="M5647" s="101"/>
      <c r="N5647" s="101"/>
    </row>
    <row r="5648" spans="7:14" hidden="1" x14ac:dyDescent="0.3">
      <c r="G5648" s="101"/>
      <c r="H5648" s="101"/>
      <c r="I5648" s="101"/>
      <c r="K5648" s="226"/>
      <c r="L5648" s="226"/>
      <c r="M5648" s="101"/>
      <c r="N5648" s="101"/>
    </row>
    <row r="5649" spans="7:14" hidden="1" x14ac:dyDescent="0.3">
      <c r="G5649" s="101"/>
      <c r="H5649" s="101"/>
      <c r="I5649" s="101"/>
      <c r="K5649" s="226"/>
      <c r="L5649" s="226"/>
      <c r="M5649" s="101"/>
      <c r="N5649" s="101"/>
    </row>
    <row r="5650" spans="7:14" hidden="1" x14ac:dyDescent="0.3">
      <c r="G5650" s="101"/>
      <c r="H5650" s="101"/>
      <c r="I5650" s="101"/>
      <c r="K5650" s="226"/>
      <c r="L5650" s="226"/>
      <c r="M5650" s="101"/>
      <c r="N5650" s="101"/>
    </row>
    <row r="5651" spans="7:14" hidden="1" x14ac:dyDescent="0.3">
      <c r="G5651" s="101"/>
      <c r="H5651" s="101"/>
      <c r="I5651" s="101"/>
      <c r="K5651" s="226"/>
      <c r="L5651" s="226"/>
      <c r="M5651" s="101"/>
      <c r="N5651" s="101"/>
    </row>
    <row r="5652" spans="7:14" hidden="1" x14ac:dyDescent="0.3">
      <c r="G5652" s="101"/>
      <c r="H5652" s="101"/>
      <c r="I5652" s="101"/>
      <c r="K5652" s="226"/>
      <c r="L5652" s="226"/>
      <c r="M5652" s="101"/>
      <c r="N5652" s="101"/>
    </row>
    <row r="5653" spans="7:14" hidden="1" x14ac:dyDescent="0.3">
      <c r="G5653" s="101"/>
      <c r="H5653" s="101"/>
      <c r="I5653" s="101"/>
      <c r="K5653" s="226"/>
      <c r="L5653" s="226"/>
      <c r="M5653" s="101"/>
      <c r="N5653" s="101"/>
    </row>
    <row r="5654" spans="7:14" hidden="1" x14ac:dyDescent="0.3">
      <c r="G5654" s="101"/>
      <c r="H5654" s="101"/>
      <c r="I5654" s="101"/>
      <c r="K5654" s="226"/>
      <c r="L5654" s="226"/>
      <c r="M5654" s="101"/>
      <c r="N5654" s="101"/>
    </row>
    <row r="5655" spans="7:14" hidden="1" x14ac:dyDescent="0.3">
      <c r="G5655" s="101"/>
      <c r="H5655" s="101"/>
      <c r="I5655" s="101"/>
      <c r="K5655" s="226"/>
      <c r="L5655" s="226"/>
      <c r="M5655" s="101"/>
      <c r="N5655" s="101"/>
    </row>
    <row r="5656" spans="7:14" hidden="1" x14ac:dyDescent="0.3">
      <c r="G5656" s="101"/>
      <c r="H5656" s="101"/>
      <c r="I5656" s="101"/>
      <c r="K5656" s="226"/>
      <c r="L5656" s="226"/>
      <c r="M5656" s="101"/>
      <c r="N5656" s="101"/>
    </row>
    <row r="5657" spans="7:14" hidden="1" x14ac:dyDescent="0.3">
      <c r="G5657" s="101"/>
      <c r="H5657" s="101"/>
      <c r="I5657" s="101"/>
      <c r="K5657" s="226"/>
      <c r="L5657" s="226"/>
      <c r="M5657" s="101"/>
      <c r="N5657" s="101"/>
    </row>
    <row r="5658" spans="7:14" hidden="1" x14ac:dyDescent="0.3">
      <c r="G5658" s="101"/>
      <c r="H5658" s="101"/>
      <c r="I5658" s="101"/>
      <c r="K5658" s="226"/>
      <c r="L5658" s="226"/>
      <c r="M5658" s="101"/>
      <c r="N5658" s="101"/>
    </row>
    <row r="5659" spans="7:14" hidden="1" x14ac:dyDescent="0.3">
      <c r="G5659" s="101"/>
      <c r="H5659" s="101"/>
      <c r="I5659" s="101"/>
      <c r="K5659" s="226"/>
      <c r="L5659" s="226"/>
      <c r="M5659" s="101"/>
      <c r="N5659" s="101"/>
    </row>
    <row r="5660" spans="7:14" hidden="1" x14ac:dyDescent="0.3">
      <c r="G5660" s="101"/>
      <c r="H5660" s="101"/>
      <c r="I5660" s="101"/>
      <c r="K5660" s="226"/>
      <c r="L5660" s="226"/>
      <c r="M5660" s="101"/>
      <c r="N5660" s="101"/>
    </row>
    <row r="5661" spans="7:14" hidden="1" x14ac:dyDescent="0.3">
      <c r="G5661" s="101"/>
      <c r="H5661" s="101"/>
      <c r="I5661" s="101"/>
      <c r="K5661" s="226"/>
      <c r="L5661" s="226"/>
      <c r="M5661" s="101"/>
      <c r="N5661" s="101"/>
    </row>
    <row r="5662" spans="7:14" hidden="1" x14ac:dyDescent="0.3">
      <c r="G5662" s="101"/>
      <c r="H5662" s="101"/>
      <c r="I5662" s="101"/>
      <c r="K5662" s="226"/>
      <c r="L5662" s="226"/>
      <c r="M5662" s="101"/>
      <c r="N5662" s="101"/>
    </row>
    <row r="5663" spans="7:14" hidden="1" x14ac:dyDescent="0.3">
      <c r="G5663" s="101"/>
      <c r="H5663" s="101"/>
      <c r="I5663" s="101"/>
      <c r="K5663" s="226"/>
      <c r="L5663" s="226"/>
      <c r="M5663" s="101"/>
      <c r="N5663" s="101"/>
    </row>
    <row r="5664" spans="7:14" hidden="1" x14ac:dyDescent="0.3">
      <c r="G5664" s="101"/>
      <c r="H5664" s="101"/>
      <c r="I5664" s="101"/>
      <c r="K5664" s="226"/>
      <c r="L5664" s="226"/>
      <c r="M5664" s="101"/>
      <c r="N5664" s="101"/>
    </row>
    <row r="5665" spans="7:14" hidden="1" x14ac:dyDescent="0.3">
      <c r="G5665" s="101"/>
      <c r="H5665" s="101"/>
      <c r="I5665" s="101"/>
      <c r="K5665" s="226"/>
      <c r="L5665" s="226"/>
      <c r="M5665" s="101"/>
      <c r="N5665" s="101"/>
    </row>
    <row r="5666" spans="7:14" hidden="1" x14ac:dyDescent="0.3">
      <c r="G5666" s="101"/>
      <c r="H5666" s="101"/>
      <c r="I5666" s="101"/>
      <c r="K5666" s="226"/>
      <c r="L5666" s="226"/>
      <c r="M5666" s="101"/>
      <c r="N5666" s="101"/>
    </row>
    <row r="5667" spans="7:14" hidden="1" x14ac:dyDescent="0.3">
      <c r="G5667" s="101"/>
      <c r="H5667" s="101"/>
      <c r="I5667" s="101"/>
      <c r="K5667" s="226"/>
      <c r="L5667" s="226"/>
      <c r="M5667" s="101"/>
      <c r="N5667" s="101"/>
    </row>
    <row r="5668" spans="7:14" hidden="1" x14ac:dyDescent="0.3">
      <c r="G5668" s="101"/>
      <c r="H5668" s="101"/>
      <c r="I5668" s="101"/>
      <c r="K5668" s="226"/>
      <c r="L5668" s="226"/>
      <c r="M5668" s="101"/>
      <c r="N5668" s="101"/>
    </row>
    <row r="5669" spans="7:14" hidden="1" x14ac:dyDescent="0.3">
      <c r="G5669" s="101"/>
      <c r="H5669" s="101"/>
      <c r="I5669" s="101"/>
      <c r="K5669" s="226"/>
      <c r="L5669" s="226"/>
      <c r="M5669" s="101"/>
      <c r="N5669" s="101"/>
    </row>
    <row r="5670" spans="7:14" hidden="1" x14ac:dyDescent="0.3">
      <c r="G5670" s="101"/>
      <c r="H5670" s="101"/>
      <c r="I5670" s="101"/>
      <c r="K5670" s="226"/>
      <c r="L5670" s="226"/>
      <c r="M5670" s="101"/>
      <c r="N5670" s="101"/>
    </row>
    <row r="5671" spans="7:14" hidden="1" x14ac:dyDescent="0.3">
      <c r="G5671" s="101"/>
      <c r="H5671" s="101"/>
      <c r="I5671" s="101"/>
      <c r="K5671" s="226"/>
      <c r="L5671" s="226"/>
      <c r="M5671" s="101"/>
      <c r="N5671" s="101"/>
    </row>
    <row r="5672" spans="7:14" hidden="1" x14ac:dyDescent="0.3">
      <c r="G5672" s="101"/>
      <c r="H5672" s="101"/>
      <c r="I5672" s="101"/>
      <c r="K5672" s="226"/>
      <c r="L5672" s="226"/>
      <c r="M5672" s="101"/>
      <c r="N5672" s="101"/>
    </row>
    <row r="5673" spans="7:14" hidden="1" x14ac:dyDescent="0.3">
      <c r="G5673" s="101"/>
      <c r="H5673" s="101"/>
      <c r="I5673" s="101"/>
      <c r="K5673" s="226"/>
      <c r="L5673" s="226"/>
      <c r="M5673" s="101"/>
      <c r="N5673" s="101"/>
    </row>
    <row r="5674" spans="7:14" hidden="1" x14ac:dyDescent="0.3">
      <c r="G5674" s="101"/>
      <c r="H5674" s="101"/>
      <c r="I5674" s="101"/>
      <c r="K5674" s="226"/>
      <c r="L5674" s="226"/>
      <c r="M5674" s="101"/>
      <c r="N5674" s="101"/>
    </row>
    <row r="5675" spans="7:14" hidden="1" x14ac:dyDescent="0.3">
      <c r="G5675" s="101"/>
      <c r="H5675" s="101"/>
      <c r="I5675" s="101"/>
      <c r="K5675" s="226"/>
      <c r="L5675" s="226"/>
      <c r="M5675" s="101"/>
      <c r="N5675" s="101"/>
    </row>
    <row r="5676" spans="7:14" hidden="1" x14ac:dyDescent="0.3">
      <c r="G5676" s="101"/>
      <c r="H5676" s="101"/>
      <c r="I5676" s="101"/>
      <c r="K5676" s="226"/>
      <c r="L5676" s="226"/>
      <c r="M5676" s="101"/>
      <c r="N5676" s="101"/>
    </row>
    <row r="5677" spans="7:14" hidden="1" x14ac:dyDescent="0.3">
      <c r="G5677" s="101"/>
      <c r="H5677" s="101"/>
      <c r="I5677" s="101"/>
      <c r="K5677" s="226"/>
      <c r="L5677" s="226"/>
      <c r="M5677" s="101"/>
      <c r="N5677" s="101"/>
    </row>
    <row r="5678" spans="7:14" hidden="1" x14ac:dyDescent="0.3">
      <c r="G5678" s="101"/>
      <c r="H5678" s="101"/>
      <c r="I5678" s="101"/>
      <c r="K5678" s="226"/>
      <c r="L5678" s="226"/>
      <c r="M5678" s="101"/>
      <c r="N5678" s="101"/>
    </row>
    <row r="5679" spans="7:14" hidden="1" x14ac:dyDescent="0.3">
      <c r="G5679" s="101"/>
      <c r="H5679" s="101"/>
      <c r="I5679" s="101"/>
      <c r="K5679" s="226"/>
      <c r="L5679" s="226"/>
      <c r="M5679" s="101"/>
      <c r="N5679" s="101"/>
    </row>
    <row r="5680" spans="7:14" hidden="1" x14ac:dyDescent="0.3">
      <c r="G5680" s="101"/>
      <c r="H5680" s="101"/>
      <c r="I5680" s="101"/>
      <c r="K5680" s="226"/>
      <c r="L5680" s="226"/>
      <c r="M5680" s="101"/>
      <c r="N5680" s="101"/>
    </row>
    <row r="5681" spans="7:14" hidden="1" x14ac:dyDescent="0.3">
      <c r="G5681" s="101"/>
      <c r="H5681" s="101"/>
      <c r="I5681" s="101"/>
      <c r="K5681" s="226"/>
      <c r="L5681" s="226"/>
      <c r="M5681" s="101"/>
      <c r="N5681" s="101"/>
    </row>
    <row r="5682" spans="7:14" hidden="1" x14ac:dyDescent="0.3">
      <c r="G5682" s="101"/>
      <c r="H5682" s="101"/>
      <c r="I5682" s="101"/>
      <c r="K5682" s="226"/>
      <c r="L5682" s="226"/>
      <c r="M5682" s="101"/>
      <c r="N5682" s="101"/>
    </row>
    <row r="5683" spans="7:14" hidden="1" x14ac:dyDescent="0.3">
      <c r="G5683" s="101"/>
      <c r="H5683" s="101"/>
      <c r="I5683" s="101"/>
      <c r="K5683" s="226"/>
      <c r="L5683" s="226"/>
      <c r="M5683" s="101"/>
      <c r="N5683" s="101"/>
    </row>
    <row r="5684" spans="7:14" hidden="1" x14ac:dyDescent="0.3">
      <c r="G5684" s="101"/>
      <c r="H5684" s="101"/>
      <c r="I5684" s="101"/>
      <c r="K5684" s="226"/>
      <c r="L5684" s="226"/>
      <c r="M5684" s="101"/>
      <c r="N5684" s="101"/>
    </row>
    <row r="5685" spans="7:14" hidden="1" x14ac:dyDescent="0.3">
      <c r="G5685" s="101"/>
      <c r="H5685" s="101"/>
      <c r="I5685" s="101"/>
      <c r="K5685" s="226"/>
      <c r="L5685" s="226"/>
      <c r="M5685" s="101"/>
      <c r="N5685" s="101"/>
    </row>
    <row r="5686" spans="7:14" hidden="1" x14ac:dyDescent="0.3">
      <c r="G5686" s="101"/>
      <c r="H5686" s="101"/>
      <c r="I5686" s="101"/>
      <c r="K5686" s="226"/>
      <c r="L5686" s="226"/>
      <c r="M5686" s="101"/>
      <c r="N5686" s="101"/>
    </row>
    <row r="5687" spans="7:14" hidden="1" x14ac:dyDescent="0.3">
      <c r="G5687" s="101"/>
      <c r="H5687" s="101"/>
      <c r="I5687" s="101"/>
      <c r="K5687" s="226"/>
      <c r="L5687" s="226"/>
      <c r="M5687" s="101"/>
      <c r="N5687" s="101"/>
    </row>
    <row r="5688" spans="7:14" hidden="1" x14ac:dyDescent="0.3">
      <c r="G5688" s="101"/>
      <c r="H5688" s="101"/>
      <c r="I5688" s="101"/>
      <c r="K5688" s="226"/>
      <c r="L5688" s="226"/>
      <c r="M5688" s="101"/>
      <c r="N5688" s="101"/>
    </row>
    <row r="5689" spans="7:14" hidden="1" x14ac:dyDescent="0.3">
      <c r="G5689" s="101"/>
      <c r="H5689" s="101"/>
      <c r="I5689" s="101"/>
      <c r="K5689" s="226"/>
      <c r="L5689" s="226"/>
      <c r="M5689" s="101"/>
      <c r="N5689" s="101"/>
    </row>
    <row r="5690" spans="7:14" hidden="1" x14ac:dyDescent="0.3">
      <c r="G5690" s="101"/>
      <c r="H5690" s="101"/>
      <c r="I5690" s="101"/>
      <c r="K5690" s="226"/>
      <c r="L5690" s="226"/>
      <c r="M5690" s="101"/>
      <c r="N5690" s="101"/>
    </row>
    <row r="5691" spans="7:14" hidden="1" x14ac:dyDescent="0.3">
      <c r="G5691" s="101"/>
      <c r="H5691" s="101"/>
      <c r="I5691" s="101"/>
      <c r="K5691" s="226"/>
      <c r="L5691" s="226"/>
      <c r="M5691" s="101"/>
      <c r="N5691" s="101"/>
    </row>
    <row r="5692" spans="7:14" hidden="1" x14ac:dyDescent="0.3">
      <c r="G5692" s="101"/>
      <c r="H5692" s="101"/>
      <c r="I5692" s="101"/>
      <c r="K5692" s="226"/>
      <c r="L5692" s="226"/>
      <c r="M5692" s="101"/>
      <c r="N5692" s="101"/>
    </row>
    <row r="5693" spans="7:14" hidden="1" x14ac:dyDescent="0.3">
      <c r="G5693" s="101"/>
      <c r="H5693" s="101"/>
      <c r="I5693" s="101"/>
      <c r="K5693" s="226"/>
      <c r="L5693" s="226"/>
      <c r="M5693" s="101"/>
      <c r="N5693" s="101"/>
    </row>
    <row r="5694" spans="7:14" hidden="1" x14ac:dyDescent="0.3">
      <c r="G5694" s="101"/>
      <c r="H5694" s="101"/>
      <c r="I5694" s="101"/>
      <c r="K5694" s="226"/>
      <c r="L5694" s="226"/>
      <c r="M5694" s="101"/>
      <c r="N5694" s="101"/>
    </row>
    <row r="5695" spans="7:14" hidden="1" x14ac:dyDescent="0.3">
      <c r="G5695" s="101"/>
      <c r="H5695" s="101"/>
      <c r="I5695" s="101"/>
      <c r="K5695" s="226"/>
      <c r="L5695" s="226"/>
      <c r="M5695" s="101"/>
      <c r="N5695" s="101"/>
    </row>
    <row r="5696" spans="7:14" hidden="1" x14ac:dyDescent="0.3">
      <c r="G5696" s="101"/>
      <c r="H5696" s="101"/>
      <c r="I5696" s="101"/>
      <c r="K5696" s="226"/>
      <c r="L5696" s="226"/>
      <c r="M5696" s="101"/>
      <c r="N5696" s="101"/>
    </row>
    <row r="5697" spans="7:14" hidden="1" x14ac:dyDescent="0.3">
      <c r="G5697" s="101"/>
      <c r="H5697" s="101"/>
      <c r="I5697" s="101"/>
      <c r="K5697" s="226"/>
      <c r="L5697" s="226"/>
      <c r="M5697" s="101"/>
      <c r="N5697" s="101"/>
    </row>
    <row r="5698" spans="7:14" hidden="1" x14ac:dyDescent="0.3">
      <c r="G5698" s="101"/>
      <c r="H5698" s="101"/>
      <c r="I5698" s="101"/>
      <c r="K5698" s="226"/>
      <c r="L5698" s="226"/>
      <c r="M5698" s="101"/>
      <c r="N5698" s="101"/>
    </row>
    <row r="5699" spans="7:14" hidden="1" x14ac:dyDescent="0.3">
      <c r="G5699" s="101"/>
      <c r="H5699" s="101"/>
      <c r="I5699" s="101"/>
      <c r="K5699" s="226"/>
      <c r="L5699" s="226"/>
      <c r="M5699" s="101"/>
      <c r="N5699" s="101"/>
    </row>
    <row r="5700" spans="7:14" hidden="1" x14ac:dyDescent="0.3">
      <c r="G5700" s="101"/>
      <c r="H5700" s="101"/>
      <c r="I5700" s="101"/>
      <c r="K5700" s="226"/>
      <c r="L5700" s="226"/>
      <c r="M5700" s="101"/>
      <c r="N5700" s="101"/>
    </row>
    <row r="5701" spans="7:14" hidden="1" x14ac:dyDescent="0.3">
      <c r="G5701" s="101"/>
      <c r="H5701" s="101"/>
      <c r="I5701" s="101"/>
      <c r="K5701" s="226"/>
      <c r="L5701" s="226"/>
      <c r="M5701" s="101"/>
      <c r="N5701" s="101"/>
    </row>
    <row r="5702" spans="7:14" hidden="1" x14ac:dyDescent="0.3">
      <c r="G5702" s="101"/>
      <c r="H5702" s="101"/>
      <c r="I5702" s="101"/>
      <c r="K5702" s="226"/>
      <c r="L5702" s="226"/>
      <c r="M5702" s="101"/>
      <c r="N5702" s="101"/>
    </row>
    <row r="5703" spans="7:14" hidden="1" x14ac:dyDescent="0.3">
      <c r="G5703" s="101"/>
      <c r="H5703" s="101"/>
      <c r="I5703" s="101"/>
      <c r="K5703" s="226"/>
      <c r="L5703" s="226"/>
      <c r="M5703" s="101"/>
      <c r="N5703" s="101"/>
    </row>
    <row r="5704" spans="7:14" hidden="1" x14ac:dyDescent="0.3">
      <c r="G5704" s="101"/>
      <c r="H5704" s="101"/>
      <c r="I5704" s="101"/>
      <c r="K5704" s="226"/>
      <c r="L5704" s="226"/>
      <c r="M5704" s="101"/>
      <c r="N5704" s="101"/>
    </row>
    <row r="5705" spans="7:14" hidden="1" x14ac:dyDescent="0.3">
      <c r="G5705" s="101"/>
      <c r="H5705" s="101"/>
      <c r="I5705" s="101"/>
      <c r="K5705" s="226"/>
      <c r="L5705" s="226"/>
      <c r="M5705" s="101"/>
      <c r="N5705" s="101"/>
    </row>
    <row r="5706" spans="7:14" hidden="1" x14ac:dyDescent="0.3">
      <c r="G5706" s="101"/>
      <c r="H5706" s="101"/>
      <c r="I5706" s="101"/>
      <c r="K5706" s="226"/>
      <c r="L5706" s="226"/>
      <c r="M5706" s="101"/>
      <c r="N5706" s="101"/>
    </row>
    <row r="5707" spans="7:14" hidden="1" x14ac:dyDescent="0.3">
      <c r="G5707" s="101"/>
      <c r="H5707" s="101"/>
      <c r="I5707" s="101"/>
      <c r="K5707" s="226"/>
      <c r="L5707" s="226"/>
      <c r="M5707" s="101"/>
      <c r="N5707" s="101"/>
    </row>
    <row r="5708" spans="7:14" hidden="1" x14ac:dyDescent="0.3">
      <c r="G5708" s="101"/>
      <c r="H5708" s="101"/>
      <c r="I5708" s="101"/>
      <c r="K5708" s="226"/>
      <c r="L5708" s="226"/>
      <c r="M5708" s="101"/>
      <c r="N5708" s="101"/>
    </row>
    <row r="5709" spans="7:14" hidden="1" x14ac:dyDescent="0.3">
      <c r="G5709" s="101"/>
      <c r="H5709" s="101"/>
      <c r="I5709" s="101"/>
      <c r="K5709" s="226"/>
      <c r="L5709" s="226"/>
      <c r="M5709" s="101"/>
      <c r="N5709" s="101"/>
    </row>
    <row r="5710" spans="7:14" hidden="1" x14ac:dyDescent="0.3">
      <c r="G5710" s="101"/>
      <c r="H5710" s="101"/>
      <c r="I5710" s="101"/>
      <c r="K5710" s="226"/>
      <c r="L5710" s="226"/>
      <c r="M5710" s="101"/>
      <c r="N5710" s="101"/>
    </row>
    <row r="5711" spans="7:14" hidden="1" x14ac:dyDescent="0.3">
      <c r="G5711" s="101"/>
      <c r="H5711" s="101"/>
      <c r="I5711" s="101"/>
      <c r="K5711" s="226"/>
      <c r="L5711" s="226"/>
      <c r="M5711" s="101"/>
      <c r="N5711" s="101"/>
    </row>
    <row r="5712" spans="7:14" hidden="1" x14ac:dyDescent="0.3">
      <c r="G5712" s="101"/>
      <c r="H5712" s="101"/>
      <c r="I5712" s="101"/>
      <c r="K5712" s="226"/>
      <c r="L5712" s="226"/>
      <c r="M5712" s="101"/>
      <c r="N5712" s="101"/>
    </row>
    <row r="5713" spans="7:14" hidden="1" x14ac:dyDescent="0.3">
      <c r="G5713" s="101"/>
      <c r="H5713" s="101"/>
      <c r="I5713" s="101"/>
      <c r="K5713" s="226"/>
      <c r="L5713" s="226"/>
      <c r="M5713" s="101"/>
      <c r="N5713" s="101"/>
    </row>
    <row r="5714" spans="7:14" hidden="1" x14ac:dyDescent="0.3">
      <c r="G5714" s="101"/>
      <c r="H5714" s="101"/>
      <c r="I5714" s="101"/>
      <c r="K5714" s="226"/>
      <c r="L5714" s="226"/>
      <c r="M5714" s="101"/>
      <c r="N5714" s="101"/>
    </row>
    <row r="5715" spans="7:14" hidden="1" x14ac:dyDescent="0.3">
      <c r="G5715" s="101"/>
      <c r="H5715" s="101"/>
      <c r="I5715" s="101"/>
      <c r="K5715" s="226"/>
      <c r="L5715" s="226"/>
      <c r="M5715" s="101"/>
      <c r="N5715" s="101"/>
    </row>
    <row r="5716" spans="7:14" hidden="1" x14ac:dyDescent="0.3">
      <c r="G5716" s="101"/>
      <c r="H5716" s="101"/>
      <c r="I5716" s="101"/>
      <c r="K5716" s="226"/>
      <c r="L5716" s="226"/>
      <c r="M5716" s="101"/>
      <c r="N5716" s="101"/>
    </row>
    <row r="5717" spans="7:14" hidden="1" x14ac:dyDescent="0.3">
      <c r="G5717" s="101"/>
      <c r="H5717" s="101"/>
      <c r="I5717" s="101"/>
      <c r="K5717" s="226"/>
      <c r="L5717" s="226"/>
      <c r="M5717" s="101"/>
      <c r="N5717" s="101"/>
    </row>
    <row r="5718" spans="7:14" hidden="1" x14ac:dyDescent="0.3">
      <c r="G5718" s="101"/>
      <c r="H5718" s="101"/>
      <c r="I5718" s="101"/>
      <c r="K5718" s="226"/>
      <c r="L5718" s="226"/>
      <c r="M5718" s="101"/>
      <c r="N5718" s="101"/>
    </row>
    <row r="5719" spans="7:14" hidden="1" x14ac:dyDescent="0.3">
      <c r="G5719" s="101"/>
      <c r="H5719" s="101"/>
      <c r="I5719" s="101"/>
      <c r="K5719" s="226"/>
      <c r="L5719" s="226"/>
      <c r="M5719" s="101"/>
      <c r="N5719" s="101"/>
    </row>
    <row r="5720" spans="7:14" hidden="1" x14ac:dyDescent="0.3">
      <c r="G5720" s="101"/>
      <c r="H5720" s="101"/>
      <c r="I5720" s="101"/>
      <c r="K5720" s="226"/>
      <c r="L5720" s="226"/>
      <c r="M5720" s="101"/>
      <c r="N5720" s="101"/>
    </row>
    <row r="5721" spans="7:14" hidden="1" x14ac:dyDescent="0.3">
      <c r="G5721" s="101"/>
      <c r="H5721" s="101"/>
      <c r="I5721" s="101"/>
      <c r="K5721" s="226"/>
      <c r="L5721" s="226"/>
      <c r="M5721" s="101"/>
      <c r="N5721" s="101"/>
    </row>
    <row r="5722" spans="7:14" hidden="1" x14ac:dyDescent="0.3">
      <c r="G5722" s="101"/>
      <c r="H5722" s="101"/>
      <c r="I5722" s="101"/>
      <c r="K5722" s="226"/>
      <c r="L5722" s="226"/>
      <c r="M5722" s="101"/>
      <c r="N5722" s="101"/>
    </row>
    <row r="5723" spans="7:14" hidden="1" x14ac:dyDescent="0.3">
      <c r="G5723" s="101"/>
      <c r="H5723" s="101"/>
      <c r="I5723" s="101"/>
      <c r="K5723" s="226"/>
      <c r="L5723" s="226"/>
      <c r="M5723" s="101"/>
      <c r="N5723" s="101"/>
    </row>
    <row r="5724" spans="7:14" hidden="1" x14ac:dyDescent="0.3">
      <c r="G5724" s="101"/>
      <c r="H5724" s="101"/>
      <c r="I5724" s="101"/>
      <c r="K5724" s="226"/>
      <c r="L5724" s="226"/>
      <c r="M5724" s="101"/>
      <c r="N5724" s="101"/>
    </row>
    <row r="5725" spans="7:14" hidden="1" x14ac:dyDescent="0.3">
      <c r="G5725" s="101"/>
      <c r="H5725" s="101"/>
      <c r="I5725" s="101"/>
      <c r="K5725" s="226"/>
      <c r="L5725" s="226"/>
      <c r="M5725" s="101"/>
      <c r="N5725" s="101"/>
    </row>
    <row r="5726" spans="7:14" hidden="1" x14ac:dyDescent="0.3">
      <c r="G5726" s="101"/>
      <c r="H5726" s="101"/>
      <c r="I5726" s="101"/>
      <c r="K5726" s="226"/>
      <c r="L5726" s="226"/>
      <c r="M5726" s="101"/>
      <c r="N5726" s="101"/>
    </row>
    <row r="5727" spans="7:14" hidden="1" x14ac:dyDescent="0.3">
      <c r="G5727" s="101"/>
      <c r="H5727" s="101"/>
      <c r="I5727" s="101"/>
      <c r="K5727" s="226"/>
      <c r="L5727" s="226"/>
      <c r="M5727" s="101"/>
      <c r="N5727" s="101"/>
    </row>
    <row r="5728" spans="7:14" hidden="1" x14ac:dyDescent="0.3">
      <c r="G5728" s="101"/>
      <c r="H5728" s="101"/>
      <c r="I5728" s="101"/>
      <c r="K5728" s="226"/>
      <c r="L5728" s="226"/>
      <c r="M5728" s="101"/>
      <c r="N5728" s="101"/>
    </row>
    <row r="5729" spans="7:14" hidden="1" x14ac:dyDescent="0.3">
      <c r="G5729" s="101"/>
      <c r="H5729" s="101"/>
      <c r="I5729" s="101"/>
      <c r="K5729" s="226"/>
      <c r="L5729" s="226"/>
      <c r="M5729" s="101"/>
      <c r="N5729" s="101"/>
    </row>
    <row r="5730" spans="7:14" hidden="1" x14ac:dyDescent="0.3">
      <c r="G5730" s="101"/>
      <c r="H5730" s="101"/>
      <c r="I5730" s="101"/>
      <c r="K5730" s="226"/>
      <c r="L5730" s="226"/>
      <c r="M5730" s="101"/>
      <c r="N5730" s="101"/>
    </row>
    <row r="5731" spans="7:14" hidden="1" x14ac:dyDescent="0.3">
      <c r="G5731" s="101"/>
      <c r="H5731" s="101"/>
      <c r="I5731" s="101"/>
      <c r="K5731" s="226"/>
      <c r="L5731" s="226"/>
      <c r="M5731" s="101"/>
      <c r="N5731" s="101"/>
    </row>
    <row r="5732" spans="7:14" hidden="1" x14ac:dyDescent="0.3">
      <c r="G5732" s="101"/>
      <c r="H5732" s="101"/>
      <c r="I5732" s="101"/>
      <c r="K5732" s="226"/>
      <c r="L5732" s="226"/>
      <c r="M5732" s="101"/>
      <c r="N5732" s="101"/>
    </row>
    <row r="5733" spans="7:14" hidden="1" x14ac:dyDescent="0.3">
      <c r="G5733" s="101"/>
      <c r="H5733" s="101"/>
      <c r="I5733" s="101"/>
      <c r="K5733" s="226"/>
      <c r="L5733" s="226"/>
      <c r="M5733" s="101"/>
      <c r="N5733" s="101"/>
    </row>
    <row r="5734" spans="7:14" hidden="1" x14ac:dyDescent="0.3">
      <c r="G5734" s="101"/>
      <c r="H5734" s="101"/>
      <c r="I5734" s="101"/>
      <c r="K5734" s="226"/>
      <c r="L5734" s="226"/>
      <c r="M5734" s="101"/>
      <c r="N5734" s="101"/>
    </row>
    <row r="5735" spans="7:14" hidden="1" x14ac:dyDescent="0.3">
      <c r="G5735" s="101"/>
      <c r="H5735" s="101"/>
      <c r="I5735" s="101"/>
      <c r="K5735" s="226"/>
      <c r="L5735" s="226"/>
      <c r="M5735" s="101"/>
      <c r="N5735" s="101"/>
    </row>
    <row r="5736" spans="7:14" hidden="1" x14ac:dyDescent="0.3">
      <c r="G5736" s="101"/>
      <c r="H5736" s="101"/>
      <c r="I5736" s="101"/>
      <c r="K5736" s="226"/>
      <c r="L5736" s="226"/>
      <c r="M5736" s="101"/>
      <c r="N5736" s="101"/>
    </row>
    <row r="5737" spans="7:14" hidden="1" x14ac:dyDescent="0.3">
      <c r="G5737" s="101"/>
      <c r="H5737" s="101"/>
      <c r="I5737" s="101"/>
      <c r="K5737" s="226"/>
      <c r="L5737" s="226"/>
      <c r="M5737" s="101"/>
      <c r="N5737" s="101"/>
    </row>
    <row r="5738" spans="7:14" hidden="1" x14ac:dyDescent="0.3">
      <c r="G5738" s="101"/>
      <c r="H5738" s="101"/>
      <c r="I5738" s="101"/>
      <c r="K5738" s="226"/>
      <c r="L5738" s="226"/>
      <c r="M5738" s="101"/>
      <c r="N5738" s="101"/>
    </row>
    <row r="5739" spans="7:14" hidden="1" x14ac:dyDescent="0.3">
      <c r="G5739" s="101"/>
      <c r="H5739" s="101"/>
      <c r="I5739" s="101"/>
      <c r="K5739" s="226"/>
      <c r="L5739" s="226"/>
      <c r="M5739" s="101"/>
      <c r="N5739" s="101"/>
    </row>
    <row r="5740" spans="7:14" hidden="1" x14ac:dyDescent="0.3">
      <c r="G5740" s="101"/>
      <c r="H5740" s="101"/>
      <c r="I5740" s="101"/>
      <c r="K5740" s="226"/>
      <c r="L5740" s="226"/>
      <c r="M5740" s="101"/>
      <c r="N5740" s="101"/>
    </row>
    <row r="5741" spans="7:14" hidden="1" x14ac:dyDescent="0.3">
      <c r="G5741" s="101"/>
      <c r="H5741" s="101"/>
      <c r="I5741" s="101"/>
      <c r="K5741" s="226"/>
      <c r="L5741" s="226"/>
      <c r="M5741" s="101"/>
      <c r="N5741" s="101"/>
    </row>
    <row r="5742" spans="7:14" hidden="1" x14ac:dyDescent="0.3">
      <c r="G5742" s="101"/>
      <c r="H5742" s="101"/>
      <c r="I5742" s="101"/>
      <c r="K5742" s="226"/>
      <c r="L5742" s="226"/>
      <c r="M5742" s="101"/>
      <c r="N5742" s="101"/>
    </row>
    <row r="5743" spans="7:14" hidden="1" x14ac:dyDescent="0.3">
      <c r="G5743" s="101"/>
      <c r="H5743" s="101"/>
      <c r="I5743" s="101"/>
      <c r="K5743" s="226"/>
      <c r="L5743" s="226"/>
      <c r="M5743" s="101"/>
      <c r="N5743" s="101"/>
    </row>
    <row r="5744" spans="7:14" hidden="1" x14ac:dyDescent="0.3">
      <c r="G5744" s="101"/>
      <c r="H5744" s="101"/>
      <c r="I5744" s="101"/>
      <c r="K5744" s="226"/>
      <c r="L5744" s="226"/>
      <c r="M5744" s="101"/>
      <c r="N5744" s="101"/>
    </row>
    <row r="5745" spans="7:14" hidden="1" x14ac:dyDescent="0.3">
      <c r="G5745" s="101"/>
      <c r="H5745" s="101"/>
      <c r="I5745" s="101"/>
      <c r="K5745" s="226"/>
      <c r="L5745" s="226"/>
      <c r="M5745" s="101"/>
      <c r="N5745" s="101"/>
    </row>
    <row r="5746" spans="7:14" hidden="1" x14ac:dyDescent="0.3">
      <c r="G5746" s="101"/>
      <c r="H5746" s="101"/>
      <c r="I5746" s="101"/>
      <c r="K5746" s="226"/>
      <c r="L5746" s="226"/>
      <c r="M5746" s="101"/>
      <c r="N5746" s="101"/>
    </row>
    <row r="5747" spans="7:14" hidden="1" x14ac:dyDescent="0.3">
      <c r="G5747" s="101"/>
      <c r="H5747" s="101"/>
      <c r="I5747" s="101"/>
      <c r="K5747" s="226"/>
      <c r="L5747" s="226"/>
      <c r="M5747" s="101"/>
      <c r="N5747" s="101"/>
    </row>
    <row r="5748" spans="7:14" hidden="1" x14ac:dyDescent="0.3">
      <c r="G5748" s="101"/>
      <c r="H5748" s="101"/>
      <c r="I5748" s="101"/>
      <c r="K5748" s="226"/>
      <c r="L5748" s="226"/>
      <c r="M5748" s="101"/>
      <c r="N5748" s="101"/>
    </row>
    <row r="5749" spans="7:14" hidden="1" x14ac:dyDescent="0.3">
      <c r="G5749" s="101"/>
      <c r="H5749" s="101"/>
      <c r="I5749" s="101"/>
      <c r="K5749" s="226"/>
      <c r="L5749" s="226"/>
      <c r="M5749" s="101"/>
      <c r="N5749" s="101"/>
    </row>
    <row r="5750" spans="7:14" hidden="1" x14ac:dyDescent="0.3">
      <c r="G5750" s="101"/>
      <c r="H5750" s="101"/>
      <c r="I5750" s="101"/>
      <c r="K5750" s="226"/>
      <c r="L5750" s="226"/>
      <c r="M5750" s="101"/>
      <c r="N5750" s="101"/>
    </row>
    <row r="5751" spans="7:14" hidden="1" x14ac:dyDescent="0.3">
      <c r="G5751" s="101"/>
      <c r="H5751" s="101"/>
      <c r="I5751" s="101"/>
      <c r="K5751" s="226"/>
      <c r="L5751" s="226"/>
      <c r="M5751" s="101"/>
      <c r="N5751" s="101"/>
    </row>
    <row r="5752" spans="7:14" hidden="1" x14ac:dyDescent="0.3">
      <c r="G5752" s="101"/>
      <c r="H5752" s="101"/>
      <c r="I5752" s="101"/>
      <c r="K5752" s="226"/>
      <c r="L5752" s="226"/>
      <c r="M5752" s="101"/>
      <c r="N5752" s="101"/>
    </row>
    <row r="5753" spans="7:14" hidden="1" x14ac:dyDescent="0.3">
      <c r="G5753" s="101"/>
      <c r="H5753" s="101"/>
      <c r="I5753" s="101"/>
      <c r="K5753" s="226"/>
      <c r="L5753" s="226"/>
      <c r="M5753" s="101"/>
      <c r="N5753" s="101"/>
    </row>
    <row r="5754" spans="7:14" hidden="1" x14ac:dyDescent="0.3">
      <c r="G5754" s="101"/>
      <c r="H5754" s="101"/>
      <c r="I5754" s="101"/>
      <c r="K5754" s="226"/>
      <c r="L5754" s="226"/>
      <c r="M5754" s="101"/>
      <c r="N5754" s="101"/>
    </row>
    <row r="5755" spans="7:14" hidden="1" x14ac:dyDescent="0.3">
      <c r="G5755" s="101"/>
      <c r="H5755" s="101"/>
      <c r="I5755" s="101"/>
      <c r="K5755" s="226"/>
      <c r="L5755" s="226"/>
      <c r="M5755" s="101"/>
      <c r="N5755" s="101"/>
    </row>
    <row r="5756" spans="7:14" hidden="1" x14ac:dyDescent="0.3">
      <c r="G5756" s="101"/>
      <c r="H5756" s="101"/>
      <c r="I5756" s="101"/>
      <c r="K5756" s="226"/>
      <c r="L5756" s="226"/>
      <c r="M5756" s="101"/>
      <c r="N5756" s="101"/>
    </row>
    <row r="5757" spans="7:14" hidden="1" x14ac:dyDescent="0.3">
      <c r="G5757" s="101"/>
      <c r="H5757" s="101"/>
      <c r="I5757" s="101"/>
      <c r="K5757" s="226"/>
      <c r="L5757" s="226"/>
      <c r="M5757" s="101"/>
      <c r="N5757" s="101"/>
    </row>
    <row r="5758" spans="7:14" hidden="1" x14ac:dyDescent="0.3">
      <c r="G5758" s="101"/>
      <c r="H5758" s="101"/>
      <c r="I5758" s="101"/>
      <c r="K5758" s="226"/>
      <c r="L5758" s="226"/>
      <c r="M5758" s="101"/>
      <c r="N5758" s="101"/>
    </row>
    <row r="5759" spans="7:14" hidden="1" x14ac:dyDescent="0.3">
      <c r="G5759" s="101"/>
      <c r="H5759" s="101"/>
      <c r="I5759" s="101"/>
      <c r="K5759" s="226"/>
      <c r="L5759" s="226"/>
      <c r="M5759" s="101"/>
      <c r="N5759" s="101"/>
    </row>
    <row r="5760" spans="7:14" hidden="1" x14ac:dyDescent="0.3">
      <c r="G5760" s="101"/>
      <c r="H5760" s="101"/>
      <c r="I5760" s="101"/>
      <c r="K5760" s="226"/>
      <c r="L5760" s="226"/>
      <c r="M5760" s="101"/>
      <c r="N5760" s="101"/>
    </row>
    <row r="5761" spans="7:14" hidden="1" x14ac:dyDescent="0.3">
      <c r="G5761" s="101"/>
      <c r="H5761" s="101"/>
      <c r="I5761" s="101"/>
      <c r="K5761" s="226"/>
      <c r="L5761" s="226"/>
      <c r="M5761" s="101"/>
      <c r="N5761" s="101"/>
    </row>
    <row r="5762" spans="7:14" hidden="1" x14ac:dyDescent="0.3">
      <c r="G5762" s="101"/>
      <c r="H5762" s="101"/>
      <c r="I5762" s="101"/>
      <c r="K5762" s="226"/>
      <c r="L5762" s="226"/>
      <c r="M5762" s="101"/>
      <c r="N5762" s="101"/>
    </row>
    <row r="5763" spans="7:14" hidden="1" x14ac:dyDescent="0.3">
      <c r="G5763" s="101"/>
      <c r="H5763" s="101"/>
      <c r="I5763" s="101"/>
      <c r="K5763" s="226"/>
      <c r="L5763" s="226"/>
      <c r="M5763" s="101"/>
      <c r="N5763" s="101"/>
    </row>
    <row r="5764" spans="7:14" hidden="1" x14ac:dyDescent="0.3">
      <c r="G5764" s="101"/>
      <c r="H5764" s="101"/>
      <c r="I5764" s="101"/>
      <c r="K5764" s="226"/>
      <c r="L5764" s="226"/>
      <c r="M5764" s="101"/>
      <c r="N5764" s="101"/>
    </row>
    <row r="5765" spans="7:14" hidden="1" x14ac:dyDescent="0.3">
      <c r="G5765" s="101"/>
      <c r="H5765" s="101"/>
      <c r="I5765" s="101"/>
      <c r="K5765" s="226"/>
      <c r="L5765" s="226"/>
      <c r="M5765" s="101"/>
      <c r="N5765" s="101"/>
    </row>
    <row r="5766" spans="7:14" hidden="1" x14ac:dyDescent="0.3">
      <c r="G5766" s="101"/>
      <c r="H5766" s="101"/>
      <c r="I5766" s="101"/>
      <c r="K5766" s="226"/>
      <c r="L5766" s="226"/>
      <c r="M5766" s="101"/>
      <c r="N5766" s="101"/>
    </row>
    <row r="5767" spans="7:14" hidden="1" x14ac:dyDescent="0.3">
      <c r="G5767" s="101"/>
      <c r="H5767" s="101"/>
      <c r="I5767" s="101"/>
      <c r="K5767" s="226"/>
      <c r="L5767" s="226"/>
      <c r="M5767" s="101"/>
      <c r="N5767" s="101"/>
    </row>
    <row r="5768" spans="7:14" hidden="1" x14ac:dyDescent="0.3">
      <c r="G5768" s="101"/>
      <c r="H5768" s="101"/>
      <c r="I5768" s="101"/>
      <c r="K5768" s="226"/>
      <c r="L5768" s="226"/>
      <c r="M5768" s="101"/>
      <c r="N5768" s="101"/>
    </row>
    <row r="5769" spans="7:14" hidden="1" x14ac:dyDescent="0.3">
      <c r="G5769" s="101"/>
      <c r="H5769" s="101"/>
      <c r="I5769" s="101"/>
      <c r="K5769" s="226"/>
      <c r="L5769" s="226"/>
      <c r="M5769" s="101"/>
      <c r="N5769" s="101"/>
    </row>
    <row r="5770" spans="7:14" hidden="1" x14ac:dyDescent="0.3">
      <c r="G5770" s="101"/>
      <c r="H5770" s="101"/>
      <c r="I5770" s="101"/>
      <c r="K5770" s="226"/>
      <c r="L5770" s="226"/>
      <c r="M5770" s="101"/>
      <c r="N5770" s="101"/>
    </row>
    <row r="5771" spans="7:14" hidden="1" x14ac:dyDescent="0.3">
      <c r="G5771" s="101"/>
      <c r="H5771" s="101"/>
      <c r="I5771" s="101"/>
      <c r="K5771" s="226"/>
      <c r="L5771" s="226"/>
      <c r="M5771" s="101"/>
      <c r="N5771" s="101"/>
    </row>
    <row r="5772" spans="7:14" hidden="1" x14ac:dyDescent="0.3">
      <c r="G5772" s="101"/>
      <c r="H5772" s="101"/>
      <c r="I5772" s="101"/>
      <c r="K5772" s="226"/>
      <c r="L5772" s="226"/>
      <c r="M5772" s="101"/>
      <c r="N5772" s="101"/>
    </row>
    <row r="5773" spans="7:14" hidden="1" x14ac:dyDescent="0.3">
      <c r="G5773" s="101"/>
      <c r="H5773" s="101"/>
      <c r="I5773" s="101"/>
      <c r="K5773" s="226"/>
      <c r="L5773" s="226"/>
      <c r="M5773" s="101"/>
      <c r="N5773" s="101"/>
    </row>
    <row r="5774" spans="7:14" hidden="1" x14ac:dyDescent="0.3">
      <c r="G5774" s="101"/>
      <c r="H5774" s="101"/>
      <c r="I5774" s="101"/>
      <c r="K5774" s="226"/>
      <c r="L5774" s="226"/>
      <c r="M5774" s="101"/>
      <c r="N5774" s="101"/>
    </row>
    <row r="5775" spans="7:14" hidden="1" x14ac:dyDescent="0.3">
      <c r="G5775" s="101"/>
      <c r="H5775" s="101"/>
      <c r="I5775" s="101"/>
      <c r="K5775" s="226"/>
      <c r="L5775" s="226"/>
      <c r="M5775" s="101"/>
      <c r="N5775" s="101"/>
    </row>
    <row r="5776" spans="7:14" hidden="1" x14ac:dyDescent="0.3">
      <c r="G5776" s="101"/>
      <c r="H5776" s="101"/>
      <c r="I5776" s="101"/>
      <c r="K5776" s="226"/>
      <c r="L5776" s="226"/>
      <c r="M5776" s="101"/>
      <c r="N5776" s="101"/>
    </row>
    <row r="5777" spans="7:14" hidden="1" x14ac:dyDescent="0.3">
      <c r="G5777" s="101"/>
      <c r="H5777" s="101"/>
      <c r="I5777" s="101"/>
      <c r="K5777" s="226"/>
      <c r="L5777" s="226"/>
      <c r="M5777" s="101"/>
      <c r="N5777" s="101"/>
    </row>
    <row r="5778" spans="7:14" hidden="1" x14ac:dyDescent="0.3">
      <c r="G5778" s="101"/>
      <c r="H5778" s="101"/>
      <c r="I5778" s="101"/>
      <c r="K5778" s="226"/>
      <c r="L5778" s="226"/>
      <c r="M5778" s="101"/>
      <c r="N5778" s="101"/>
    </row>
    <row r="5779" spans="7:14" hidden="1" x14ac:dyDescent="0.3">
      <c r="G5779" s="101"/>
      <c r="H5779" s="101"/>
      <c r="I5779" s="101"/>
      <c r="K5779" s="226"/>
      <c r="L5779" s="226"/>
      <c r="M5779" s="101"/>
      <c r="N5779" s="101"/>
    </row>
    <row r="5780" spans="7:14" hidden="1" x14ac:dyDescent="0.3">
      <c r="G5780" s="101"/>
      <c r="H5780" s="101"/>
      <c r="I5780" s="101"/>
      <c r="K5780" s="226"/>
      <c r="L5780" s="226"/>
      <c r="M5780" s="101"/>
      <c r="N5780" s="101"/>
    </row>
    <row r="5781" spans="7:14" hidden="1" x14ac:dyDescent="0.3">
      <c r="G5781" s="101"/>
      <c r="H5781" s="101"/>
      <c r="I5781" s="101"/>
      <c r="K5781" s="226"/>
      <c r="L5781" s="226"/>
      <c r="M5781" s="101"/>
      <c r="N5781" s="101"/>
    </row>
    <row r="5782" spans="7:14" hidden="1" x14ac:dyDescent="0.3">
      <c r="G5782" s="101"/>
      <c r="H5782" s="101"/>
      <c r="I5782" s="101"/>
      <c r="K5782" s="226"/>
      <c r="L5782" s="226"/>
      <c r="M5782" s="101"/>
      <c r="N5782" s="101"/>
    </row>
    <row r="5783" spans="7:14" hidden="1" x14ac:dyDescent="0.3">
      <c r="G5783" s="101"/>
      <c r="H5783" s="101"/>
      <c r="I5783" s="101"/>
      <c r="K5783" s="226"/>
      <c r="L5783" s="226"/>
      <c r="M5783" s="101"/>
      <c r="N5783" s="101"/>
    </row>
    <row r="5784" spans="7:14" hidden="1" x14ac:dyDescent="0.3">
      <c r="G5784" s="101"/>
      <c r="H5784" s="101"/>
      <c r="I5784" s="101"/>
      <c r="K5784" s="226"/>
      <c r="L5784" s="226"/>
      <c r="M5784" s="101"/>
      <c r="N5784" s="101"/>
    </row>
    <row r="5785" spans="7:14" hidden="1" x14ac:dyDescent="0.3">
      <c r="G5785" s="101"/>
      <c r="H5785" s="101"/>
      <c r="I5785" s="101"/>
      <c r="K5785" s="226"/>
      <c r="L5785" s="226"/>
      <c r="M5785" s="101"/>
      <c r="N5785" s="101"/>
    </row>
    <row r="5786" spans="7:14" hidden="1" x14ac:dyDescent="0.3">
      <c r="G5786" s="101"/>
      <c r="H5786" s="101"/>
      <c r="I5786" s="101"/>
      <c r="K5786" s="226"/>
      <c r="L5786" s="226"/>
      <c r="M5786" s="101"/>
      <c r="N5786" s="101"/>
    </row>
    <row r="5787" spans="7:14" hidden="1" x14ac:dyDescent="0.3">
      <c r="G5787" s="101"/>
      <c r="H5787" s="101"/>
      <c r="I5787" s="101"/>
      <c r="K5787" s="226"/>
      <c r="L5787" s="226"/>
      <c r="M5787" s="101"/>
      <c r="N5787" s="101"/>
    </row>
    <row r="5788" spans="7:14" hidden="1" x14ac:dyDescent="0.3">
      <c r="G5788" s="101"/>
      <c r="H5788" s="101"/>
      <c r="I5788" s="101"/>
      <c r="K5788" s="226"/>
      <c r="L5788" s="226"/>
      <c r="M5788" s="101"/>
      <c r="N5788" s="101"/>
    </row>
    <row r="5789" spans="7:14" hidden="1" x14ac:dyDescent="0.3">
      <c r="G5789" s="101"/>
      <c r="H5789" s="101"/>
      <c r="I5789" s="101"/>
      <c r="K5789" s="226"/>
      <c r="L5789" s="226"/>
      <c r="M5789" s="101"/>
      <c r="N5789" s="101"/>
    </row>
    <row r="5790" spans="7:14" hidden="1" x14ac:dyDescent="0.3">
      <c r="G5790" s="101"/>
      <c r="H5790" s="101"/>
      <c r="I5790" s="101"/>
      <c r="K5790" s="226"/>
      <c r="L5790" s="226"/>
      <c r="M5790" s="101"/>
      <c r="N5790" s="101"/>
    </row>
    <row r="5791" spans="7:14" hidden="1" x14ac:dyDescent="0.3">
      <c r="G5791" s="101"/>
      <c r="H5791" s="101"/>
      <c r="I5791" s="101"/>
      <c r="K5791" s="226"/>
      <c r="L5791" s="226"/>
      <c r="M5791" s="101"/>
      <c r="N5791" s="101"/>
    </row>
    <row r="5792" spans="7:14" hidden="1" x14ac:dyDescent="0.3">
      <c r="G5792" s="101"/>
      <c r="H5792" s="101"/>
      <c r="I5792" s="101"/>
      <c r="K5792" s="226"/>
      <c r="L5792" s="226"/>
      <c r="M5792" s="101"/>
      <c r="N5792" s="101"/>
    </row>
    <row r="5793" spans="7:14" hidden="1" x14ac:dyDescent="0.3">
      <c r="G5793" s="101"/>
      <c r="H5793" s="101"/>
      <c r="I5793" s="101"/>
      <c r="K5793" s="226"/>
      <c r="L5793" s="226"/>
      <c r="M5793" s="101"/>
      <c r="N5793" s="101"/>
    </row>
    <row r="5794" spans="7:14" hidden="1" x14ac:dyDescent="0.3">
      <c r="G5794" s="101"/>
      <c r="H5794" s="101"/>
      <c r="I5794" s="101"/>
      <c r="K5794" s="226"/>
      <c r="L5794" s="226"/>
      <c r="M5794" s="101"/>
      <c r="N5794" s="101"/>
    </row>
    <row r="5795" spans="7:14" hidden="1" x14ac:dyDescent="0.3">
      <c r="G5795" s="101"/>
      <c r="H5795" s="101"/>
      <c r="I5795" s="101"/>
      <c r="K5795" s="226"/>
      <c r="L5795" s="226"/>
      <c r="M5795" s="101"/>
      <c r="N5795" s="101"/>
    </row>
    <row r="5796" spans="7:14" hidden="1" x14ac:dyDescent="0.3">
      <c r="G5796" s="101"/>
      <c r="H5796" s="101"/>
      <c r="I5796" s="101"/>
      <c r="K5796" s="226"/>
      <c r="L5796" s="226"/>
      <c r="M5796" s="101"/>
      <c r="N5796" s="101"/>
    </row>
    <row r="5797" spans="7:14" hidden="1" x14ac:dyDescent="0.3">
      <c r="G5797" s="101"/>
      <c r="H5797" s="101"/>
      <c r="I5797" s="101"/>
      <c r="K5797" s="226"/>
      <c r="L5797" s="226"/>
      <c r="M5797" s="101"/>
      <c r="N5797" s="101"/>
    </row>
    <row r="5798" spans="7:14" hidden="1" x14ac:dyDescent="0.3">
      <c r="G5798" s="101"/>
      <c r="H5798" s="101"/>
      <c r="I5798" s="101"/>
      <c r="K5798" s="226"/>
      <c r="L5798" s="226"/>
      <c r="M5798" s="101"/>
      <c r="N5798" s="101"/>
    </row>
    <row r="5799" spans="7:14" hidden="1" x14ac:dyDescent="0.3">
      <c r="G5799" s="101"/>
      <c r="H5799" s="101"/>
      <c r="I5799" s="101"/>
      <c r="K5799" s="226"/>
      <c r="L5799" s="226"/>
      <c r="M5799" s="101"/>
      <c r="N5799" s="101"/>
    </row>
    <row r="5800" spans="7:14" hidden="1" x14ac:dyDescent="0.3">
      <c r="G5800" s="101"/>
      <c r="H5800" s="101"/>
      <c r="I5800" s="101"/>
      <c r="K5800" s="226"/>
      <c r="L5800" s="226"/>
      <c r="M5800" s="101"/>
      <c r="N5800" s="101"/>
    </row>
    <row r="5801" spans="7:14" hidden="1" x14ac:dyDescent="0.3">
      <c r="G5801" s="101"/>
      <c r="H5801" s="101"/>
      <c r="I5801" s="101"/>
      <c r="K5801" s="226"/>
      <c r="L5801" s="226"/>
      <c r="M5801" s="101"/>
      <c r="N5801" s="101"/>
    </row>
    <row r="5802" spans="7:14" hidden="1" x14ac:dyDescent="0.3">
      <c r="G5802" s="101"/>
      <c r="H5802" s="101"/>
      <c r="I5802" s="101"/>
      <c r="K5802" s="226"/>
      <c r="L5802" s="226"/>
      <c r="M5802" s="101"/>
      <c r="N5802" s="101"/>
    </row>
    <row r="5803" spans="7:14" hidden="1" x14ac:dyDescent="0.3">
      <c r="G5803" s="101"/>
      <c r="H5803" s="101"/>
      <c r="I5803" s="101"/>
      <c r="K5803" s="226"/>
      <c r="L5803" s="226"/>
      <c r="M5803" s="101"/>
      <c r="N5803" s="101"/>
    </row>
    <row r="5804" spans="7:14" hidden="1" x14ac:dyDescent="0.3">
      <c r="G5804" s="101"/>
      <c r="H5804" s="101"/>
      <c r="I5804" s="101"/>
      <c r="K5804" s="226"/>
      <c r="L5804" s="226"/>
      <c r="M5804" s="101"/>
      <c r="N5804" s="101"/>
    </row>
    <row r="5805" spans="7:14" hidden="1" x14ac:dyDescent="0.3">
      <c r="G5805" s="101"/>
      <c r="H5805" s="101"/>
      <c r="I5805" s="101"/>
      <c r="K5805" s="226"/>
      <c r="L5805" s="226"/>
      <c r="M5805" s="101"/>
      <c r="N5805" s="101"/>
    </row>
    <row r="5806" spans="7:14" hidden="1" x14ac:dyDescent="0.3">
      <c r="G5806" s="101"/>
      <c r="H5806" s="101"/>
      <c r="I5806" s="101"/>
      <c r="K5806" s="226"/>
      <c r="L5806" s="226"/>
      <c r="M5806" s="101"/>
      <c r="N5806" s="101"/>
    </row>
    <row r="5807" spans="7:14" hidden="1" x14ac:dyDescent="0.3">
      <c r="G5807" s="101"/>
      <c r="H5807" s="101"/>
      <c r="I5807" s="101"/>
      <c r="K5807" s="226"/>
      <c r="L5807" s="226"/>
      <c r="M5807" s="101"/>
      <c r="N5807" s="101"/>
    </row>
    <row r="5808" spans="7:14" hidden="1" x14ac:dyDescent="0.3">
      <c r="G5808" s="101"/>
      <c r="H5808" s="101"/>
      <c r="I5808" s="101"/>
      <c r="K5808" s="226"/>
      <c r="L5808" s="226"/>
      <c r="M5808" s="101"/>
      <c r="N5808" s="101"/>
    </row>
    <row r="5809" spans="7:14" hidden="1" x14ac:dyDescent="0.3">
      <c r="G5809" s="101"/>
      <c r="H5809" s="101"/>
      <c r="I5809" s="101"/>
      <c r="K5809" s="226"/>
      <c r="L5809" s="226"/>
      <c r="M5809" s="101"/>
      <c r="N5809" s="101"/>
    </row>
    <row r="5810" spans="7:14" hidden="1" x14ac:dyDescent="0.3">
      <c r="G5810" s="101"/>
      <c r="H5810" s="101"/>
      <c r="I5810" s="101"/>
      <c r="K5810" s="226"/>
      <c r="L5810" s="226"/>
      <c r="M5810" s="101"/>
      <c r="N5810" s="101"/>
    </row>
    <row r="5811" spans="7:14" hidden="1" x14ac:dyDescent="0.3">
      <c r="G5811" s="101"/>
      <c r="H5811" s="101"/>
      <c r="I5811" s="101"/>
      <c r="K5811" s="226"/>
      <c r="L5811" s="226"/>
      <c r="M5811" s="101"/>
      <c r="N5811" s="101"/>
    </row>
    <row r="5812" spans="7:14" hidden="1" x14ac:dyDescent="0.3">
      <c r="G5812" s="101"/>
      <c r="H5812" s="101"/>
      <c r="I5812" s="101"/>
      <c r="K5812" s="226"/>
      <c r="L5812" s="226"/>
      <c r="M5812" s="101"/>
      <c r="N5812" s="101"/>
    </row>
    <row r="5813" spans="7:14" hidden="1" x14ac:dyDescent="0.3">
      <c r="G5813" s="101"/>
      <c r="H5813" s="101"/>
      <c r="I5813" s="101"/>
      <c r="K5813" s="226"/>
      <c r="L5813" s="226"/>
      <c r="M5813" s="101"/>
      <c r="N5813" s="101"/>
    </row>
    <row r="5814" spans="7:14" hidden="1" x14ac:dyDescent="0.3">
      <c r="G5814" s="101"/>
      <c r="H5814" s="101"/>
      <c r="I5814" s="101"/>
      <c r="K5814" s="226"/>
      <c r="L5814" s="226"/>
      <c r="M5814" s="101"/>
      <c r="N5814" s="101"/>
    </row>
    <row r="5815" spans="7:14" hidden="1" x14ac:dyDescent="0.3">
      <c r="G5815" s="101"/>
      <c r="H5815" s="101"/>
      <c r="I5815" s="101"/>
      <c r="K5815" s="226"/>
      <c r="L5815" s="226"/>
      <c r="M5815" s="101"/>
      <c r="N5815" s="101"/>
    </row>
    <row r="5816" spans="7:14" hidden="1" x14ac:dyDescent="0.3">
      <c r="G5816" s="101"/>
      <c r="H5816" s="101"/>
      <c r="I5816" s="101"/>
      <c r="K5816" s="226"/>
      <c r="L5816" s="226"/>
      <c r="M5816" s="101"/>
      <c r="N5816" s="101"/>
    </row>
    <row r="5817" spans="7:14" hidden="1" x14ac:dyDescent="0.3">
      <c r="G5817" s="101"/>
      <c r="H5817" s="101"/>
      <c r="I5817" s="101"/>
      <c r="K5817" s="226"/>
      <c r="L5817" s="226"/>
      <c r="M5817" s="101"/>
      <c r="N5817" s="101"/>
    </row>
    <row r="5818" spans="7:14" hidden="1" x14ac:dyDescent="0.3">
      <c r="G5818" s="101"/>
      <c r="H5818" s="101"/>
      <c r="I5818" s="101"/>
      <c r="K5818" s="226"/>
      <c r="L5818" s="226"/>
      <c r="M5818" s="101"/>
      <c r="N5818" s="101"/>
    </row>
    <row r="5819" spans="7:14" hidden="1" x14ac:dyDescent="0.3">
      <c r="G5819" s="101"/>
      <c r="H5819" s="101"/>
      <c r="I5819" s="101"/>
      <c r="K5819" s="226"/>
      <c r="L5819" s="226"/>
      <c r="M5819" s="101"/>
      <c r="N5819" s="101"/>
    </row>
    <row r="5820" spans="7:14" hidden="1" x14ac:dyDescent="0.3">
      <c r="G5820" s="101"/>
      <c r="H5820" s="101"/>
      <c r="I5820" s="101"/>
      <c r="K5820" s="226"/>
      <c r="L5820" s="226"/>
      <c r="M5820" s="101"/>
      <c r="N5820" s="101"/>
    </row>
    <row r="5821" spans="7:14" hidden="1" x14ac:dyDescent="0.3">
      <c r="G5821" s="101"/>
      <c r="H5821" s="101"/>
      <c r="I5821" s="101"/>
      <c r="K5821" s="226"/>
      <c r="L5821" s="226"/>
      <c r="M5821" s="101"/>
      <c r="N5821" s="101"/>
    </row>
    <row r="5822" spans="7:14" hidden="1" x14ac:dyDescent="0.3">
      <c r="G5822" s="101"/>
      <c r="H5822" s="101"/>
      <c r="I5822" s="101"/>
      <c r="K5822" s="226"/>
      <c r="L5822" s="226"/>
      <c r="M5822" s="101"/>
      <c r="N5822" s="101"/>
    </row>
    <row r="5823" spans="7:14" hidden="1" x14ac:dyDescent="0.3">
      <c r="G5823" s="101"/>
      <c r="H5823" s="101"/>
      <c r="I5823" s="101"/>
      <c r="K5823" s="226"/>
      <c r="L5823" s="226"/>
      <c r="M5823" s="101"/>
      <c r="N5823" s="101"/>
    </row>
    <row r="5824" spans="7:14" hidden="1" x14ac:dyDescent="0.3">
      <c r="G5824" s="101"/>
      <c r="H5824" s="101"/>
      <c r="I5824" s="101"/>
      <c r="K5824" s="226"/>
      <c r="L5824" s="226"/>
      <c r="M5824" s="101"/>
      <c r="N5824" s="101"/>
    </row>
    <row r="5825" spans="7:14" hidden="1" x14ac:dyDescent="0.3">
      <c r="G5825" s="101"/>
      <c r="H5825" s="101"/>
      <c r="I5825" s="101"/>
      <c r="K5825" s="226"/>
      <c r="L5825" s="226"/>
      <c r="M5825" s="101"/>
      <c r="N5825" s="101"/>
    </row>
    <row r="5826" spans="7:14" hidden="1" x14ac:dyDescent="0.3">
      <c r="G5826" s="101"/>
      <c r="H5826" s="101"/>
      <c r="I5826" s="101"/>
      <c r="K5826" s="226"/>
      <c r="L5826" s="226"/>
      <c r="M5826" s="101"/>
      <c r="N5826" s="101"/>
    </row>
    <row r="5827" spans="7:14" hidden="1" x14ac:dyDescent="0.3">
      <c r="G5827" s="101"/>
      <c r="H5827" s="101"/>
      <c r="I5827" s="101"/>
      <c r="K5827" s="226"/>
      <c r="L5827" s="226"/>
      <c r="M5827" s="101"/>
      <c r="N5827" s="101"/>
    </row>
    <row r="5828" spans="7:14" hidden="1" x14ac:dyDescent="0.3">
      <c r="G5828" s="101"/>
      <c r="H5828" s="101"/>
      <c r="I5828" s="101"/>
      <c r="K5828" s="226"/>
      <c r="L5828" s="226"/>
      <c r="M5828" s="101"/>
      <c r="N5828" s="101"/>
    </row>
    <row r="5829" spans="7:14" hidden="1" x14ac:dyDescent="0.3">
      <c r="G5829" s="101"/>
      <c r="H5829" s="101"/>
      <c r="I5829" s="101"/>
      <c r="K5829" s="226"/>
      <c r="L5829" s="226"/>
      <c r="M5829" s="101"/>
      <c r="N5829" s="101"/>
    </row>
    <row r="5830" spans="7:14" hidden="1" x14ac:dyDescent="0.3">
      <c r="G5830" s="101"/>
      <c r="H5830" s="101"/>
      <c r="I5830" s="101"/>
      <c r="K5830" s="226"/>
      <c r="L5830" s="226"/>
      <c r="M5830" s="101"/>
      <c r="N5830" s="101"/>
    </row>
    <row r="5831" spans="7:14" hidden="1" x14ac:dyDescent="0.3">
      <c r="G5831" s="101"/>
      <c r="H5831" s="101"/>
      <c r="I5831" s="101"/>
      <c r="K5831" s="226"/>
      <c r="L5831" s="226"/>
      <c r="M5831" s="101"/>
      <c r="N5831" s="101"/>
    </row>
    <row r="5832" spans="7:14" hidden="1" x14ac:dyDescent="0.3">
      <c r="G5832" s="101"/>
      <c r="H5832" s="101"/>
      <c r="I5832" s="101"/>
      <c r="K5832" s="226"/>
      <c r="L5832" s="226"/>
      <c r="M5832" s="101"/>
      <c r="N5832" s="101"/>
    </row>
    <row r="5833" spans="7:14" hidden="1" x14ac:dyDescent="0.3">
      <c r="G5833" s="101"/>
      <c r="H5833" s="101"/>
      <c r="I5833" s="101"/>
      <c r="K5833" s="226"/>
      <c r="L5833" s="226"/>
      <c r="M5833" s="101"/>
      <c r="N5833" s="101"/>
    </row>
    <row r="5834" spans="7:14" hidden="1" x14ac:dyDescent="0.3">
      <c r="G5834" s="101"/>
      <c r="H5834" s="101"/>
      <c r="I5834" s="101"/>
      <c r="K5834" s="226"/>
      <c r="L5834" s="226"/>
      <c r="M5834" s="101"/>
      <c r="N5834" s="101"/>
    </row>
    <row r="5835" spans="7:14" hidden="1" x14ac:dyDescent="0.3">
      <c r="G5835" s="101"/>
      <c r="H5835" s="101"/>
      <c r="I5835" s="101"/>
      <c r="K5835" s="226"/>
      <c r="L5835" s="226"/>
      <c r="M5835" s="101"/>
      <c r="N5835" s="101"/>
    </row>
    <row r="5836" spans="7:14" hidden="1" x14ac:dyDescent="0.3">
      <c r="G5836" s="101"/>
      <c r="H5836" s="101"/>
      <c r="I5836" s="101"/>
      <c r="K5836" s="226"/>
      <c r="L5836" s="226"/>
      <c r="M5836" s="101"/>
      <c r="N5836" s="101"/>
    </row>
    <row r="5837" spans="7:14" hidden="1" x14ac:dyDescent="0.3">
      <c r="G5837" s="101"/>
      <c r="H5837" s="101"/>
      <c r="I5837" s="101"/>
      <c r="K5837" s="226"/>
      <c r="L5837" s="226"/>
      <c r="M5837" s="101"/>
      <c r="N5837" s="101"/>
    </row>
    <row r="5838" spans="7:14" hidden="1" x14ac:dyDescent="0.3">
      <c r="G5838" s="101"/>
      <c r="H5838" s="101"/>
      <c r="I5838" s="101"/>
      <c r="K5838" s="226"/>
      <c r="L5838" s="226"/>
      <c r="M5838" s="101"/>
      <c r="N5838" s="101"/>
    </row>
    <row r="5839" spans="7:14" hidden="1" x14ac:dyDescent="0.3">
      <c r="G5839" s="101"/>
      <c r="H5839" s="101"/>
      <c r="I5839" s="101"/>
      <c r="K5839" s="226"/>
      <c r="L5839" s="226"/>
      <c r="M5839" s="101"/>
      <c r="N5839" s="101"/>
    </row>
    <row r="5840" spans="7:14" hidden="1" x14ac:dyDescent="0.3">
      <c r="G5840" s="101"/>
      <c r="H5840" s="101"/>
      <c r="I5840" s="101"/>
      <c r="K5840" s="226"/>
      <c r="L5840" s="226"/>
      <c r="M5840" s="101"/>
      <c r="N5840" s="101"/>
    </row>
    <row r="5841" spans="7:14" hidden="1" x14ac:dyDescent="0.3">
      <c r="G5841" s="101"/>
      <c r="H5841" s="101"/>
      <c r="I5841" s="101"/>
      <c r="K5841" s="226"/>
      <c r="L5841" s="226"/>
      <c r="M5841" s="101"/>
      <c r="N5841" s="101"/>
    </row>
    <row r="5842" spans="7:14" hidden="1" x14ac:dyDescent="0.3">
      <c r="G5842" s="101"/>
      <c r="H5842" s="101"/>
      <c r="I5842" s="101"/>
      <c r="K5842" s="226"/>
      <c r="L5842" s="226"/>
      <c r="M5842" s="101"/>
      <c r="N5842" s="101"/>
    </row>
    <row r="5843" spans="7:14" hidden="1" x14ac:dyDescent="0.3">
      <c r="G5843" s="101"/>
      <c r="H5843" s="101"/>
      <c r="I5843" s="101"/>
      <c r="K5843" s="226"/>
      <c r="L5843" s="226"/>
      <c r="M5843" s="101"/>
      <c r="N5843" s="101"/>
    </row>
    <row r="5844" spans="7:14" hidden="1" x14ac:dyDescent="0.3">
      <c r="G5844" s="101"/>
      <c r="H5844" s="101"/>
      <c r="I5844" s="101"/>
      <c r="K5844" s="226"/>
      <c r="L5844" s="226"/>
      <c r="M5844" s="101"/>
      <c r="N5844" s="101"/>
    </row>
    <row r="5845" spans="7:14" hidden="1" x14ac:dyDescent="0.3">
      <c r="G5845" s="101"/>
      <c r="H5845" s="101"/>
      <c r="I5845" s="101"/>
      <c r="K5845" s="226"/>
      <c r="L5845" s="226"/>
      <c r="M5845" s="101"/>
      <c r="N5845" s="101"/>
    </row>
    <row r="5846" spans="7:14" hidden="1" x14ac:dyDescent="0.3">
      <c r="G5846" s="101"/>
      <c r="H5846" s="101"/>
      <c r="I5846" s="101"/>
      <c r="K5846" s="226"/>
      <c r="L5846" s="226"/>
      <c r="M5846" s="101"/>
      <c r="N5846" s="101"/>
    </row>
    <row r="5847" spans="7:14" hidden="1" x14ac:dyDescent="0.3">
      <c r="G5847" s="101"/>
      <c r="H5847" s="101"/>
      <c r="I5847" s="101"/>
      <c r="K5847" s="226"/>
      <c r="L5847" s="226"/>
      <c r="M5847" s="101"/>
      <c r="N5847" s="101"/>
    </row>
    <row r="5848" spans="7:14" hidden="1" x14ac:dyDescent="0.3">
      <c r="G5848" s="101"/>
      <c r="H5848" s="101"/>
      <c r="I5848" s="101"/>
      <c r="K5848" s="226"/>
      <c r="L5848" s="226"/>
      <c r="M5848" s="101"/>
      <c r="N5848" s="101"/>
    </row>
    <row r="5849" spans="7:14" hidden="1" x14ac:dyDescent="0.3">
      <c r="G5849" s="101"/>
      <c r="H5849" s="101"/>
      <c r="I5849" s="101"/>
      <c r="K5849" s="226"/>
      <c r="L5849" s="226"/>
      <c r="M5849" s="101"/>
      <c r="N5849" s="101"/>
    </row>
    <row r="5850" spans="7:14" hidden="1" x14ac:dyDescent="0.3">
      <c r="G5850" s="101"/>
      <c r="H5850" s="101"/>
      <c r="I5850" s="101"/>
      <c r="K5850" s="226"/>
      <c r="L5850" s="226"/>
      <c r="M5850" s="101"/>
      <c r="N5850" s="101"/>
    </row>
    <row r="5851" spans="7:14" hidden="1" x14ac:dyDescent="0.3">
      <c r="G5851" s="101"/>
      <c r="H5851" s="101"/>
      <c r="I5851" s="101"/>
      <c r="K5851" s="226"/>
      <c r="L5851" s="226"/>
      <c r="M5851" s="101"/>
      <c r="N5851" s="101"/>
    </row>
    <row r="5852" spans="7:14" hidden="1" x14ac:dyDescent="0.3">
      <c r="G5852" s="101"/>
      <c r="H5852" s="101"/>
      <c r="I5852" s="101"/>
      <c r="K5852" s="226"/>
      <c r="L5852" s="226"/>
      <c r="M5852" s="101"/>
      <c r="N5852" s="101"/>
    </row>
    <row r="5853" spans="7:14" hidden="1" x14ac:dyDescent="0.3">
      <c r="G5853" s="101"/>
      <c r="H5853" s="101"/>
      <c r="I5853" s="101"/>
      <c r="K5853" s="226"/>
      <c r="L5853" s="226"/>
      <c r="M5853" s="101"/>
      <c r="N5853" s="101"/>
    </row>
    <row r="5854" spans="7:14" hidden="1" x14ac:dyDescent="0.3">
      <c r="G5854" s="101"/>
      <c r="H5854" s="101"/>
      <c r="I5854" s="101"/>
      <c r="K5854" s="226"/>
      <c r="L5854" s="226"/>
      <c r="M5854" s="101"/>
      <c r="N5854" s="101"/>
    </row>
    <row r="5855" spans="7:14" hidden="1" x14ac:dyDescent="0.3">
      <c r="G5855" s="101"/>
      <c r="H5855" s="101"/>
      <c r="I5855" s="101"/>
      <c r="K5855" s="226"/>
      <c r="L5855" s="226"/>
      <c r="M5855" s="101"/>
      <c r="N5855" s="101"/>
    </row>
    <row r="5856" spans="7:14" hidden="1" x14ac:dyDescent="0.3">
      <c r="G5856" s="101"/>
      <c r="H5856" s="101"/>
      <c r="I5856" s="101"/>
      <c r="K5856" s="226"/>
      <c r="L5856" s="226"/>
      <c r="M5856" s="101"/>
      <c r="N5856" s="101"/>
    </row>
    <row r="5857" spans="7:14" hidden="1" x14ac:dyDescent="0.3">
      <c r="G5857" s="101"/>
      <c r="H5857" s="101"/>
      <c r="I5857" s="101"/>
      <c r="K5857" s="226"/>
      <c r="L5857" s="226"/>
      <c r="M5857" s="101"/>
      <c r="N5857" s="101"/>
    </row>
    <row r="5858" spans="7:14" hidden="1" x14ac:dyDescent="0.3">
      <c r="G5858" s="101"/>
      <c r="H5858" s="101"/>
      <c r="I5858" s="101"/>
      <c r="K5858" s="226"/>
      <c r="L5858" s="226"/>
      <c r="M5858" s="101"/>
      <c r="N5858" s="101"/>
    </row>
    <row r="5859" spans="7:14" hidden="1" x14ac:dyDescent="0.3">
      <c r="G5859" s="101"/>
      <c r="H5859" s="101"/>
      <c r="I5859" s="101"/>
      <c r="K5859" s="226"/>
      <c r="L5859" s="226"/>
      <c r="M5859" s="101"/>
      <c r="N5859" s="101"/>
    </row>
    <row r="5860" spans="7:14" hidden="1" x14ac:dyDescent="0.3">
      <c r="G5860" s="101"/>
      <c r="H5860" s="101"/>
      <c r="I5860" s="101"/>
      <c r="K5860" s="226"/>
      <c r="L5860" s="226"/>
      <c r="M5860" s="101"/>
      <c r="N5860" s="101"/>
    </row>
    <row r="5861" spans="7:14" hidden="1" x14ac:dyDescent="0.3">
      <c r="G5861" s="101"/>
      <c r="H5861" s="101"/>
      <c r="I5861" s="101"/>
      <c r="K5861" s="226"/>
      <c r="L5861" s="226"/>
      <c r="M5861" s="101"/>
      <c r="N5861" s="101"/>
    </row>
    <row r="5862" spans="7:14" hidden="1" x14ac:dyDescent="0.3">
      <c r="G5862" s="101"/>
      <c r="H5862" s="101"/>
      <c r="I5862" s="101"/>
      <c r="K5862" s="226"/>
      <c r="L5862" s="226"/>
      <c r="M5862" s="101"/>
      <c r="N5862" s="101"/>
    </row>
    <row r="5863" spans="7:14" hidden="1" x14ac:dyDescent="0.3">
      <c r="G5863" s="101"/>
      <c r="H5863" s="101"/>
      <c r="I5863" s="101"/>
      <c r="K5863" s="226"/>
      <c r="L5863" s="226"/>
      <c r="M5863" s="101"/>
      <c r="N5863" s="101"/>
    </row>
    <row r="5864" spans="7:14" hidden="1" x14ac:dyDescent="0.3">
      <c r="G5864" s="101"/>
      <c r="H5864" s="101"/>
      <c r="I5864" s="101"/>
      <c r="K5864" s="226"/>
      <c r="L5864" s="226"/>
      <c r="M5864" s="101"/>
      <c r="N5864" s="101"/>
    </row>
    <row r="5865" spans="7:14" hidden="1" x14ac:dyDescent="0.3">
      <c r="G5865" s="101"/>
      <c r="H5865" s="101"/>
      <c r="I5865" s="101"/>
      <c r="K5865" s="226"/>
      <c r="L5865" s="226"/>
      <c r="M5865" s="101"/>
      <c r="N5865" s="101"/>
    </row>
    <row r="5866" spans="7:14" hidden="1" x14ac:dyDescent="0.3">
      <c r="G5866" s="101"/>
      <c r="H5866" s="101"/>
      <c r="I5866" s="101"/>
      <c r="K5866" s="226"/>
      <c r="L5866" s="226"/>
      <c r="M5866" s="101"/>
      <c r="N5866" s="101"/>
    </row>
    <row r="5867" spans="7:14" hidden="1" x14ac:dyDescent="0.3">
      <c r="G5867" s="101"/>
      <c r="H5867" s="101"/>
      <c r="I5867" s="101"/>
      <c r="K5867" s="226"/>
      <c r="L5867" s="226"/>
      <c r="M5867" s="101"/>
      <c r="N5867" s="101"/>
    </row>
    <row r="5868" spans="7:14" hidden="1" x14ac:dyDescent="0.3">
      <c r="G5868" s="101"/>
      <c r="H5868" s="101"/>
      <c r="I5868" s="101"/>
      <c r="K5868" s="226"/>
      <c r="L5868" s="226"/>
      <c r="M5868" s="101"/>
      <c r="N5868" s="101"/>
    </row>
    <row r="5869" spans="7:14" hidden="1" x14ac:dyDescent="0.3">
      <c r="G5869" s="101"/>
      <c r="H5869" s="101"/>
      <c r="I5869" s="101"/>
      <c r="K5869" s="226"/>
      <c r="L5869" s="226"/>
      <c r="M5869" s="101"/>
      <c r="N5869" s="101"/>
    </row>
    <row r="5870" spans="7:14" hidden="1" x14ac:dyDescent="0.3">
      <c r="G5870" s="101"/>
      <c r="H5870" s="101"/>
      <c r="I5870" s="101"/>
      <c r="K5870" s="226"/>
      <c r="L5870" s="226"/>
      <c r="M5870" s="101"/>
      <c r="N5870" s="101"/>
    </row>
    <row r="5871" spans="7:14" hidden="1" x14ac:dyDescent="0.3">
      <c r="G5871" s="101"/>
      <c r="H5871" s="101"/>
      <c r="I5871" s="101"/>
      <c r="K5871" s="226"/>
      <c r="L5871" s="226"/>
      <c r="M5871" s="101"/>
      <c r="N5871" s="101"/>
    </row>
    <row r="5872" spans="7:14" hidden="1" x14ac:dyDescent="0.3">
      <c r="G5872" s="101"/>
      <c r="H5872" s="101"/>
      <c r="I5872" s="101"/>
      <c r="K5872" s="226"/>
      <c r="L5872" s="226"/>
      <c r="M5872" s="101"/>
      <c r="N5872" s="101"/>
    </row>
    <row r="5873" spans="7:14" hidden="1" x14ac:dyDescent="0.3">
      <c r="G5873" s="101"/>
      <c r="H5873" s="101"/>
      <c r="I5873" s="101"/>
      <c r="K5873" s="226"/>
      <c r="L5873" s="226"/>
      <c r="M5873" s="101"/>
      <c r="N5873" s="101"/>
    </row>
    <row r="5874" spans="7:14" hidden="1" x14ac:dyDescent="0.3">
      <c r="G5874" s="101"/>
      <c r="H5874" s="101"/>
      <c r="I5874" s="101"/>
      <c r="K5874" s="226"/>
      <c r="L5874" s="226"/>
      <c r="M5874" s="101"/>
      <c r="N5874" s="101"/>
    </row>
    <row r="5875" spans="7:14" hidden="1" x14ac:dyDescent="0.3">
      <c r="G5875" s="101"/>
      <c r="H5875" s="101"/>
      <c r="I5875" s="101"/>
      <c r="K5875" s="226"/>
      <c r="L5875" s="226"/>
      <c r="M5875" s="101"/>
      <c r="N5875" s="101"/>
    </row>
    <row r="5876" spans="7:14" hidden="1" x14ac:dyDescent="0.3">
      <c r="G5876" s="101"/>
      <c r="H5876" s="101"/>
      <c r="I5876" s="101"/>
      <c r="K5876" s="226"/>
      <c r="L5876" s="226"/>
      <c r="M5876" s="101"/>
      <c r="N5876" s="101"/>
    </row>
    <row r="5877" spans="7:14" hidden="1" x14ac:dyDescent="0.3">
      <c r="G5877" s="101"/>
      <c r="H5877" s="101"/>
      <c r="I5877" s="101"/>
      <c r="K5877" s="226"/>
      <c r="L5877" s="226"/>
      <c r="M5877" s="101"/>
      <c r="N5877" s="101"/>
    </row>
    <row r="5878" spans="7:14" hidden="1" x14ac:dyDescent="0.3">
      <c r="G5878" s="101"/>
      <c r="H5878" s="101"/>
      <c r="I5878" s="101"/>
      <c r="K5878" s="226"/>
      <c r="L5878" s="226"/>
      <c r="M5878" s="101"/>
      <c r="N5878" s="101"/>
    </row>
    <row r="5879" spans="7:14" hidden="1" x14ac:dyDescent="0.3">
      <c r="G5879" s="101"/>
      <c r="H5879" s="101"/>
      <c r="I5879" s="101"/>
      <c r="K5879" s="226"/>
      <c r="L5879" s="226"/>
      <c r="M5879" s="101"/>
      <c r="N5879" s="101"/>
    </row>
    <row r="5880" spans="7:14" hidden="1" x14ac:dyDescent="0.3">
      <c r="G5880" s="101"/>
      <c r="H5880" s="101"/>
      <c r="I5880" s="101"/>
      <c r="K5880" s="226"/>
      <c r="L5880" s="226"/>
      <c r="M5880" s="101"/>
      <c r="N5880" s="101"/>
    </row>
    <row r="5881" spans="7:14" hidden="1" x14ac:dyDescent="0.3">
      <c r="G5881" s="101"/>
      <c r="H5881" s="101"/>
      <c r="I5881" s="101"/>
      <c r="K5881" s="226"/>
      <c r="L5881" s="226"/>
      <c r="M5881" s="101"/>
      <c r="N5881" s="101"/>
    </row>
    <row r="5882" spans="7:14" hidden="1" x14ac:dyDescent="0.3">
      <c r="G5882" s="101"/>
      <c r="H5882" s="101"/>
      <c r="I5882" s="101"/>
      <c r="K5882" s="226"/>
      <c r="L5882" s="226"/>
      <c r="M5882" s="101"/>
      <c r="N5882" s="101"/>
    </row>
    <row r="5883" spans="7:14" hidden="1" x14ac:dyDescent="0.3">
      <c r="G5883" s="101"/>
      <c r="H5883" s="101"/>
      <c r="I5883" s="101"/>
      <c r="K5883" s="226"/>
      <c r="L5883" s="226"/>
      <c r="M5883" s="101"/>
      <c r="N5883" s="101"/>
    </row>
    <row r="5884" spans="7:14" hidden="1" x14ac:dyDescent="0.3">
      <c r="G5884" s="101"/>
      <c r="H5884" s="101"/>
      <c r="I5884" s="101"/>
      <c r="K5884" s="226"/>
      <c r="L5884" s="226"/>
      <c r="M5884" s="101"/>
      <c r="N5884" s="101"/>
    </row>
    <row r="5885" spans="7:14" hidden="1" x14ac:dyDescent="0.3">
      <c r="G5885" s="101"/>
      <c r="H5885" s="101"/>
      <c r="I5885" s="101"/>
      <c r="K5885" s="226"/>
      <c r="L5885" s="226"/>
      <c r="M5885" s="101"/>
      <c r="N5885" s="101"/>
    </row>
    <row r="5886" spans="7:14" hidden="1" x14ac:dyDescent="0.3">
      <c r="G5886" s="101"/>
      <c r="H5886" s="101"/>
      <c r="I5886" s="101"/>
      <c r="K5886" s="226"/>
      <c r="L5886" s="226"/>
      <c r="M5886" s="101"/>
      <c r="N5886" s="101"/>
    </row>
    <row r="5887" spans="7:14" hidden="1" x14ac:dyDescent="0.3">
      <c r="G5887" s="101"/>
      <c r="H5887" s="101"/>
      <c r="I5887" s="101"/>
      <c r="K5887" s="226"/>
      <c r="L5887" s="226"/>
      <c r="M5887" s="101"/>
      <c r="N5887" s="101"/>
    </row>
    <row r="5888" spans="7:14" hidden="1" x14ac:dyDescent="0.3">
      <c r="G5888" s="101"/>
      <c r="H5888" s="101"/>
      <c r="I5888" s="101"/>
      <c r="K5888" s="226"/>
      <c r="L5888" s="226"/>
      <c r="M5888" s="101"/>
      <c r="N5888" s="101"/>
    </row>
    <row r="5889" spans="7:14" hidden="1" x14ac:dyDescent="0.3">
      <c r="G5889" s="101"/>
      <c r="H5889" s="101"/>
      <c r="I5889" s="101"/>
      <c r="K5889" s="226"/>
      <c r="L5889" s="226"/>
      <c r="M5889" s="101"/>
      <c r="N5889" s="101"/>
    </row>
    <row r="5890" spans="7:14" hidden="1" x14ac:dyDescent="0.3">
      <c r="G5890" s="101"/>
      <c r="H5890" s="101"/>
      <c r="I5890" s="101"/>
      <c r="K5890" s="226"/>
      <c r="L5890" s="226"/>
      <c r="M5890" s="101"/>
      <c r="N5890" s="101"/>
    </row>
    <row r="5891" spans="7:14" hidden="1" x14ac:dyDescent="0.3">
      <c r="G5891" s="101"/>
      <c r="H5891" s="101"/>
      <c r="I5891" s="101"/>
      <c r="K5891" s="226"/>
      <c r="L5891" s="226"/>
      <c r="M5891" s="101"/>
      <c r="N5891" s="101"/>
    </row>
    <row r="5892" spans="7:14" hidden="1" x14ac:dyDescent="0.3">
      <c r="G5892" s="101"/>
      <c r="H5892" s="101"/>
      <c r="I5892" s="101"/>
      <c r="K5892" s="226"/>
      <c r="L5892" s="226"/>
      <c r="M5892" s="101"/>
      <c r="N5892" s="101"/>
    </row>
    <row r="5893" spans="7:14" hidden="1" x14ac:dyDescent="0.3">
      <c r="G5893" s="101"/>
      <c r="H5893" s="101"/>
      <c r="I5893" s="101"/>
      <c r="K5893" s="226"/>
      <c r="L5893" s="226"/>
      <c r="M5893" s="101"/>
      <c r="N5893" s="101"/>
    </row>
    <row r="5894" spans="7:14" hidden="1" x14ac:dyDescent="0.3">
      <c r="G5894" s="101"/>
      <c r="H5894" s="101"/>
      <c r="I5894" s="101"/>
      <c r="K5894" s="226"/>
      <c r="L5894" s="226"/>
      <c r="M5894" s="101"/>
      <c r="N5894" s="101"/>
    </row>
    <row r="5895" spans="7:14" hidden="1" x14ac:dyDescent="0.3">
      <c r="G5895" s="101"/>
      <c r="H5895" s="101"/>
      <c r="I5895" s="101"/>
      <c r="K5895" s="226"/>
      <c r="L5895" s="226"/>
      <c r="M5895" s="101"/>
      <c r="N5895" s="101"/>
    </row>
    <row r="5896" spans="7:14" hidden="1" x14ac:dyDescent="0.3">
      <c r="G5896" s="101"/>
      <c r="H5896" s="101"/>
      <c r="I5896" s="101"/>
      <c r="K5896" s="226"/>
      <c r="L5896" s="226"/>
      <c r="M5896" s="101"/>
      <c r="N5896" s="101"/>
    </row>
    <row r="5897" spans="7:14" hidden="1" x14ac:dyDescent="0.3">
      <c r="G5897" s="101"/>
      <c r="H5897" s="101"/>
      <c r="I5897" s="101"/>
      <c r="K5897" s="226"/>
      <c r="L5897" s="226"/>
      <c r="M5897" s="101"/>
      <c r="N5897" s="101"/>
    </row>
    <row r="5898" spans="7:14" hidden="1" x14ac:dyDescent="0.3">
      <c r="G5898" s="101"/>
      <c r="H5898" s="101"/>
      <c r="I5898" s="101"/>
      <c r="K5898" s="226"/>
      <c r="L5898" s="226"/>
      <c r="M5898" s="101"/>
      <c r="N5898" s="101"/>
    </row>
    <row r="5899" spans="7:14" hidden="1" x14ac:dyDescent="0.3">
      <c r="G5899" s="101"/>
      <c r="H5899" s="101"/>
      <c r="I5899" s="101"/>
      <c r="K5899" s="226"/>
      <c r="L5899" s="226"/>
      <c r="M5899" s="101"/>
      <c r="N5899" s="101"/>
    </row>
    <row r="5900" spans="7:14" hidden="1" x14ac:dyDescent="0.3">
      <c r="G5900" s="101"/>
      <c r="H5900" s="101"/>
      <c r="I5900" s="101"/>
      <c r="K5900" s="226"/>
      <c r="L5900" s="226"/>
      <c r="M5900" s="101"/>
      <c r="N5900" s="101"/>
    </row>
    <row r="5901" spans="7:14" hidden="1" x14ac:dyDescent="0.3">
      <c r="G5901" s="101"/>
      <c r="H5901" s="101"/>
      <c r="I5901" s="101"/>
      <c r="K5901" s="226"/>
      <c r="L5901" s="226"/>
      <c r="M5901" s="101"/>
      <c r="N5901" s="101"/>
    </row>
    <row r="5902" spans="7:14" hidden="1" x14ac:dyDescent="0.3">
      <c r="G5902" s="101"/>
      <c r="H5902" s="101"/>
      <c r="I5902" s="101"/>
      <c r="K5902" s="226"/>
      <c r="L5902" s="226"/>
      <c r="M5902" s="101"/>
      <c r="N5902" s="101"/>
    </row>
    <row r="5903" spans="7:14" hidden="1" x14ac:dyDescent="0.3">
      <c r="G5903" s="101"/>
      <c r="H5903" s="101"/>
      <c r="I5903" s="101"/>
      <c r="K5903" s="226"/>
      <c r="L5903" s="226"/>
      <c r="M5903" s="101"/>
      <c r="N5903" s="101"/>
    </row>
    <row r="5904" spans="7:14" hidden="1" x14ac:dyDescent="0.3">
      <c r="G5904" s="101"/>
      <c r="H5904" s="101"/>
      <c r="I5904" s="101"/>
      <c r="K5904" s="226"/>
      <c r="L5904" s="226"/>
      <c r="M5904" s="101"/>
      <c r="N5904" s="101"/>
    </row>
    <row r="5905" spans="7:14" hidden="1" x14ac:dyDescent="0.3">
      <c r="G5905" s="101"/>
      <c r="H5905" s="101"/>
      <c r="I5905" s="101"/>
      <c r="K5905" s="226"/>
      <c r="L5905" s="226"/>
      <c r="M5905" s="101"/>
      <c r="N5905" s="101"/>
    </row>
    <row r="5906" spans="7:14" hidden="1" x14ac:dyDescent="0.3">
      <c r="G5906" s="101"/>
      <c r="H5906" s="101"/>
      <c r="I5906" s="101"/>
      <c r="K5906" s="226"/>
      <c r="L5906" s="226"/>
      <c r="M5906" s="101"/>
      <c r="N5906" s="101"/>
    </row>
    <row r="5907" spans="7:14" hidden="1" x14ac:dyDescent="0.3">
      <c r="G5907" s="101"/>
      <c r="H5907" s="101"/>
      <c r="I5907" s="101"/>
      <c r="K5907" s="226"/>
      <c r="L5907" s="226"/>
      <c r="M5907" s="101"/>
      <c r="N5907" s="101"/>
    </row>
    <row r="5908" spans="7:14" hidden="1" x14ac:dyDescent="0.3">
      <c r="G5908" s="101"/>
      <c r="H5908" s="101"/>
      <c r="I5908" s="101"/>
      <c r="K5908" s="226"/>
      <c r="L5908" s="226"/>
      <c r="M5908" s="101"/>
      <c r="N5908" s="101"/>
    </row>
    <row r="5909" spans="7:14" hidden="1" x14ac:dyDescent="0.3">
      <c r="G5909" s="101"/>
      <c r="H5909" s="101"/>
      <c r="I5909" s="101"/>
      <c r="K5909" s="226"/>
      <c r="L5909" s="226"/>
      <c r="M5909" s="101"/>
      <c r="N5909" s="101"/>
    </row>
    <row r="5910" spans="7:14" hidden="1" x14ac:dyDescent="0.3">
      <c r="G5910" s="101"/>
      <c r="H5910" s="101"/>
      <c r="I5910" s="101"/>
      <c r="K5910" s="226"/>
      <c r="L5910" s="226"/>
      <c r="M5910" s="101"/>
      <c r="N5910" s="101"/>
    </row>
    <row r="5911" spans="7:14" hidden="1" x14ac:dyDescent="0.3">
      <c r="G5911" s="101"/>
      <c r="H5911" s="101"/>
      <c r="I5911" s="101"/>
      <c r="K5911" s="226"/>
      <c r="L5911" s="226"/>
      <c r="M5911" s="101"/>
      <c r="N5911" s="101"/>
    </row>
    <row r="5912" spans="7:14" hidden="1" x14ac:dyDescent="0.3">
      <c r="G5912" s="101"/>
      <c r="H5912" s="101"/>
      <c r="I5912" s="101"/>
      <c r="K5912" s="226"/>
      <c r="L5912" s="226"/>
      <c r="M5912" s="101"/>
      <c r="N5912" s="101"/>
    </row>
    <row r="5913" spans="7:14" hidden="1" x14ac:dyDescent="0.3">
      <c r="G5913" s="101"/>
      <c r="H5913" s="101"/>
      <c r="I5913" s="101"/>
      <c r="K5913" s="226"/>
      <c r="L5913" s="226"/>
      <c r="M5913" s="101"/>
      <c r="N5913" s="101"/>
    </row>
    <row r="5914" spans="7:14" hidden="1" x14ac:dyDescent="0.3">
      <c r="G5914" s="101"/>
      <c r="H5914" s="101"/>
      <c r="I5914" s="101"/>
      <c r="K5914" s="226"/>
      <c r="L5914" s="226"/>
      <c r="M5914" s="101"/>
      <c r="N5914" s="101"/>
    </row>
    <row r="5915" spans="7:14" hidden="1" x14ac:dyDescent="0.3">
      <c r="G5915" s="101"/>
      <c r="H5915" s="101"/>
      <c r="I5915" s="101"/>
      <c r="K5915" s="226"/>
      <c r="L5915" s="226"/>
      <c r="M5915" s="101"/>
      <c r="N5915" s="101"/>
    </row>
    <row r="5916" spans="7:14" hidden="1" x14ac:dyDescent="0.3">
      <c r="G5916" s="101"/>
      <c r="H5916" s="101"/>
      <c r="I5916" s="101"/>
      <c r="K5916" s="226"/>
      <c r="L5916" s="226"/>
      <c r="M5916" s="101"/>
      <c r="N5916" s="101"/>
    </row>
    <row r="5917" spans="7:14" hidden="1" x14ac:dyDescent="0.3">
      <c r="G5917" s="101"/>
      <c r="H5917" s="101"/>
      <c r="I5917" s="101"/>
      <c r="K5917" s="226"/>
      <c r="L5917" s="226"/>
      <c r="M5917" s="101"/>
      <c r="N5917" s="101"/>
    </row>
    <row r="5918" spans="7:14" hidden="1" x14ac:dyDescent="0.3">
      <c r="G5918" s="101"/>
      <c r="H5918" s="101"/>
      <c r="I5918" s="101"/>
      <c r="K5918" s="226"/>
      <c r="L5918" s="226"/>
      <c r="M5918" s="101"/>
      <c r="N5918" s="101"/>
    </row>
    <row r="5919" spans="7:14" hidden="1" x14ac:dyDescent="0.3">
      <c r="G5919" s="101"/>
      <c r="H5919" s="101"/>
      <c r="I5919" s="101"/>
      <c r="K5919" s="226"/>
      <c r="L5919" s="226"/>
      <c r="M5919" s="101"/>
      <c r="N5919" s="101"/>
    </row>
    <row r="5920" spans="7:14" hidden="1" x14ac:dyDescent="0.3">
      <c r="G5920" s="101"/>
      <c r="H5920" s="101"/>
      <c r="I5920" s="101"/>
      <c r="K5920" s="226"/>
      <c r="L5920" s="226"/>
      <c r="M5920" s="101"/>
      <c r="N5920" s="101"/>
    </row>
    <row r="5921" spans="7:14" hidden="1" x14ac:dyDescent="0.3">
      <c r="G5921" s="101"/>
      <c r="H5921" s="101"/>
      <c r="I5921" s="101"/>
      <c r="K5921" s="226"/>
      <c r="L5921" s="226"/>
      <c r="M5921" s="101"/>
      <c r="N5921" s="101"/>
    </row>
    <row r="5922" spans="7:14" hidden="1" x14ac:dyDescent="0.3">
      <c r="G5922" s="101"/>
      <c r="H5922" s="101"/>
      <c r="I5922" s="101"/>
      <c r="K5922" s="226"/>
      <c r="L5922" s="226"/>
      <c r="M5922" s="101"/>
      <c r="N5922" s="101"/>
    </row>
    <row r="5923" spans="7:14" hidden="1" x14ac:dyDescent="0.3">
      <c r="G5923" s="101"/>
      <c r="H5923" s="101"/>
      <c r="I5923" s="101"/>
      <c r="K5923" s="226"/>
      <c r="L5923" s="226"/>
      <c r="M5923" s="101"/>
      <c r="N5923" s="101"/>
    </row>
    <row r="5924" spans="7:14" hidden="1" x14ac:dyDescent="0.3">
      <c r="G5924" s="101"/>
      <c r="H5924" s="101"/>
      <c r="I5924" s="101"/>
      <c r="K5924" s="226"/>
      <c r="L5924" s="226"/>
      <c r="M5924" s="101"/>
      <c r="N5924" s="101"/>
    </row>
    <row r="5925" spans="7:14" hidden="1" x14ac:dyDescent="0.3">
      <c r="G5925" s="101"/>
      <c r="H5925" s="101"/>
      <c r="I5925" s="101"/>
      <c r="K5925" s="226"/>
      <c r="L5925" s="226"/>
      <c r="M5925" s="101"/>
      <c r="N5925" s="101"/>
    </row>
    <row r="5926" spans="7:14" hidden="1" x14ac:dyDescent="0.3">
      <c r="G5926" s="101"/>
      <c r="H5926" s="101"/>
      <c r="I5926" s="101"/>
      <c r="K5926" s="226"/>
      <c r="L5926" s="226"/>
      <c r="M5926" s="101"/>
      <c r="N5926" s="101"/>
    </row>
    <row r="5927" spans="7:14" hidden="1" x14ac:dyDescent="0.3">
      <c r="G5927" s="101"/>
      <c r="H5927" s="101"/>
      <c r="I5927" s="101"/>
      <c r="K5927" s="226"/>
      <c r="L5927" s="226"/>
      <c r="M5927" s="101"/>
      <c r="N5927" s="101"/>
    </row>
    <row r="5928" spans="7:14" hidden="1" x14ac:dyDescent="0.3">
      <c r="G5928" s="101"/>
      <c r="H5928" s="101"/>
      <c r="I5928" s="101"/>
      <c r="K5928" s="226"/>
      <c r="L5928" s="226"/>
      <c r="M5928" s="101"/>
      <c r="N5928" s="101"/>
    </row>
    <row r="5929" spans="7:14" hidden="1" x14ac:dyDescent="0.3">
      <c r="G5929" s="101"/>
      <c r="H5929" s="101"/>
      <c r="I5929" s="101"/>
      <c r="K5929" s="226"/>
      <c r="L5929" s="226"/>
      <c r="M5929" s="101"/>
      <c r="N5929" s="101"/>
    </row>
    <row r="5930" spans="7:14" hidden="1" x14ac:dyDescent="0.3">
      <c r="G5930" s="101"/>
      <c r="H5930" s="101"/>
      <c r="I5930" s="101"/>
      <c r="K5930" s="226"/>
      <c r="L5930" s="226"/>
      <c r="M5930" s="101"/>
      <c r="N5930" s="101"/>
    </row>
    <row r="5931" spans="7:14" hidden="1" x14ac:dyDescent="0.3">
      <c r="G5931" s="101"/>
      <c r="H5931" s="101"/>
      <c r="I5931" s="101"/>
      <c r="K5931" s="226"/>
      <c r="L5931" s="226"/>
      <c r="M5931" s="101"/>
      <c r="N5931" s="101"/>
    </row>
    <row r="5932" spans="7:14" hidden="1" x14ac:dyDescent="0.3">
      <c r="G5932" s="101"/>
      <c r="H5932" s="101"/>
      <c r="I5932" s="101"/>
      <c r="K5932" s="226"/>
      <c r="L5932" s="226"/>
      <c r="M5932" s="101"/>
      <c r="N5932" s="101"/>
    </row>
    <row r="5933" spans="7:14" hidden="1" x14ac:dyDescent="0.3">
      <c r="G5933" s="101"/>
      <c r="H5933" s="101"/>
      <c r="I5933" s="101"/>
      <c r="K5933" s="226"/>
      <c r="L5933" s="226"/>
      <c r="M5933" s="101"/>
      <c r="N5933" s="101"/>
    </row>
    <row r="5934" spans="7:14" hidden="1" x14ac:dyDescent="0.3">
      <c r="G5934" s="101"/>
      <c r="H5934" s="101"/>
      <c r="I5934" s="101"/>
      <c r="K5934" s="226"/>
      <c r="L5934" s="226"/>
      <c r="M5934" s="101"/>
      <c r="N5934" s="101"/>
    </row>
    <row r="5935" spans="7:14" hidden="1" x14ac:dyDescent="0.3">
      <c r="G5935" s="101"/>
      <c r="H5935" s="101"/>
      <c r="I5935" s="101"/>
      <c r="K5935" s="226"/>
      <c r="L5935" s="226"/>
      <c r="M5935" s="101"/>
      <c r="N5935" s="101"/>
    </row>
    <row r="5936" spans="7:14" hidden="1" x14ac:dyDescent="0.3">
      <c r="G5936" s="101"/>
      <c r="H5936" s="101"/>
      <c r="I5936" s="101"/>
      <c r="K5936" s="226"/>
      <c r="L5936" s="226"/>
      <c r="M5936" s="101"/>
      <c r="N5936" s="101"/>
    </row>
    <row r="5937" spans="7:14" hidden="1" x14ac:dyDescent="0.3">
      <c r="G5937" s="101"/>
      <c r="H5937" s="101"/>
      <c r="I5937" s="101"/>
      <c r="K5937" s="226"/>
      <c r="L5937" s="226"/>
      <c r="M5937" s="101"/>
      <c r="N5937" s="101"/>
    </row>
    <row r="5938" spans="7:14" hidden="1" x14ac:dyDescent="0.3">
      <c r="G5938" s="101"/>
      <c r="H5938" s="101"/>
      <c r="I5938" s="101"/>
      <c r="K5938" s="226"/>
      <c r="L5938" s="226"/>
      <c r="M5938" s="101"/>
      <c r="N5938" s="101"/>
    </row>
    <row r="5939" spans="7:14" hidden="1" x14ac:dyDescent="0.3">
      <c r="G5939" s="101"/>
      <c r="H5939" s="101"/>
      <c r="I5939" s="101"/>
      <c r="K5939" s="226"/>
      <c r="L5939" s="226"/>
      <c r="M5939" s="101"/>
      <c r="N5939" s="101"/>
    </row>
    <row r="5940" spans="7:14" hidden="1" x14ac:dyDescent="0.3">
      <c r="G5940" s="101"/>
      <c r="H5940" s="101"/>
      <c r="I5940" s="101"/>
      <c r="K5940" s="226"/>
      <c r="L5940" s="226"/>
      <c r="M5940" s="101"/>
      <c r="N5940" s="101"/>
    </row>
    <row r="5941" spans="7:14" hidden="1" x14ac:dyDescent="0.3">
      <c r="G5941" s="101"/>
      <c r="H5941" s="101"/>
      <c r="I5941" s="101"/>
      <c r="K5941" s="226"/>
      <c r="L5941" s="226"/>
      <c r="M5941" s="101"/>
      <c r="N5941" s="101"/>
    </row>
    <row r="5942" spans="7:14" hidden="1" x14ac:dyDescent="0.3">
      <c r="G5942" s="101"/>
      <c r="H5942" s="101"/>
      <c r="I5942" s="101"/>
      <c r="K5942" s="226"/>
      <c r="L5942" s="226"/>
      <c r="M5942" s="101"/>
      <c r="N5942" s="101"/>
    </row>
    <row r="5943" spans="7:14" hidden="1" x14ac:dyDescent="0.3">
      <c r="G5943" s="101"/>
      <c r="H5943" s="101"/>
      <c r="I5943" s="101"/>
      <c r="K5943" s="226"/>
      <c r="L5943" s="226"/>
      <c r="M5943" s="101"/>
      <c r="N5943" s="101"/>
    </row>
    <row r="5944" spans="7:14" hidden="1" x14ac:dyDescent="0.3">
      <c r="G5944" s="101"/>
      <c r="H5944" s="101"/>
      <c r="I5944" s="101"/>
      <c r="K5944" s="226"/>
      <c r="L5944" s="226"/>
      <c r="M5944" s="101"/>
      <c r="N5944" s="101"/>
    </row>
    <row r="5945" spans="7:14" hidden="1" x14ac:dyDescent="0.3">
      <c r="G5945" s="101"/>
      <c r="H5945" s="101"/>
      <c r="I5945" s="101"/>
      <c r="K5945" s="226"/>
      <c r="L5945" s="226"/>
      <c r="M5945" s="101"/>
      <c r="N5945" s="101"/>
    </row>
    <row r="5946" spans="7:14" hidden="1" x14ac:dyDescent="0.3">
      <c r="G5946" s="101"/>
      <c r="H5946" s="101"/>
      <c r="I5946" s="101"/>
      <c r="K5946" s="226"/>
      <c r="L5946" s="226"/>
      <c r="M5946" s="101"/>
      <c r="N5946" s="101"/>
    </row>
    <row r="5947" spans="7:14" hidden="1" x14ac:dyDescent="0.3">
      <c r="G5947" s="101"/>
      <c r="H5947" s="101"/>
      <c r="I5947" s="101"/>
      <c r="K5947" s="226"/>
      <c r="L5947" s="226"/>
      <c r="M5947" s="101"/>
      <c r="N5947" s="101"/>
    </row>
    <row r="5948" spans="7:14" hidden="1" x14ac:dyDescent="0.3">
      <c r="G5948" s="101"/>
      <c r="H5948" s="101"/>
      <c r="I5948" s="101"/>
      <c r="K5948" s="226"/>
      <c r="L5948" s="226"/>
      <c r="M5948" s="101"/>
      <c r="N5948" s="101"/>
    </row>
    <row r="5949" spans="7:14" hidden="1" x14ac:dyDescent="0.3">
      <c r="G5949" s="101"/>
      <c r="H5949" s="101"/>
      <c r="I5949" s="101"/>
      <c r="K5949" s="226"/>
      <c r="L5949" s="226"/>
      <c r="M5949" s="101"/>
      <c r="N5949" s="101"/>
    </row>
    <row r="5950" spans="7:14" hidden="1" x14ac:dyDescent="0.3">
      <c r="G5950" s="101"/>
      <c r="H5950" s="101"/>
      <c r="I5950" s="101"/>
      <c r="K5950" s="226"/>
      <c r="L5950" s="226"/>
      <c r="M5950" s="101"/>
      <c r="N5950" s="101"/>
    </row>
    <row r="5951" spans="7:14" hidden="1" x14ac:dyDescent="0.3">
      <c r="G5951" s="101"/>
      <c r="H5951" s="101"/>
      <c r="I5951" s="101"/>
      <c r="K5951" s="226"/>
      <c r="L5951" s="226"/>
      <c r="M5951" s="101"/>
      <c r="N5951" s="101"/>
    </row>
    <row r="5952" spans="7:14" hidden="1" x14ac:dyDescent="0.3">
      <c r="G5952" s="101"/>
      <c r="H5952" s="101"/>
      <c r="I5952" s="101"/>
      <c r="K5952" s="226"/>
      <c r="L5952" s="226"/>
      <c r="M5952" s="101"/>
      <c r="N5952" s="101"/>
    </row>
    <row r="5953" spans="7:14" hidden="1" x14ac:dyDescent="0.3">
      <c r="G5953" s="101"/>
      <c r="H5953" s="101"/>
      <c r="I5953" s="101"/>
      <c r="K5953" s="226"/>
      <c r="L5953" s="226"/>
      <c r="M5953" s="101"/>
      <c r="N5953" s="101"/>
    </row>
    <row r="5954" spans="7:14" hidden="1" x14ac:dyDescent="0.3">
      <c r="G5954" s="101"/>
      <c r="H5954" s="101"/>
      <c r="I5954" s="101"/>
      <c r="K5954" s="226"/>
      <c r="L5954" s="226"/>
      <c r="M5954" s="101"/>
      <c r="N5954" s="101"/>
    </row>
    <row r="5955" spans="7:14" hidden="1" x14ac:dyDescent="0.3">
      <c r="G5955" s="101"/>
      <c r="H5955" s="101"/>
      <c r="I5955" s="101"/>
      <c r="K5955" s="226"/>
      <c r="L5955" s="226"/>
      <c r="M5955" s="101"/>
      <c r="N5955" s="101"/>
    </row>
    <row r="5956" spans="7:14" hidden="1" x14ac:dyDescent="0.3">
      <c r="G5956" s="101"/>
      <c r="H5956" s="101"/>
      <c r="I5956" s="101"/>
      <c r="K5956" s="226"/>
      <c r="L5956" s="226"/>
      <c r="M5956" s="101"/>
      <c r="N5956" s="101"/>
    </row>
    <row r="5957" spans="7:14" hidden="1" x14ac:dyDescent="0.3">
      <c r="G5957" s="101"/>
      <c r="H5957" s="101"/>
      <c r="I5957" s="101"/>
      <c r="K5957" s="226"/>
      <c r="L5957" s="226"/>
      <c r="M5957" s="101"/>
      <c r="N5957" s="101"/>
    </row>
    <row r="5958" spans="7:14" hidden="1" x14ac:dyDescent="0.3">
      <c r="G5958" s="101"/>
      <c r="H5958" s="101"/>
      <c r="I5958" s="101"/>
      <c r="K5958" s="226"/>
      <c r="L5958" s="226"/>
      <c r="M5958" s="101"/>
      <c r="N5958" s="101"/>
    </row>
    <row r="5959" spans="7:14" hidden="1" x14ac:dyDescent="0.3">
      <c r="G5959" s="101"/>
      <c r="H5959" s="101"/>
      <c r="I5959" s="101"/>
      <c r="K5959" s="226"/>
      <c r="L5959" s="226"/>
      <c r="M5959" s="101"/>
      <c r="N5959" s="101"/>
    </row>
    <row r="5960" spans="7:14" hidden="1" x14ac:dyDescent="0.3">
      <c r="G5960" s="101"/>
      <c r="H5960" s="101"/>
      <c r="I5960" s="101"/>
      <c r="K5960" s="226"/>
      <c r="L5960" s="226"/>
      <c r="M5960" s="101"/>
      <c r="N5960" s="101"/>
    </row>
    <row r="5961" spans="7:14" hidden="1" x14ac:dyDescent="0.3">
      <c r="G5961" s="101"/>
      <c r="H5961" s="101"/>
      <c r="I5961" s="101"/>
      <c r="K5961" s="226"/>
      <c r="L5961" s="226"/>
      <c r="M5961" s="101"/>
      <c r="N5961" s="101"/>
    </row>
    <row r="5962" spans="7:14" hidden="1" x14ac:dyDescent="0.3">
      <c r="G5962" s="101"/>
      <c r="H5962" s="101"/>
      <c r="I5962" s="101"/>
      <c r="K5962" s="226"/>
      <c r="L5962" s="226"/>
      <c r="M5962" s="101"/>
      <c r="N5962" s="101"/>
    </row>
    <row r="5963" spans="7:14" hidden="1" x14ac:dyDescent="0.3">
      <c r="G5963" s="101"/>
      <c r="H5963" s="101"/>
      <c r="I5963" s="101"/>
      <c r="K5963" s="226"/>
      <c r="L5963" s="226"/>
      <c r="M5963" s="101"/>
      <c r="N5963" s="101"/>
    </row>
    <row r="5964" spans="7:14" hidden="1" x14ac:dyDescent="0.3">
      <c r="G5964" s="101"/>
      <c r="H5964" s="101"/>
      <c r="I5964" s="101"/>
      <c r="K5964" s="226"/>
      <c r="L5964" s="226"/>
      <c r="M5964" s="101"/>
      <c r="N5964" s="101"/>
    </row>
    <row r="5965" spans="7:14" hidden="1" x14ac:dyDescent="0.3">
      <c r="G5965" s="101"/>
      <c r="H5965" s="101"/>
      <c r="I5965" s="101"/>
      <c r="K5965" s="226"/>
      <c r="L5965" s="226"/>
      <c r="M5965" s="101"/>
      <c r="N5965" s="101"/>
    </row>
    <row r="5966" spans="7:14" hidden="1" x14ac:dyDescent="0.3">
      <c r="G5966" s="101"/>
      <c r="H5966" s="101"/>
      <c r="I5966" s="101"/>
      <c r="K5966" s="226"/>
      <c r="L5966" s="226"/>
      <c r="M5966" s="101"/>
      <c r="N5966" s="101"/>
    </row>
    <row r="5967" spans="7:14" hidden="1" x14ac:dyDescent="0.3">
      <c r="G5967" s="101"/>
      <c r="H5967" s="101"/>
      <c r="I5967" s="101"/>
      <c r="K5967" s="226"/>
      <c r="L5967" s="226"/>
      <c r="M5967" s="101"/>
      <c r="N5967" s="101"/>
    </row>
    <row r="5968" spans="7:14" hidden="1" x14ac:dyDescent="0.3">
      <c r="G5968" s="101"/>
      <c r="H5968" s="101"/>
      <c r="I5968" s="101"/>
      <c r="K5968" s="226"/>
      <c r="L5968" s="226"/>
      <c r="M5968" s="101"/>
      <c r="N5968" s="101"/>
    </row>
    <row r="5969" spans="7:14" hidden="1" x14ac:dyDescent="0.3">
      <c r="G5969" s="101"/>
      <c r="H5969" s="101"/>
      <c r="I5969" s="101"/>
      <c r="K5969" s="226"/>
      <c r="L5969" s="226"/>
      <c r="M5969" s="101"/>
      <c r="N5969" s="101"/>
    </row>
    <row r="5970" spans="7:14" hidden="1" x14ac:dyDescent="0.3">
      <c r="G5970" s="101"/>
      <c r="H5970" s="101"/>
      <c r="I5970" s="101"/>
      <c r="K5970" s="226"/>
      <c r="L5970" s="226"/>
      <c r="M5970" s="101"/>
      <c r="N5970" s="101"/>
    </row>
    <row r="5971" spans="7:14" hidden="1" x14ac:dyDescent="0.3">
      <c r="G5971" s="101"/>
      <c r="H5971" s="101"/>
      <c r="I5971" s="101"/>
      <c r="K5971" s="226"/>
      <c r="L5971" s="226"/>
      <c r="M5971" s="101"/>
      <c r="N5971" s="101"/>
    </row>
    <row r="5972" spans="7:14" hidden="1" x14ac:dyDescent="0.3">
      <c r="G5972" s="101"/>
      <c r="H5972" s="101"/>
      <c r="I5972" s="101"/>
      <c r="K5972" s="226"/>
      <c r="L5972" s="226"/>
      <c r="M5972" s="101"/>
      <c r="N5972" s="101"/>
    </row>
    <row r="5973" spans="7:14" hidden="1" x14ac:dyDescent="0.3">
      <c r="G5973" s="101"/>
      <c r="H5973" s="101"/>
      <c r="I5973" s="101"/>
      <c r="K5973" s="226"/>
      <c r="L5973" s="226"/>
      <c r="M5973" s="101"/>
      <c r="N5973" s="101"/>
    </row>
    <row r="5974" spans="7:14" hidden="1" x14ac:dyDescent="0.3">
      <c r="G5974" s="101"/>
      <c r="H5974" s="101"/>
      <c r="I5974" s="101"/>
      <c r="K5974" s="226"/>
      <c r="L5974" s="226"/>
      <c r="M5974" s="101"/>
      <c r="N5974" s="101"/>
    </row>
    <row r="5975" spans="7:14" hidden="1" x14ac:dyDescent="0.3">
      <c r="G5975" s="101"/>
      <c r="H5975" s="101"/>
      <c r="I5975" s="101"/>
      <c r="K5975" s="226"/>
      <c r="L5975" s="226"/>
      <c r="M5975" s="101"/>
      <c r="N5975" s="101"/>
    </row>
    <row r="5976" spans="7:14" hidden="1" x14ac:dyDescent="0.3">
      <c r="G5976" s="101"/>
      <c r="H5976" s="101"/>
      <c r="I5976" s="101"/>
      <c r="K5976" s="226"/>
      <c r="L5976" s="226"/>
      <c r="M5976" s="101"/>
      <c r="N5976" s="101"/>
    </row>
    <row r="5977" spans="7:14" hidden="1" x14ac:dyDescent="0.3">
      <c r="G5977" s="101"/>
      <c r="H5977" s="101"/>
      <c r="I5977" s="101"/>
      <c r="K5977" s="226"/>
      <c r="L5977" s="226"/>
      <c r="M5977" s="101"/>
      <c r="N5977" s="101"/>
    </row>
    <row r="5978" spans="7:14" hidden="1" x14ac:dyDescent="0.3">
      <c r="G5978" s="101"/>
      <c r="H5978" s="101"/>
      <c r="I5978" s="101"/>
      <c r="K5978" s="226"/>
      <c r="L5978" s="226"/>
      <c r="M5978" s="101"/>
      <c r="N5978" s="101"/>
    </row>
    <row r="5979" spans="7:14" hidden="1" x14ac:dyDescent="0.3">
      <c r="G5979" s="101"/>
      <c r="H5979" s="101"/>
      <c r="I5979" s="101"/>
      <c r="K5979" s="226"/>
      <c r="L5979" s="226"/>
      <c r="M5979" s="101"/>
      <c r="N5979" s="101"/>
    </row>
    <row r="5980" spans="7:14" hidden="1" x14ac:dyDescent="0.3">
      <c r="G5980" s="101"/>
      <c r="H5980" s="101"/>
      <c r="I5980" s="101"/>
      <c r="K5980" s="226"/>
      <c r="L5980" s="226"/>
      <c r="M5980" s="101"/>
      <c r="N5980" s="101"/>
    </row>
    <row r="5981" spans="7:14" hidden="1" x14ac:dyDescent="0.3">
      <c r="G5981" s="101"/>
      <c r="H5981" s="101"/>
      <c r="I5981" s="101"/>
      <c r="K5981" s="226"/>
      <c r="L5981" s="226"/>
      <c r="M5981" s="101"/>
      <c r="N5981" s="101"/>
    </row>
    <row r="5982" spans="7:14" hidden="1" x14ac:dyDescent="0.3">
      <c r="G5982" s="101"/>
      <c r="H5982" s="101"/>
      <c r="I5982" s="101"/>
      <c r="K5982" s="226"/>
      <c r="L5982" s="226"/>
      <c r="M5982" s="101"/>
      <c r="N5982" s="101"/>
    </row>
    <row r="5983" spans="7:14" hidden="1" x14ac:dyDescent="0.3">
      <c r="G5983" s="101"/>
      <c r="H5983" s="101"/>
      <c r="I5983" s="101"/>
      <c r="K5983" s="226"/>
      <c r="L5983" s="226"/>
      <c r="M5983" s="101"/>
      <c r="N5983" s="101"/>
    </row>
    <row r="5984" spans="7:14" hidden="1" x14ac:dyDescent="0.3">
      <c r="G5984" s="101"/>
      <c r="H5984" s="101"/>
      <c r="I5984" s="101"/>
      <c r="K5984" s="226"/>
      <c r="L5984" s="226"/>
      <c r="M5984" s="101"/>
      <c r="N5984" s="101"/>
    </row>
    <row r="5985" spans="7:14" hidden="1" x14ac:dyDescent="0.3">
      <c r="G5985" s="101"/>
      <c r="H5985" s="101"/>
      <c r="I5985" s="101"/>
      <c r="K5985" s="226"/>
      <c r="L5985" s="226"/>
      <c r="M5985" s="101"/>
      <c r="N5985" s="101"/>
    </row>
    <row r="5986" spans="7:14" hidden="1" x14ac:dyDescent="0.3">
      <c r="G5986" s="101"/>
      <c r="H5986" s="101"/>
      <c r="I5986" s="101"/>
      <c r="K5986" s="226"/>
      <c r="L5986" s="226"/>
      <c r="M5986" s="101"/>
      <c r="N5986" s="101"/>
    </row>
    <row r="5987" spans="7:14" hidden="1" x14ac:dyDescent="0.3">
      <c r="G5987" s="101"/>
      <c r="H5987" s="101"/>
      <c r="I5987" s="101"/>
      <c r="K5987" s="226"/>
      <c r="L5987" s="226"/>
      <c r="M5987" s="101"/>
      <c r="N5987" s="101"/>
    </row>
    <row r="5988" spans="7:14" hidden="1" x14ac:dyDescent="0.3">
      <c r="G5988" s="101"/>
      <c r="H5988" s="101"/>
      <c r="I5988" s="101"/>
      <c r="K5988" s="226"/>
      <c r="L5988" s="226"/>
      <c r="M5988" s="101"/>
      <c r="N5988" s="101"/>
    </row>
    <row r="5989" spans="7:14" hidden="1" x14ac:dyDescent="0.3">
      <c r="G5989" s="101"/>
      <c r="H5989" s="101"/>
      <c r="I5989" s="101"/>
      <c r="K5989" s="226"/>
      <c r="L5989" s="226"/>
      <c r="M5989" s="101"/>
      <c r="N5989" s="101"/>
    </row>
    <row r="5990" spans="7:14" hidden="1" x14ac:dyDescent="0.3">
      <c r="G5990" s="101"/>
      <c r="H5990" s="101"/>
      <c r="I5990" s="101"/>
      <c r="K5990" s="226"/>
      <c r="L5990" s="226"/>
      <c r="M5990" s="101"/>
      <c r="N5990" s="101"/>
    </row>
    <row r="5991" spans="7:14" hidden="1" x14ac:dyDescent="0.3">
      <c r="G5991" s="101"/>
      <c r="H5991" s="101"/>
      <c r="I5991" s="101"/>
      <c r="K5991" s="226"/>
      <c r="L5991" s="226"/>
      <c r="M5991" s="101"/>
      <c r="N5991" s="101"/>
    </row>
    <row r="5992" spans="7:14" hidden="1" x14ac:dyDescent="0.3">
      <c r="G5992" s="101"/>
      <c r="H5992" s="101"/>
      <c r="I5992" s="101"/>
      <c r="K5992" s="226"/>
      <c r="L5992" s="226"/>
      <c r="M5992" s="101"/>
      <c r="N5992" s="101"/>
    </row>
    <row r="5993" spans="7:14" hidden="1" x14ac:dyDescent="0.3">
      <c r="G5993" s="101"/>
      <c r="H5993" s="101"/>
      <c r="I5993" s="101"/>
      <c r="K5993" s="226"/>
      <c r="L5993" s="226"/>
      <c r="M5993" s="101"/>
      <c r="N5993" s="101"/>
    </row>
    <row r="5994" spans="7:14" hidden="1" x14ac:dyDescent="0.3">
      <c r="G5994" s="101"/>
      <c r="H5994" s="101"/>
      <c r="I5994" s="101"/>
      <c r="K5994" s="226"/>
      <c r="L5994" s="226"/>
      <c r="M5994" s="101"/>
      <c r="N5994" s="101"/>
    </row>
    <row r="5995" spans="7:14" hidden="1" x14ac:dyDescent="0.3">
      <c r="G5995" s="101"/>
      <c r="H5995" s="101"/>
      <c r="I5995" s="101"/>
      <c r="K5995" s="226"/>
      <c r="L5995" s="226"/>
      <c r="M5995" s="101"/>
      <c r="N5995" s="101"/>
    </row>
    <row r="5996" spans="7:14" hidden="1" x14ac:dyDescent="0.3">
      <c r="G5996" s="101"/>
      <c r="H5996" s="101"/>
      <c r="I5996" s="101"/>
      <c r="K5996" s="226"/>
      <c r="L5996" s="226"/>
      <c r="M5996" s="101"/>
      <c r="N5996" s="101"/>
    </row>
    <row r="5997" spans="7:14" hidden="1" x14ac:dyDescent="0.3">
      <c r="G5997" s="101"/>
      <c r="H5997" s="101"/>
      <c r="I5997" s="101"/>
      <c r="K5997" s="226"/>
      <c r="L5997" s="226"/>
      <c r="M5997" s="101"/>
      <c r="N5997" s="101"/>
    </row>
    <row r="5998" spans="7:14" hidden="1" x14ac:dyDescent="0.3">
      <c r="G5998" s="101"/>
      <c r="H5998" s="101"/>
      <c r="I5998" s="101"/>
      <c r="K5998" s="226"/>
      <c r="L5998" s="226"/>
      <c r="M5998" s="101"/>
      <c r="N5998" s="101"/>
    </row>
    <row r="5999" spans="7:14" hidden="1" x14ac:dyDescent="0.3">
      <c r="G5999" s="101"/>
      <c r="H5999" s="101"/>
      <c r="I5999" s="101"/>
      <c r="K5999" s="226"/>
      <c r="L5999" s="226"/>
      <c r="M5999" s="101"/>
      <c r="N5999" s="101"/>
    </row>
    <row r="6000" spans="7:14" hidden="1" x14ac:dyDescent="0.3">
      <c r="G6000" s="101"/>
      <c r="H6000" s="101"/>
      <c r="I6000" s="101"/>
      <c r="K6000" s="226"/>
      <c r="L6000" s="226"/>
      <c r="M6000" s="101"/>
      <c r="N6000" s="101"/>
    </row>
    <row r="6001" spans="7:14" hidden="1" x14ac:dyDescent="0.3">
      <c r="G6001" s="101"/>
      <c r="H6001" s="101"/>
      <c r="I6001" s="101"/>
      <c r="K6001" s="226"/>
      <c r="L6001" s="226"/>
      <c r="M6001" s="101"/>
      <c r="N6001" s="101"/>
    </row>
    <row r="6002" spans="7:14" hidden="1" x14ac:dyDescent="0.3">
      <c r="G6002" s="101"/>
      <c r="H6002" s="101"/>
      <c r="I6002" s="101"/>
      <c r="K6002" s="226"/>
      <c r="L6002" s="226"/>
      <c r="M6002" s="101"/>
      <c r="N6002" s="101"/>
    </row>
    <row r="6003" spans="7:14" hidden="1" x14ac:dyDescent="0.3">
      <c r="G6003" s="101"/>
      <c r="H6003" s="101"/>
      <c r="I6003" s="101"/>
      <c r="K6003" s="226"/>
      <c r="L6003" s="226"/>
      <c r="M6003" s="101"/>
      <c r="N6003" s="101"/>
    </row>
    <row r="6004" spans="7:14" hidden="1" x14ac:dyDescent="0.3">
      <c r="G6004" s="101"/>
      <c r="H6004" s="101"/>
      <c r="I6004" s="101"/>
      <c r="K6004" s="226"/>
      <c r="L6004" s="226"/>
      <c r="M6004" s="101"/>
      <c r="N6004" s="101"/>
    </row>
    <row r="6005" spans="7:14" hidden="1" x14ac:dyDescent="0.3">
      <c r="G6005" s="101"/>
      <c r="H6005" s="101"/>
      <c r="I6005" s="101"/>
      <c r="K6005" s="226"/>
      <c r="L6005" s="226"/>
      <c r="M6005" s="101"/>
      <c r="N6005" s="101"/>
    </row>
    <row r="6006" spans="7:14" hidden="1" x14ac:dyDescent="0.3">
      <c r="G6006" s="101"/>
      <c r="H6006" s="101"/>
      <c r="I6006" s="101"/>
      <c r="K6006" s="226"/>
      <c r="L6006" s="226"/>
      <c r="M6006" s="101"/>
      <c r="N6006" s="101"/>
    </row>
    <row r="6007" spans="7:14" hidden="1" x14ac:dyDescent="0.3">
      <c r="G6007" s="101"/>
      <c r="H6007" s="101"/>
      <c r="I6007" s="101"/>
      <c r="K6007" s="226"/>
      <c r="L6007" s="226"/>
      <c r="M6007" s="101"/>
      <c r="N6007" s="101"/>
    </row>
    <row r="6008" spans="7:14" hidden="1" x14ac:dyDescent="0.3">
      <c r="G6008" s="101"/>
      <c r="H6008" s="101"/>
      <c r="I6008" s="101"/>
      <c r="K6008" s="226"/>
      <c r="L6008" s="226"/>
      <c r="M6008" s="101"/>
      <c r="N6008" s="101"/>
    </row>
    <row r="6009" spans="7:14" hidden="1" x14ac:dyDescent="0.3">
      <c r="G6009" s="101"/>
      <c r="H6009" s="101"/>
      <c r="I6009" s="101"/>
      <c r="K6009" s="226"/>
      <c r="L6009" s="226"/>
      <c r="M6009" s="101"/>
      <c r="N6009" s="101"/>
    </row>
    <row r="6010" spans="7:14" hidden="1" x14ac:dyDescent="0.3">
      <c r="G6010" s="101"/>
      <c r="H6010" s="101"/>
      <c r="I6010" s="101"/>
      <c r="K6010" s="226"/>
      <c r="L6010" s="226"/>
      <c r="M6010" s="101"/>
      <c r="N6010" s="101"/>
    </row>
    <row r="6011" spans="7:14" hidden="1" x14ac:dyDescent="0.3">
      <c r="G6011" s="101"/>
      <c r="H6011" s="101"/>
      <c r="I6011" s="101"/>
      <c r="K6011" s="226"/>
      <c r="L6011" s="226"/>
      <c r="M6011" s="101"/>
      <c r="N6011" s="101"/>
    </row>
    <row r="6012" spans="7:14" hidden="1" x14ac:dyDescent="0.3">
      <c r="G6012" s="101"/>
      <c r="H6012" s="101"/>
      <c r="I6012" s="101"/>
      <c r="K6012" s="226"/>
      <c r="L6012" s="226"/>
      <c r="M6012" s="101"/>
      <c r="N6012" s="101"/>
    </row>
    <row r="6013" spans="7:14" hidden="1" x14ac:dyDescent="0.3">
      <c r="G6013" s="101"/>
      <c r="H6013" s="101"/>
      <c r="I6013" s="101"/>
      <c r="K6013" s="226"/>
      <c r="L6013" s="226"/>
      <c r="M6013" s="101"/>
      <c r="N6013" s="101"/>
    </row>
    <row r="6014" spans="7:14" hidden="1" x14ac:dyDescent="0.3">
      <c r="G6014" s="101"/>
      <c r="H6014" s="101"/>
      <c r="I6014" s="101"/>
      <c r="K6014" s="226"/>
      <c r="L6014" s="226"/>
      <c r="M6014" s="101"/>
      <c r="N6014" s="101"/>
    </row>
    <row r="6015" spans="7:14" hidden="1" x14ac:dyDescent="0.3">
      <c r="G6015" s="101"/>
      <c r="H6015" s="101"/>
      <c r="I6015" s="101"/>
      <c r="K6015" s="226"/>
      <c r="L6015" s="226"/>
      <c r="M6015" s="101"/>
      <c r="N6015" s="101"/>
    </row>
    <row r="6016" spans="7:14" hidden="1" x14ac:dyDescent="0.3">
      <c r="G6016" s="101"/>
      <c r="H6016" s="101"/>
      <c r="I6016" s="101"/>
      <c r="K6016" s="226"/>
      <c r="L6016" s="226"/>
      <c r="M6016" s="101"/>
      <c r="N6016" s="101"/>
    </row>
    <row r="6017" spans="7:14" hidden="1" x14ac:dyDescent="0.3">
      <c r="G6017" s="101"/>
      <c r="H6017" s="101"/>
      <c r="I6017" s="101"/>
      <c r="K6017" s="226"/>
      <c r="L6017" s="226"/>
      <c r="M6017" s="101"/>
      <c r="N6017" s="101"/>
    </row>
    <row r="6018" spans="7:14" hidden="1" x14ac:dyDescent="0.3">
      <c r="G6018" s="101"/>
      <c r="H6018" s="101"/>
      <c r="I6018" s="101"/>
      <c r="K6018" s="226"/>
      <c r="L6018" s="226"/>
      <c r="M6018" s="101"/>
      <c r="N6018" s="101"/>
    </row>
    <row r="6019" spans="7:14" hidden="1" x14ac:dyDescent="0.3">
      <c r="G6019" s="101"/>
      <c r="H6019" s="101"/>
      <c r="I6019" s="101"/>
      <c r="K6019" s="226"/>
      <c r="L6019" s="226"/>
      <c r="M6019" s="101"/>
      <c r="N6019" s="101"/>
    </row>
    <row r="6020" spans="7:14" hidden="1" x14ac:dyDescent="0.3">
      <c r="G6020" s="101"/>
      <c r="H6020" s="101"/>
      <c r="I6020" s="101"/>
      <c r="K6020" s="226"/>
      <c r="L6020" s="226"/>
      <c r="M6020" s="101"/>
      <c r="N6020" s="101"/>
    </row>
    <row r="6021" spans="7:14" hidden="1" x14ac:dyDescent="0.3">
      <c r="G6021" s="101"/>
      <c r="H6021" s="101"/>
      <c r="I6021" s="101"/>
      <c r="K6021" s="226"/>
      <c r="L6021" s="226"/>
      <c r="M6021" s="101"/>
      <c r="N6021" s="101"/>
    </row>
    <row r="6022" spans="7:14" hidden="1" x14ac:dyDescent="0.3">
      <c r="G6022" s="101"/>
      <c r="H6022" s="101"/>
      <c r="I6022" s="101"/>
      <c r="K6022" s="226"/>
      <c r="L6022" s="226"/>
      <c r="M6022" s="101"/>
      <c r="N6022" s="101"/>
    </row>
    <row r="6023" spans="7:14" hidden="1" x14ac:dyDescent="0.3">
      <c r="G6023" s="101"/>
      <c r="H6023" s="101"/>
      <c r="I6023" s="101"/>
      <c r="K6023" s="226"/>
      <c r="L6023" s="226"/>
      <c r="M6023" s="101"/>
      <c r="N6023" s="101"/>
    </row>
    <row r="6024" spans="7:14" hidden="1" x14ac:dyDescent="0.3">
      <c r="G6024" s="101"/>
      <c r="H6024" s="101"/>
      <c r="I6024" s="101"/>
      <c r="K6024" s="226"/>
      <c r="L6024" s="226"/>
      <c r="M6024" s="101"/>
      <c r="N6024" s="101"/>
    </row>
    <row r="6025" spans="7:14" hidden="1" x14ac:dyDescent="0.3">
      <c r="G6025" s="101"/>
      <c r="H6025" s="101"/>
      <c r="I6025" s="101"/>
      <c r="K6025" s="226"/>
      <c r="L6025" s="226"/>
      <c r="M6025" s="101"/>
      <c r="N6025" s="101"/>
    </row>
    <row r="6026" spans="7:14" hidden="1" x14ac:dyDescent="0.3">
      <c r="G6026" s="101"/>
      <c r="H6026" s="101"/>
      <c r="I6026" s="101"/>
      <c r="K6026" s="226"/>
      <c r="L6026" s="226"/>
      <c r="M6026" s="101"/>
      <c r="N6026" s="101"/>
    </row>
    <row r="6027" spans="7:14" hidden="1" x14ac:dyDescent="0.3">
      <c r="G6027" s="101"/>
      <c r="H6027" s="101"/>
      <c r="I6027" s="101"/>
      <c r="K6027" s="226"/>
      <c r="L6027" s="226"/>
      <c r="M6027" s="101"/>
      <c r="N6027" s="101"/>
    </row>
    <row r="6028" spans="7:14" hidden="1" x14ac:dyDescent="0.3">
      <c r="G6028" s="101"/>
      <c r="H6028" s="101"/>
      <c r="I6028" s="101"/>
      <c r="K6028" s="226"/>
      <c r="L6028" s="226"/>
      <c r="M6028" s="101"/>
      <c r="N6028" s="101"/>
    </row>
    <row r="6029" spans="7:14" hidden="1" x14ac:dyDescent="0.3">
      <c r="G6029" s="101"/>
      <c r="H6029" s="101"/>
      <c r="I6029" s="101"/>
      <c r="K6029" s="226"/>
      <c r="L6029" s="226"/>
      <c r="M6029" s="101"/>
      <c r="N6029" s="101"/>
    </row>
    <row r="6030" spans="7:14" hidden="1" x14ac:dyDescent="0.3">
      <c r="G6030" s="101"/>
      <c r="H6030" s="101"/>
      <c r="I6030" s="101"/>
      <c r="K6030" s="226"/>
      <c r="L6030" s="226"/>
      <c r="M6030" s="101"/>
      <c r="N6030" s="101"/>
    </row>
    <row r="6031" spans="7:14" hidden="1" x14ac:dyDescent="0.3">
      <c r="G6031" s="101"/>
      <c r="H6031" s="101"/>
      <c r="I6031" s="101"/>
      <c r="K6031" s="226"/>
      <c r="L6031" s="226"/>
      <c r="M6031" s="101"/>
      <c r="N6031" s="101"/>
    </row>
    <row r="6032" spans="7:14" hidden="1" x14ac:dyDescent="0.3">
      <c r="G6032" s="101"/>
      <c r="H6032" s="101"/>
      <c r="I6032" s="101"/>
      <c r="K6032" s="226"/>
      <c r="L6032" s="226"/>
      <c r="M6032" s="101"/>
      <c r="N6032" s="101"/>
    </row>
    <row r="6033" spans="7:14" hidden="1" x14ac:dyDescent="0.3">
      <c r="G6033" s="101"/>
      <c r="H6033" s="101"/>
      <c r="I6033" s="101"/>
      <c r="K6033" s="226"/>
      <c r="L6033" s="226"/>
      <c r="M6033" s="101"/>
      <c r="N6033" s="101"/>
    </row>
    <row r="6034" spans="7:14" hidden="1" x14ac:dyDescent="0.3">
      <c r="G6034" s="101"/>
      <c r="H6034" s="101"/>
      <c r="I6034" s="101"/>
      <c r="K6034" s="226"/>
      <c r="L6034" s="226"/>
      <c r="M6034" s="101"/>
      <c r="N6034" s="101"/>
    </row>
    <row r="6035" spans="7:14" hidden="1" x14ac:dyDescent="0.3">
      <c r="G6035" s="101"/>
      <c r="H6035" s="101"/>
      <c r="I6035" s="101"/>
      <c r="K6035" s="226"/>
      <c r="L6035" s="226"/>
      <c r="M6035" s="101"/>
      <c r="N6035" s="101"/>
    </row>
    <row r="6036" spans="7:14" hidden="1" x14ac:dyDescent="0.3">
      <c r="G6036" s="101"/>
      <c r="H6036" s="101"/>
      <c r="I6036" s="101"/>
      <c r="K6036" s="226"/>
      <c r="L6036" s="226"/>
      <c r="M6036" s="101"/>
      <c r="N6036" s="101"/>
    </row>
    <row r="6037" spans="7:14" hidden="1" x14ac:dyDescent="0.3">
      <c r="G6037" s="101"/>
      <c r="H6037" s="101"/>
      <c r="I6037" s="101"/>
      <c r="K6037" s="226"/>
      <c r="L6037" s="226"/>
      <c r="M6037" s="101"/>
      <c r="N6037" s="101"/>
    </row>
    <row r="6038" spans="7:14" hidden="1" x14ac:dyDescent="0.3">
      <c r="G6038" s="101"/>
      <c r="H6038" s="101"/>
      <c r="I6038" s="101"/>
      <c r="K6038" s="226"/>
      <c r="L6038" s="226"/>
      <c r="M6038" s="101"/>
      <c r="N6038" s="101"/>
    </row>
    <row r="6039" spans="7:14" hidden="1" x14ac:dyDescent="0.3">
      <c r="G6039" s="101"/>
      <c r="H6039" s="101"/>
      <c r="I6039" s="101"/>
      <c r="K6039" s="226"/>
      <c r="L6039" s="226"/>
      <c r="M6039" s="101"/>
      <c r="N6039" s="101"/>
    </row>
    <row r="6040" spans="7:14" hidden="1" x14ac:dyDescent="0.3">
      <c r="G6040" s="101"/>
      <c r="H6040" s="101"/>
      <c r="I6040" s="101"/>
      <c r="K6040" s="226"/>
      <c r="L6040" s="226"/>
      <c r="M6040" s="101"/>
      <c r="N6040" s="101"/>
    </row>
    <row r="6041" spans="7:14" hidden="1" x14ac:dyDescent="0.3">
      <c r="G6041" s="101"/>
      <c r="H6041" s="101"/>
      <c r="I6041" s="101"/>
      <c r="K6041" s="226"/>
      <c r="L6041" s="226"/>
      <c r="M6041" s="101"/>
      <c r="N6041" s="101"/>
    </row>
    <row r="6042" spans="7:14" hidden="1" x14ac:dyDescent="0.3">
      <c r="G6042" s="101"/>
      <c r="H6042" s="101"/>
      <c r="I6042" s="101"/>
      <c r="K6042" s="226"/>
      <c r="L6042" s="226"/>
      <c r="M6042" s="101"/>
      <c r="N6042" s="101"/>
    </row>
    <row r="6043" spans="7:14" hidden="1" x14ac:dyDescent="0.3">
      <c r="G6043" s="101"/>
      <c r="H6043" s="101"/>
      <c r="I6043" s="101"/>
      <c r="K6043" s="226"/>
      <c r="L6043" s="226"/>
      <c r="M6043" s="101"/>
      <c r="N6043" s="101"/>
    </row>
    <row r="6044" spans="7:14" hidden="1" x14ac:dyDescent="0.3">
      <c r="G6044" s="101"/>
      <c r="H6044" s="101"/>
      <c r="I6044" s="101"/>
      <c r="K6044" s="226"/>
      <c r="L6044" s="226"/>
      <c r="M6044" s="101"/>
      <c r="N6044" s="101"/>
    </row>
    <row r="6045" spans="7:14" hidden="1" x14ac:dyDescent="0.3">
      <c r="G6045" s="101"/>
      <c r="H6045" s="101"/>
      <c r="I6045" s="101"/>
      <c r="K6045" s="226"/>
      <c r="L6045" s="226"/>
      <c r="M6045" s="101"/>
      <c r="N6045" s="101"/>
    </row>
    <row r="6046" spans="7:14" hidden="1" x14ac:dyDescent="0.3">
      <c r="G6046" s="101"/>
      <c r="H6046" s="101"/>
      <c r="I6046" s="101"/>
      <c r="K6046" s="226"/>
      <c r="L6046" s="226"/>
      <c r="M6046" s="101"/>
      <c r="N6046" s="101"/>
    </row>
    <row r="6047" spans="7:14" hidden="1" x14ac:dyDescent="0.3">
      <c r="G6047" s="101"/>
      <c r="H6047" s="101"/>
      <c r="I6047" s="101"/>
      <c r="K6047" s="226"/>
      <c r="L6047" s="226"/>
      <c r="M6047" s="101"/>
      <c r="N6047" s="101"/>
    </row>
    <row r="6048" spans="7:14" hidden="1" x14ac:dyDescent="0.3">
      <c r="G6048" s="101"/>
      <c r="H6048" s="101"/>
      <c r="I6048" s="101"/>
      <c r="K6048" s="226"/>
      <c r="L6048" s="226"/>
      <c r="M6048" s="101"/>
      <c r="N6048" s="101"/>
    </row>
    <row r="6049" spans="7:14" hidden="1" x14ac:dyDescent="0.3">
      <c r="G6049" s="101"/>
      <c r="H6049" s="101"/>
      <c r="I6049" s="101"/>
      <c r="K6049" s="226"/>
      <c r="L6049" s="226"/>
      <c r="M6049" s="101"/>
      <c r="N6049" s="101"/>
    </row>
    <row r="6050" spans="7:14" hidden="1" x14ac:dyDescent="0.3">
      <c r="G6050" s="101"/>
      <c r="H6050" s="101"/>
      <c r="I6050" s="101"/>
      <c r="K6050" s="226"/>
      <c r="L6050" s="226"/>
      <c r="M6050" s="101"/>
      <c r="N6050" s="101"/>
    </row>
    <row r="6051" spans="7:14" hidden="1" x14ac:dyDescent="0.3">
      <c r="G6051" s="101"/>
      <c r="H6051" s="101"/>
      <c r="I6051" s="101"/>
      <c r="K6051" s="226"/>
      <c r="L6051" s="226"/>
      <c r="M6051" s="101"/>
      <c r="N6051" s="101"/>
    </row>
    <row r="6052" spans="7:14" hidden="1" x14ac:dyDescent="0.3">
      <c r="G6052" s="101"/>
      <c r="H6052" s="101"/>
      <c r="I6052" s="101"/>
      <c r="K6052" s="226"/>
      <c r="L6052" s="226"/>
      <c r="M6052" s="101"/>
      <c r="N6052" s="101"/>
    </row>
    <row r="6053" spans="7:14" hidden="1" x14ac:dyDescent="0.3">
      <c r="G6053" s="101"/>
      <c r="H6053" s="101"/>
      <c r="I6053" s="101"/>
      <c r="K6053" s="226"/>
      <c r="L6053" s="226"/>
      <c r="M6053" s="101"/>
      <c r="N6053" s="101"/>
    </row>
    <row r="6054" spans="7:14" hidden="1" x14ac:dyDescent="0.3">
      <c r="G6054" s="101"/>
      <c r="H6054" s="101"/>
      <c r="I6054" s="101"/>
      <c r="K6054" s="226"/>
      <c r="L6054" s="226"/>
      <c r="M6054" s="101"/>
      <c r="N6054" s="101"/>
    </row>
    <row r="6055" spans="7:14" hidden="1" x14ac:dyDescent="0.3">
      <c r="G6055" s="101"/>
      <c r="H6055" s="101"/>
      <c r="I6055" s="101"/>
      <c r="K6055" s="226"/>
      <c r="L6055" s="226"/>
      <c r="M6055" s="101"/>
      <c r="N6055" s="101"/>
    </row>
    <row r="6056" spans="7:14" hidden="1" x14ac:dyDescent="0.3">
      <c r="G6056" s="101"/>
      <c r="H6056" s="101"/>
      <c r="I6056" s="101"/>
      <c r="K6056" s="226"/>
      <c r="L6056" s="226"/>
      <c r="M6056" s="101"/>
      <c r="N6056" s="101"/>
    </row>
    <row r="6057" spans="7:14" hidden="1" x14ac:dyDescent="0.3">
      <c r="G6057" s="101"/>
      <c r="H6057" s="101"/>
      <c r="I6057" s="101"/>
      <c r="K6057" s="226"/>
      <c r="L6057" s="226"/>
      <c r="M6057" s="101"/>
      <c r="N6057" s="101"/>
    </row>
    <row r="6058" spans="7:14" hidden="1" x14ac:dyDescent="0.3">
      <c r="G6058" s="101"/>
      <c r="H6058" s="101"/>
      <c r="I6058" s="101"/>
      <c r="K6058" s="226"/>
      <c r="L6058" s="226"/>
      <c r="M6058" s="101"/>
      <c r="N6058" s="101"/>
    </row>
    <row r="6059" spans="7:14" hidden="1" x14ac:dyDescent="0.3">
      <c r="G6059" s="101"/>
      <c r="H6059" s="101"/>
      <c r="I6059" s="101"/>
      <c r="K6059" s="226"/>
      <c r="L6059" s="226"/>
      <c r="M6059" s="101"/>
      <c r="N6059" s="101"/>
    </row>
    <row r="6060" spans="7:14" hidden="1" x14ac:dyDescent="0.3">
      <c r="G6060" s="101"/>
      <c r="H6060" s="101"/>
      <c r="I6060" s="101"/>
      <c r="K6060" s="226"/>
      <c r="L6060" s="226"/>
      <c r="M6060" s="101"/>
      <c r="N6060" s="101"/>
    </row>
    <row r="6061" spans="7:14" hidden="1" x14ac:dyDescent="0.3">
      <c r="G6061" s="101"/>
      <c r="H6061" s="101"/>
      <c r="I6061" s="101"/>
      <c r="K6061" s="226"/>
      <c r="L6061" s="226"/>
      <c r="M6061" s="101"/>
      <c r="N6061" s="101"/>
    </row>
    <row r="6062" spans="7:14" hidden="1" x14ac:dyDescent="0.3">
      <c r="G6062" s="101"/>
      <c r="H6062" s="101"/>
      <c r="I6062" s="101"/>
      <c r="K6062" s="226"/>
      <c r="L6062" s="226"/>
      <c r="M6062" s="101"/>
      <c r="N6062" s="101"/>
    </row>
    <row r="6063" spans="7:14" hidden="1" x14ac:dyDescent="0.3">
      <c r="G6063" s="101"/>
      <c r="H6063" s="101"/>
      <c r="I6063" s="101"/>
      <c r="K6063" s="226"/>
      <c r="L6063" s="226"/>
      <c r="M6063" s="101"/>
      <c r="N6063" s="101"/>
    </row>
    <row r="6064" spans="7:14" hidden="1" x14ac:dyDescent="0.3">
      <c r="G6064" s="101"/>
      <c r="H6064" s="101"/>
      <c r="I6064" s="101"/>
      <c r="K6064" s="226"/>
      <c r="L6064" s="226"/>
      <c r="M6064" s="101"/>
      <c r="N6064" s="101"/>
    </row>
    <row r="6065" spans="7:14" hidden="1" x14ac:dyDescent="0.3">
      <c r="G6065" s="101"/>
      <c r="H6065" s="101"/>
      <c r="I6065" s="101"/>
      <c r="K6065" s="226"/>
      <c r="L6065" s="226"/>
      <c r="M6065" s="101"/>
      <c r="N6065" s="101"/>
    </row>
    <row r="6066" spans="7:14" hidden="1" x14ac:dyDescent="0.3">
      <c r="G6066" s="101"/>
      <c r="H6066" s="101"/>
      <c r="I6066" s="101"/>
      <c r="K6066" s="226"/>
      <c r="L6066" s="226"/>
      <c r="M6066" s="101"/>
      <c r="N6066" s="101"/>
    </row>
    <row r="6067" spans="7:14" hidden="1" x14ac:dyDescent="0.3">
      <c r="G6067" s="101"/>
      <c r="H6067" s="101"/>
      <c r="I6067" s="101"/>
      <c r="K6067" s="226"/>
      <c r="L6067" s="226"/>
      <c r="M6067" s="101"/>
      <c r="N6067" s="101"/>
    </row>
    <row r="6068" spans="7:14" hidden="1" x14ac:dyDescent="0.3">
      <c r="G6068" s="101"/>
      <c r="H6068" s="101"/>
      <c r="I6068" s="101"/>
      <c r="K6068" s="226"/>
      <c r="L6068" s="226"/>
      <c r="M6068" s="101"/>
      <c r="N6068" s="101"/>
    </row>
    <row r="6069" spans="7:14" hidden="1" x14ac:dyDescent="0.3">
      <c r="G6069" s="101"/>
      <c r="H6069" s="101"/>
      <c r="I6069" s="101"/>
      <c r="K6069" s="226"/>
      <c r="L6069" s="226"/>
      <c r="M6069" s="101"/>
      <c r="N6069" s="101"/>
    </row>
    <row r="6070" spans="7:14" hidden="1" x14ac:dyDescent="0.3">
      <c r="G6070" s="101"/>
      <c r="H6070" s="101"/>
      <c r="I6070" s="101"/>
      <c r="K6070" s="226"/>
      <c r="L6070" s="226"/>
      <c r="M6070" s="101"/>
      <c r="N6070" s="101"/>
    </row>
    <row r="6071" spans="7:14" hidden="1" x14ac:dyDescent="0.3">
      <c r="G6071" s="101"/>
      <c r="H6071" s="101"/>
      <c r="I6071" s="101"/>
      <c r="K6071" s="226"/>
      <c r="L6071" s="226"/>
      <c r="M6071" s="101"/>
      <c r="N6071" s="101"/>
    </row>
    <row r="6072" spans="7:14" hidden="1" x14ac:dyDescent="0.3">
      <c r="G6072" s="101"/>
      <c r="H6072" s="101"/>
      <c r="I6072" s="101"/>
      <c r="K6072" s="226"/>
      <c r="L6072" s="226"/>
      <c r="M6072" s="101"/>
      <c r="N6072" s="101"/>
    </row>
    <row r="6073" spans="7:14" hidden="1" x14ac:dyDescent="0.3">
      <c r="G6073" s="101"/>
      <c r="H6073" s="101"/>
      <c r="I6073" s="101"/>
      <c r="K6073" s="226"/>
      <c r="L6073" s="226"/>
      <c r="M6073" s="101"/>
      <c r="N6073" s="101"/>
    </row>
    <row r="6074" spans="7:14" hidden="1" x14ac:dyDescent="0.3">
      <c r="G6074" s="101"/>
      <c r="H6074" s="101"/>
      <c r="I6074" s="101"/>
      <c r="K6074" s="226"/>
      <c r="L6074" s="226"/>
      <c r="M6074" s="101"/>
      <c r="N6074" s="101"/>
    </row>
    <row r="6075" spans="7:14" hidden="1" x14ac:dyDescent="0.3">
      <c r="G6075" s="101"/>
      <c r="H6075" s="101"/>
      <c r="I6075" s="101"/>
      <c r="K6075" s="226"/>
      <c r="L6075" s="226"/>
      <c r="M6075" s="101"/>
      <c r="N6075" s="101"/>
    </row>
    <row r="6076" spans="7:14" hidden="1" x14ac:dyDescent="0.3">
      <c r="G6076" s="101"/>
      <c r="H6076" s="101"/>
      <c r="I6076" s="101"/>
      <c r="K6076" s="226"/>
      <c r="L6076" s="226"/>
      <c r="M6076" s="101"/>
      <c r="N6076" s="101"/>
    </row>
    <row r="6077" spans="7:14" hidden="1" x14ac:dyDescent="0.3">
      <c r="G6077" s="101"/>
      <c r="H6077" s="101"/>
      <c r="I6077" s="101"/>
      <c r="K6077" s="226"/>
      <c r="L6077" s="226"/>
      <c r="M6077" s="101"/>
      <c r="N6077" s="101"/>
    </row>
    <row r="6078" spans="7:14" hidden="1" x14ac:dyDescent="0.3">
      <c r="G6078" s="101"/>
      <c r="H6078" s="101"/>
      <c r="I6078" s="101"/>
      <c r="K6078" s="226"/>
      <c r="L6078" s="226"/>
      <c r="M6078" s="101"/>
      <c r="N6078" s="101"/>
    </row>
    <row r="6079" spans="7:14" hidden="1" x14ac:dyDescent="0.3">
      <c r="G6079" s="101"/>
      <c r="H6079" s="101"/>
      <c r="I6079" s="101"/>
      <c r="K6079" s="226"/>
      <c r="L6079" s="226"/>
      <c r="M6079" s="101"/>
      <c r="N6079" s="101"/>
    </row>
    <row r="6080" spans="7:14" hidden="1" x14ac:dyDescent="0.3">
      <c r="G6080" s="101"/>
      <c r="H6080" s="101"/>
      <c r="I6080" s="101"/>
      <c r="K6080" s="226"/>
      <c r="L6080" s="226"/>
      <c r="M6080" s="101"/>
      <c r="N6080" s="101"/>
    </row>
    <row r="6081" spans="7:14" hidden="1" x14ac:dyDescent="0.3">
      <c r="G6081" s="101"/>
      <c r="H6081" s="101"/>
      <c r="I6081" s="101"/>
      <c r="K6081" s="226"/>
      <c r="L6081" s="226"/>
      <c r="M6081" s="101"/>
      <c r="N6081" s="101"/>
    </row>
    <row r="6082" spans="7:14" hidden="1" x14ac:dyDescent="0.3">
      <c r="G6082" s="101"/>
      <c r="H6082" s="101"/>
      <c r="I6082" s="101"/>
      <c r="K6082" s="226"/>
      <c r="L6082" s="226"/>
      <c r="M6082" s="101"/>
      <c r="N6082" s="101"/>
    </row>
    <row r="6083" spans="7:14" hidden="1" x14ac:dyDescent="0.3">
      <c r="G6083" s="101"/>
      <c r="H6083" s="101"/>
      <c r="I6083" s="101"/>
      <c r="K6083" s="226"/>
      <c r="L6083" s="226"/>
      <c r="M6083" s="101"/>
      <c r="N6083" s="101"/>
    </row>
    <row r="6084" spans="7:14" hidden="1" x14ac:dyDescent="0.3">
      <c r="G6084" s="101"/>
      <c r="H6084" s="101"/>
      <c r="I6084" s="101"/>
      <c r="K6084" s="226"/>
      <c r="L6084" s="226"/>
      <c r="M6084" s="101"/>
      <c r="N6084" s="101"/>
    </row>
    <row r="6085" spans="7:14" hidden="1" x14ac:dyDescent="0.3">
      <c r="G6085" s="101"/>
      <c r="H6085" s="101"/>
      <c r="I6085" s="101"/>
      <c r="K6085" s="226"/>
      <c r="L6085" s="226"/>
      <c r="M6085" s="101"/>
      <c r="N6085" s="101"/>
    </row>
    <row r="6086" spans="7:14" hidden="1" x14ac:dyDescent="0.3">
      <c r="G6086" s="101"/>
      <c r="H6086" s="101"/>
      <c r="I6086" s="101"/>
      <c r="K6086" s="226"/>
      <c r="L6086" s="226"/>
      <c r="M6086" s="101"/>
      <c r="N6086" s="101"/>
    </row>
    <row r="6087" spans="7:14" hidden="1" x14ac:dyDescent="0.3">
      <c r="G6087" s="101"/>
      <c r="H6087" s="101"/>
      <c r="I6087" s="101"/>
      <c r="K6087" s="226"/>
      <c r="L6087" s="226"/>
      <c r="M6087" s="101"/>
      <c r="N6087" s="101"/>
    </row>
    <row r="6088" spans="7:14" hidden="1" x14ac:dyDescent="0.3">
      <c r="G6088" s="101"/>
      <c r="H6088" s="101"/>
      <c r="I6088" s="101"/>
      <c r="K6088" s="226"/>
      <c r="L6088" s="226"/>
      <c r="M6088" s="101"/>
      <c r="N6088" s="101"/>
    </row>
    <row r="6089" spans="7:14" hidden="1" x14ac:dyDescent="0.3">
      <c r="G6089" s="101"/>
      <c r="H6089" s="101"/>
      <c r="I6089" s="101"/>
      <c r="K6089" s="226"/>
      <c r="L6089" s="226"/>
      <c r="M6089" s="101"/>
      <c r="N6089" s="101"/>
    </row>
    <row r="6090" spans="7:14" hidden="1" x14ac:dyDescent="0.3">
      <c r="G6090" s="101"/>
      <c r="H6090" s="101"/>
      <c r="I6090" s="101"/>
      <c r="K6090" s="226"/>
      <c r="L6090" s="226"/>
      <c r="M6090" s="101"/>
      <c r="N6090" s="101"/>
    </row>
    <row r="6091" spans="7:14" hidden="1" x14ac:dyDescent="0.3">
      <c r="G6091" s="101"/>
      <c r="H6091" s="101"/>
      <c r="I6091" s="101"/>
      <c r="K6091" s="226"/>
      <c r="L6091" s="226"/>
      <c r="M6091" s="101"/>
      <c r="N6091" s="101"/>
    </row>
    <row r="6092" spans="7:14" hidden="1" x14ac:dyDescent="0.3">
      <c r="G6092" s="101"/>
      <c r="H6092" s="101"/>
      <c r="I6092" s="101"/>
      <c r="K6092" s="226"/>
      <c r="L6092" s="226"/>
      <c r="M6092" s="101"/>
      <c r="N6092" s="101"/>
    </row>
    <row r="6093" spans="7:14" hidden="1" x14ac:dyDescent="0.3">
      <c r="G6093" s="101"/>
      <c r="H6093" s="101"/>
      <c r="I6093" s="101"/>
      <c r="K6093" s="226"/>
      <c r="L6093" s="226"/>
      <c r="M6093" s="101"/>
      <c r="N6093" s="101"/>
    </row>
    <row r="6094" spans="7:14" hidden="1" x14ac:dyDescent="0.3">
      <c r="G6094" s="101"/>
      <c r="H6094" s="101"/>
      <c r="I6094" s="101"/>
      <c r="K6094" s="226"/>
      <c r="L6094" s="226"/>
      <c r="M6094" s="101"/>
      <c r="N6094" s="101"/>
    </row>
    <row r="6095" spans="7:14" hidden="1" x14ac:dyDescent="0.3">
      <c r="G6095" s="101"/>
      <c r="H6095" s="101"/>
      <c r="I6095" s="101"/>
      <c r="K6095" s="226"/>
      <c r="L6095" s="226"/>
      <c r="M6095" s="101"/>
      <c r="N6095" s="101"/>
    </row>
    <row r="6096" spans="7:14" hidden="1" x14ac:dyDescent="0.3">
      <c r="G6096" s="101"/>
      <c r="H6096" s="101"/>
      <c r="I6096" s="101"/>
      <c r="K6096" s="226"/>
      <c r="L6096" s="226"/>
      <c r="M6096" s="101"/>
      <c r="N6096" s="101"/>
    </row>
    <row r="6097" spans="7:14" hidden="1" x14ac:dyDescent="0.3">
      <c r="G6097" s="101"/>
      <c r="H6097" s="101"/>
      <c r="I6097" s="101"/>
      <c r="K6097" s="226"/>
      <c r="L6097" s="226"/>
      <c r="M6097" s="101"/>
      <c r="N6097" s="101"/>
    </row>
    <row r="6098" spans="7:14" hidden="1" x14ac:dyDescent="0.3">
      <c r="G6098" s="101"/>
      <c r="H6098" s="101"/>
      <c r="I6098" s="101"/>
      <c r="K6098" s="226"/>
      <c r="L6098" s="226"/>
      <c r="M6098" s="101"/>
      <c r="N6098" s="101"/>
    </row>
    <row r="6099" spans="7:14" hidden="1" x14ac:dyDescent="0.3">
      <c r="G6099" s="101"/>
      <c r="H6099" s="101"/>
      <c r="I6099" s="101"/>
      <c r="K6099" s="226"/>
      <c r="L6099" s="226"/>
      <c r="M6099" s="101"/>
      <c r="N6099" s="101"/>
    </row>
    <row r="6100" spans="7:14" hidden="1" x14ac:dyDescent="0.3">
      <c r="G6100" s="101"/>
      <c r="H6100" s="101"/>
      <c r="I6100" s="101"/>
      <c r="K6100" s="226"/>
      <c r="L6100" s="226"/>
      <c r="M6100" s="101"/>
      <c r="N6100" s="101"/>
    </row>
    <row r="6101" spans="7:14" hidden="1" x14ac:dyDescent="0.3">
      <c r="G6101" s="101"/>
      <c r="H6101" s="101"/>
      <c r="I6101" s="101"/>
      <c r="K6101" s="226"/>
      <c r="L6101" s="226"/>
      <c r="M6101" s="101"/>
      <c r="N6101" s="101"/>
    </row>
    <row r="6102" spans="7:14" hidden="1" x14ac:dyDescent="0.3">
      <c r="G6102" s="101"/>
      <c r="H6102" s="101"/>
      <c r="I6102" s="101"/>
      <c r="K6102" s="226"/>
      <c r="L6102" s="226"/>
      <c r="M6102" s="101"/>
      <c r="N6102" s="101"/>
    </row>
    <row r="6103" spans="7:14" hidden="1" x14ac:dyDescent="0.3">
      <c r="G6103" s="101"/>
      <c r="H6103" s="101"/>
      <c r="I6103" s="101"/>
      <c r="K6103" s="226"/>
      <c r="L6103" s="226"/>
      <c r="M6103" s="101"/>
      <c r="N6103" s="101"/>
    </row>
    <row r="6104" spans="7:14" hidden="1" x14ac:dyDescent="0.3">
      <c r="G6104" s="101"/>
      <c r="H6104" s="101"/>
      <c r="I6104" s="101"/>
      <c r="K6104" s="226"/>
      <c r="L6104" s="226"/>
      <c r="M6104" s="101"/>
      <c r="N6104" s="101"/>
    </row>
    <row r="6105" spans="7:14" hidden="1" x14ac:dyDescent="0.3">
      <c r="G6105" s="101"/>
      <c r="H6105" s="101"/>
      <c r="I6105" s="101"/>
      <c r="K6105" s="226"/>
      <c r="L6105" s="226"/>
      <c r="M6105" s="101"/>
      <c r="N6105" s="101"/>
    </row>
    <row r="6106" spans="7:14" hidden="1" x14ac:dyDescent="0.3">
      <c r="G6106" s="101"/>
      <c r="H6106" s="101"/>
      <c r="I6106" s="101"/>
      <c r="K6106" s="226"/>
      <c r="L6106" s="226"/>
      <c r="M6106" s="101"/>
      <c r="N6106" s="101"/>
    </row>
    <row r="6107" spans="7:14" hidden="1" x14ac:dyDescent="0.3">
      <c r="G6107" s="101"/>
      <c r="H6107" s="101"/>
      <c r="I6107" s="101"/>
      <c r="K6107" s="226"/>
      <c r="L6107" s="226"/>
      <c r="M6107" s="101"/>
      <c r="N6107" s="101"/>
    </row>
    <row r="6108" spans="7:14" hidden="1" x14ac:dyDescent="0.3">
      <c r="G6108" s="101"/>
      <c r="H6108" s="101"/>
      <c r="I6108" s="101"/>
      <c r="K6108" s="226"/>
      <c r="L6108" s="226"/>
      <c r="M6108" s="101"/>
      <c r="N6108" s="101"/>
    </row>
    <row r="6109" spans="7:14" hidden="1" x14ac:dyDescent="0.3">
      <c r="G6109" s="101"/>
      <c r="H6109" s="101"/>
      <c r="I6109" s="101"/>
      <c r="K6109" s="226"/>
      <c r="L6109" s="226"/>
      <c r="M6109" s="101"/>
      <c r="N6109" s="101"/>
    </row>
    <row r="6110" spans="7:14" hidden="1" x14ac:dyDescent="0.3">
      <c r="G6110" s="101"/>
      <c r="H6110" s="101"/>
      <c r="I6110" s="101"/>
      <c r="K6110" s="226"/>
      <c r="L6110" s="226"/>
      <c r="M6110" s="101"/>
      <c r="N6110" s="101"/>
    </row>
    <row r="6111" spans="7:14" hidden="1" x14ac:dyDescent="0.3">
      <c r="G6111" s="101"/>
      <c r="H6111" s="101"/>
      <c r="I6111" s="101"/>
      <c r="K6111" s="226"/>
      <c r="L6111" s="226"/>
      <c r="M6111" s="101"/>
      <c r="N6111" s="101"/>
    </row>
    <row r="6112" spans="7:14" hidden="1" x14ac:dyDescent="0.3">
      <c r="G6112" s="101"/>
      <c r="H6112" s="101"/>
      <c r="I6112" s="101"/>
      <c r="K6112" s="226"/>
      <c r="L6112" s="226"/>
      <c r="M6112" s="101"/>
      <c r="N6112" s="101"/>
    </row>
    <row r="6113" spans="7:14" hidden="1" x14ac:dyDescent="0.3">
      <c r="G6113" s="101"/>
      <c r="H6113" s="101"/>
      <c r="I6113" s="101"/>
      <c r="K6113" s="226"/>
      <c r="L6113" s="226"/>
      <c r="M6113" s="101"/>
      <c r="N6113" s="101"/>
    </row>
    <row r="6114" spans="7:14" hidden="1" x14ac:dyDescent="0.3">
      <c r="G6114" s="101"/>
      <c r="H6114" s="101"/>
      <c r="I6114" s="101"/>
      <c r="K6114" s="226"/>
      <c r="L6114" s="226"/>
      <c r="M6114" s="101"/>
      <c r="N6114" s="101"/>
    </row>
    <row r="6115" spans="7:14" hidden="1" x14ac:dyDescent="0.3">
      <c r="G6115" s="101"/>
      <c r="H6115" s="101"/>
      <c r="I6115" s="101"/>
      <c r="K6115" s="226"/>
      <c r="L6115" s="226"/>
      <c r="M6115" s="101"/>
      <c r="N6115" s="101"/>
    </row>
    <row r="6116" spans="7:14" hidden="1" x14ac:dyDescent="0.3">
      <c r="G6116" s="101"/>
      <c r="H6116" s="101"/>
      <c r="I6116" s="101"/>
      <c r="K6116" s="226"/>
      <c r="L6116" s="226"/>
      <c r="M6116" s="101"/>
      <c r="N6116" s="101"/>
    </row>
    <row r="6117" spans="7:14" hidden="1" x14ac:dyDescent="0.3">
      <c r="G6117" s="101"/>
      <c r="H6117" s="101"/>
      <c r="I6117" s="101"/>
      <c r="K6117" s="226"/>
      <c r="L6117" s="226"/>
      <c r="M6117" s="101"/>
      <c r="N6117" s="101"/>
    </row>
    <row r="6118" spans="7:14" hidden="1" x14ac:dyDescent="0.3">
      <c r="G6118" s="101"/>
      <c r="H6118" s="101"/>
      <c r="I6118" s="101"/>
      <c r="K6118" s="226"/>
      <c r="L6118" s="226"/>
      <c r="M6118" s="101"/>
      <c r="N6118" s="101"/>
    </row>
    <row r="6119" spans="7:14" hidden="1" x14ac:dyDescent="0.3">
      <c r="G6119" s="101"/>
      <c r="H6119" s="101"/>
      <c r="I6119" s="101"/>
      <c r="K6119" s="226"/>
      <c r="L6119" s="226"/>
      <c r="M6119" s="101"/>
      <c r="N6119" s="101"/>
    </row>
    <row r="6120" spans="7:14" hidden="1" x14ac:dyDescent="0.3">
      <c r="G6120" s="101"/>
      <c r="H6120" s="101"/>
      <c r="I6120" s="101"/>
      <c r="K6120" s="226"/>
      <c r="L6120" s="226"/>
      <c r="M6120" s="101"/>
      <c r="N6120" s="101"/>
    </row>
    <row r="6121" spans="7:14" hidden="1" x14ac:dyDescent="0.3">
      <c r="G6121" s="101"/>
      <c r="H6121" s="101"/>
      <c r="I6121" s="101"/>
      <c r="K6121" s="226"/>
      <c r="L6121" s="226"/>
      <c r="M6121" s="101"/>
      <c r="N6121" s="101"/>
    </row>
    <row r="6122" spans="7:14" hidden="1" x14ac:dyDescent="0.3">
      <c r="G6122" s="101"/>
      <c r="H6122" s="101"/>
      <c r="I6122" s="101"/>
      <c r="K6122" s="226"/>
      <c r="L6122" s="226"/>
      <c r="M6122" s="101"/>
      <c r="N6122" s="101"/>
    </row>
    <row r="6123" spans="7:14" hidden="1" x14ac:dyDescent="0.3">
      <c r="G6123" s="101"/>
      <c r="H6123" s="101"/>
      <c r="I6123" s="101"/>
      <c r="K6123" s="226"/>
      <c r="L6123" s="226"/>
      <c r="M6123" s="101"/>
      <c r="N6123" s="101"/>
    </row>
    <row r="6124" spans="7:14" hidden="1" x14ac:dyDescent="0.3">
      <c r="G6124" s="101"/>
      <c r="H6124" s="101"/>
      <c r="I6124" s="101"/>
      <c r="K6124" s="226"/>
      <c r="L6124" s="226"/>
      <c r="M6124" s="101"/>
      <c r="N6124" s="101"/>
    </row>
    <row r="6125" spans="7:14" hidden="1" x14ac:dyDescent="0.3">
      <c r="G6125" s="101"/>
      <c r="H6125" s="101"/>
      <c r="I6125" s="101"/>
      <c r="K6125" s="226"/>
      <c r="L6125" s="226"/>
      <c r="M6125" s="101"/>
      <c r="N6125" s="101"/>
    </row>
    <row r="6126" spans="7:14" hidden="1" x14ac:dyDescent="0.3">
      <c r="G6126" s="101"/>
      <c r="H6126" s="101"/>
      <c r="I6126" s="101"/>
      <c r="K6126" s="226"/>
      <c r="L6126" s="226"/>
      <c r="M6126" s="101"/>
      <c r="N6126" s="101"/>
    </row>
    <row r="6127" spans="7:14" hidden="1" x14ac:dyDescent="0.3">
      <c r="G6127" s="101"/>
      <c r="H6127" s="101"/>
      <c r="I6127" s="101"/>
      <c r="K6127" s="226"/>
      <c r="L6127" s="226"/>
      <c r="M6127" s="101"/>
      <c r="N6127" s="101"/>
    </row>
    <row r="6128" spans="7:14" hidden="1" x14ac:dyDescent="0.3">
      <c r="G6128" s="101"/>
      <c r="H6128" s="101"/>
      <c r="I6128" s="101"/>
      <c r="K6128" s="226"/>
      <c r="L6128" s="226"/>
      <c r="M6128" s="101"/>
      <c r="N6128" s="101"/>
    </row>
    <row r="6129" spans="7:14" hidden="1" x14ac:dyDescent="0.3">
      <c r="G6129" s="101"/>
      <c r="H6129" s="101"/>
      <c r="I6129" s="101"/>
      <c r="K6129" s="226"/>
      <c r="L6129" s="226"/>
      <c r="M6129" s="101"/>
      <c r="N6129" s="101"/>
    </row>
    <row r="6130" spans="7:14" hidden="1" x14ac:dyDescent="0.3">
      <c r="G6130" s="101"/>
      <c r="H6130" s="101"/>
      <c r="I6130" s="101"/>
      <c r="K6130" s="226"/>
      <c r="L6130" s="226"/>
      <c r="M6130" s="101"/>
      <c r="N6130" s="101"/>
    </row>
    <row r="6131" spans="7:14" hidden="1" x14ac:dyDescent="0.3">
      <c r="G6131" s="101"/>
      <c r="H6131" s="101"/>
      <c r="I6131" s="101"/>
      <c r="K6131" s="226"/>
      <c r="L6131" s="226"/>
      <c r="M6131" s="101"/>
      <c r="N6131" s="101"/>
    </row>
    <row r="6132" spans="7:14" hidden="1" x14ac:dyDescent="0.3">
      <c r="G6132" s="101"/>
      <c r="H6132" s="101"/>
      <c r="I6132" s="101"/>
      <c r="K6132" s="226"/>
      <c r="L6132" s="226"/>
      <c r="M6132" s="101"/>
      <c r="N6132" s="101"/>
    </row>
    <row r="6133" spans="7:14" hidden="1" x14ac:dyDescent="0.3">
      <c r="G6133" s="101"/>
      <c r="H6133" s="101"/>
      <c r="I6133" s="101"/>
      <c r="K6133" s="226"/>
      <c r="L6133" s="226"/>
      <c r="M6133" s="101"/>
      <c r="N6133" s="101"/>
    </row>
    <row r="6134" spans="7:14" hidden="1" x14ac:dyDescent="0.3">
      <c r="G6134" s="101"/>
      <c r="H6134" s="101"/>
      <c r="I6134" s="101"/>
      <c r="K6134" s="226"/>
      <c r="L6134" s="226"/>
      <c r="M6134" s="101"/>
      <c r="N6134" s="101"/>
    </row>
    <row r="6135" spans="7:14" hidden="1" x14ac:dyDescent="0.3">
      <c r="G6135" s="101"/>
      <c r="H6135" s="101"/>
      <c r="I6135" s="101"/>
      <c r="K6135" s="226"/>
      <c r="L6135" s="226"/>
      <c r="M6135" s="101"/>
      <c r="N6135" s="101"/>
    </row>
    <row r="6136" spans="7:14" hidden="1" x14ac:dyDescent="0.3">
      <c r="G6136" s="101"/>
      <c r="H6136" s="101"/>
      <c r="I6136" s="101"/>
      <c r="K6136" s="226"/>
      <c r="L6136" s="226"/>
      <c r="M6136" s="101"/>
      <c r="N6136" s="101"/>
    </row>
    <row r="6137" spans="7:14" hidden="1" x14ac:dyDescent="0.3">
      <c r="G6137" s="101"/>
      <c r="H6137" s="101"/>
      <c r="I6137" s="101"/>
      <c r="K6137" s="226"/>
      <c r="L6137" s="226"/>
      <c r="M6137" s="101"/>
      <c r="N6137" s="101"/>
    </row>
    <row r="6138" spans="7:14" hidden="1" x14ac:dyDescent="0.3">
      <c r="G6138" s="101"/>
      <c r="H6138" s="101"/>
      <c r="I6138" s="101"/>
      <c r="K6138" s="226"/>
      <c r="L6138" s="226"/>
      <c r="M6138" s="101"/>
      <c r="N6138" s="101"/>
    </row>
    <row r="6139" spans="7:14" hidden="1" x14ac:dyDescent="0.3">
      <c r="G6139" s="101"/>
      <c r="H6139" s="101"/>
      <c r="I6139" s="101"/>
      <c r="K6139" s="226"/>
      <c r="L6139" s="226"/>
      <c r="M6139" s="101"/>
      <c r="N6139" s="101"/>
    </row>
    <row r="6140" spans="7:14" hidden="1" x14ac:dyDescent="0.3">
      <c r="G6140" s="101"/>
      <c r="H6140" s="101"/>
      <c r="I6140" s="101"/>
      <c r="K6140" s="226"/>
      <c r="L6140" s="226"/>
      <c r="M6140" s="101"/>
      <c r="N6140" s="101"/>
    </row>
    <row r="6141" spans="7:14" hidden="1" x14ac:dyDescent="0.3">
      <c r="G6141" s="101"/>
      <c r="H6141" s="101"/>
      <c r="I6141" s="101"/>
      <c r="K6141" s="226"/>
      <c r="L6141" s="226"/>
      <c r="M6141" s="101"/>
      <c r="N6141" s="101"/>
    </row>
    <row r="6142" spans="7:14" hidden="1" x14ac:dyDescent="0.3">
      <c r="G6142" s="101"/>
      <c r="H6142" s="101"/>
      <c r="I6142" s="101"/>
      <c r="K6142" s="226"/>
      <c r="L6142" s="226"/>
      <c r="M6142" s="101"/>
      <c r="N6142" s="101"/>
    </row>
    <row r="6143" spans="7:14" hidden="1" x14ac:dyDescent="0.3">
      <c r="G6143" s="101"/>
      <c r="H6143" s="101"/>
      <c r="I6143" s="101"/>
      <c r="K6143" s="226"/>
      <c r="L6143" s="226"/>
      <c r="M6143" s="101"/>
      <c r="N6143" s="101"/>
    </row>
    <row r="6144" spans="7:14" hidden="1" x14ac:dyDescent="0.3">
      <c r="G6144" s="101"/>
      <c r="H6144" s="101"/>
      <c r="I6144" s="101"/>
      <c r="K6144" s="226"/>
      <c r="L6144" s="226"/>
      <c r="M6144" s="101"/>
      <c r="N6144" s="101"/>
    </row>
    <row r="6145" spans="7:14" hidden="1" x14ac:dyDescent="0.3">
      <c r="G6145" s="101"/>
      <c r="H6145" s="101"/>
      <c r="I6145" s="101"/>
      <c r="K6145" s="226"/>
      <c r="L6145" s="226"/>
      <c r="M6145" s="101"/>
      <c r="N6145" s="101"/>
    </row>
    <row r="6146" spans="7:14" hidden="1" x14ac:dyDescent="0.3">
      <c r="G6146" s="101"/>
      <c r="H6146" s="101"/>
      <c r="I6146" s="101"/>
      <c r="K6146" s="226"/>
      <c r="L6146" s="226"/>
      <c r="M6146" s="101"/>
      <c r="N6146" s="101"/>
    </row>
    <row r="6147" spans="7:14" hidden="1" x14ac:dyDescent="0.3">
      <c r="G6147" s="101"/>
      <c r="H6147" s="101"/>
      <c r="I6147" s="101"/>
      <c r="K6147" s="226"/>
      <c r="L6147" s="226"/>
      <c r="M6147" s="101"/>
      <c r="N6147" s="101"/>
    </row>
    <row r="6148" spans="7:14" hidden="1" x14ac:dyDescent="0.3">
      <c r="G6148" s="101"/>
      <c r="H6148" s="101"/>
      <c r="I6148" s="101"/>
      <c r="K6148" s="226"/>
      <c r="L6148" s="226"/>
      <c r="M6148" s="101"/>
      <c r="N6148" s="101"/>
    </row>
    <row r="6149" spans="7:14" hidden="1" x14ac:dyDescent="0.3">
      <c r="G6149" s="101"/>
      <c r="H6149" s="101"/>
      <c r="I6149" s="101"/>
      <c r="K6149" s="226"/>
      <c r="L6149" s="226"/>
      <c r="M6149" s="101"/>
      <c r="N6149" s="101"/>
    </row>
    <row r="6150" spans="7:14" hidden="1" x14ac:dyDescent="0.3">
      <c r="G6150" s="101"/>
      <c r="H6150" s="101"/>
      <c r="I6150" s="101"/>
      <c r="K6150" s="226"/>
      <c r="L6150" s="226"/>
      <c r="M6150" s="101"/>
      <c r="N6150" s="101"/>
    </row>
    <row r="6151" spans="7:14" hidden="1" x14ac:dyDescent="0.3">
      <c r="G6151" s="101"/>
      <c r="H6151" s="101"/>
      <c r="I6151" s="101"/>
      <c r="K6151" s="226"/>
      <c r="L6151" s="226"/>
      <c r="M6151" s="101"/>
      <c r="N6151" s="101"/>
    </row>
    <row r="6152" spans="7:14" hidden="1" x14ac:dyDescent="0.3">
      <c r="G6152" s="101"/>
      <c r="H6152" s="101"/>
      <c r="I6152" s="101"/>
      <c r="K6152" s="226"/>
      <c r="L6152" s="226"/>
      <c r="M6152" s="101"/>
      <c r="N6152" s="101"/>
    </row>
    <row r="6153" spans="7:14" hidden="1" x14ac:dyDescent="0.3">
      <c r="G6153" s="101"/>
      <c r="H6153" s="101"/>
      <c r="I6153" s="101"/>
      <c r="K6153" s="226"/>
      <c r="L6153" s="226"/>
      <c r="M6153" s="101"/>
      <c r="N6153" s="101"/>
    </row>
    <row r="6154" spans="7:14" hidden="1" x14ac:dyDescent="0.3">
      <c r="G6154" s="101"/>
      <c r="H6154" s="101"/>
      <c r="I6154" s="101"/>
      <c r="K6154" s="226"/>
      <c r="L6154" s="226"/>
      <c r="M6154" s="101"/>
      <c r="N6154" s="101"/>
    </row>
    <row r="6155" spans="7:14" hidden="1" x14ac:dyDescent="0.3">
      <c r="G6155" s="101"/>
      <c r="H6155" s="101"/>
      <c r="I6155" s="101"/>
      <c r="K6155" s="226"/>
      <c r="L6155" s="226"/>
      <c r="M6155" s="101"/>
      <c r="N6155" s="101"/>
    </row>
    <row r="6156" spans="7:14" hidden="1" x14ac:dyDescent="0.3">
      <c r="G6156" s="101"/>
      <c r="H6156" s="101"/>
      <c r="I6156" s="101"/>
      <c r="K6156" s="226"/>
      <c r="L6156" s="226"/>
      <c r="M6156" s="101"/>
      <c r="N6156" s="101"/>
    </row>
    <row r="6157" spans="7:14" hidden="1" x14ac:dyDescent="0.3">
      <c r="G6157" s="101"/>
      <c r="H6157" s="101"/>
      <c r="I6157" s="101"/>
      <c r="K6157" s="226"/>
      <c r="L6157" s="226"/>
      <c r="M6157" s="101"/>
      <c r="N6157" s="101"/>
    </row>
    <row r="6158" spans="7:14" hidden="1" x14ac:dyDescent="0.3">
      <c r="G6158" s="101"/>
      <c r="H6158" s="101"/>
      <c r="I6158" s="101"/>
      <c r="K6158" s="226"/>
      <c r="L6158" s="226"/>
      <c r="M6158" s="101"/>
      <c r="N6158" s="101"/>
    </row>
    <row r="6159" spans="7:14" hidden="1" x14ac:dyDescent="0.3">
      <c r="G6159" s="101"/>
      <c r="H6159" s="101"/>
      <c r="I6159" s="101"/>
      <c r="K6159" s="226"/>
      <c r="L6159" s="226"/>
      <c r="M6159" s="101"/>
      <c r="N6159" s="101"/>
    </row>
    <row r="6160" spans="7:14" hidden="1" x14ac:dyDescent="0.3">
      <c r="G6160" s="101"/>
      <c r="H6160" s="101"/>
      <c r="I6160" s="101"/>
      <c r="K6160" s="226"/>
      <c r="L6160" s="226"/>
      <c r="M6160" s="101"/>
      <c r="N6160" s="101"/>
    </row>
    <row r="6161" spans="7:14" hidden="1" x14ac:dyDescent="0.3">
      <c r="G6161" s="101"/>
      <c r="H6161" s="101"/>
      <c r="I6161" s="101"/>
      <c r="K6161" s="226"/>
      <c r="L6161" s="226"/>
      <c r="M6161" s="101"/>
      <c r="N6161" s="101"/>
    </row>
    <row r="6162" spans="7:14" hidden="1" x14ac:dyDescent="0.3">
      <c r="G6162" s="101"/>
      <c r="H6162" s="101"/>
      <c r="I6162" s="101"/>
      <c r="K6162" s="226"/>
      <c r="L6162" s="226"/>
      <c r="M6162" s="101"/>
      <c r="N6162" s="101"/>
    </row>
    <row r="6163" spans="7:14" hidden="1" x14ac:dyDescent="0.3">
      <c r="G6163" s="101"/>
      <c r="H6163" s="101"/>
      <c r="I6163" s="101"/>
      <c r="K6163" s="226"/>
      <c r="L6163" s="226"/>
      <c r="M6163" s="101"/>
      <c r="N6163" s="101"/>
    </row>
    <row r="6164" spans="7:14" hidden="1" x14ac:dyDescent="0.3">
      <c r="G6164" s="101"/>
      <c r="H6164" s="101"/>
      <c r="I6164" s="101"/>
      <c r="K6164" s="226"/>
      <c r="L6164" s="226"/>
      <c r="M6164" s="101"/>
      <c r="N6164" s="101"/>
    </row>
    <row r="6165" spans="7:14" hidden="1" x14ac:dyDescent="0.3">
      <c r="G6165" s="101"/>
      <c r="H6165" s="101"/>
      <c r="I6165" s="101"/>
      <c r="K6165" s="226"/>
      <c r="L6165" s="226"/>
      <c r="M6165" s="101"/>
      <c r="N6165" s="101"/>
    </row>
    <row r="6166" spans="7:14" hidden="1" x14ac:dyDescent="0.3">
      <c r="G6166" s="101"/>
      <c r="H6166" s="101"/>
      <c r="I6166" s="101"/>
      <c r="K6166" s="226"/>
      <c r="L6166" s="226"/>
      <c r="M6166" s="101"/>
      <c r="N6166" s="101"/>
    </row>
    <row r="6167" spans="7:14" hidden="1" x14ac:dyDescent="0.3">
      <c r="G6167" s="101"/>
      <c r="H6167" s="101"/>
      <c r="I6167" s="101"/>
      <c r="K6167" s="226"/>
      <c r="L6167" s="226"/>
      <c r="M6167" s="101"/>
      <c r="N6167" s="101"/>
    </row>
    <row r="6168" spans="7:14" hidden="1" x14ac:dyDescent="0.3">
      <c r="G6168" s="101"/>
      <c r="H6168" s="101"/>
      <c r="I6168" s="101"/>
      <c r="K6168" s="226"/>
      <c r="L6168" s="226"/>
      <c r="M6168" s="101"/>
      <c r="N6168" s="101"/>
    </row>
    <row r="6169" spans="7:14" hidden="1" x14ac:dyDescent="0.3">
      <c r="G6169" s="101"/>
      <c r="H6169" s="101"/>
      <c r="I6169" s="101"/>
      <c r="K6169" s="226"/>
      <c r="L6169" s="226"/>
      <c r="M6169" s="101"/>
      <c r="N6169" s="101"/>
    </row>
    <row r="6170" spans="7:14" hidden="1" x14ac:dyDescent="0.3">
      <c r="G6170" s="101"/>
      <c r="H6170" s="101"/>
      <c r="I6170" s="101"/>
      <c r="K6170" s="226"/>
      <c r="L6170" s="226"/>
      <c r="M6170" s="101"/>
      <c r="N6170" s="101"/>
    </row>
    <row r="6171" spans="7:14" hidden="1" x14ac:dyDescent="0.3">
      <c r="G6171" s="101"/>
      <c r="H6171" s="101"/>
      <c r="I6171" s="101"/>
      <c r="K6171" s="226"/>
      <c r="L6171" s="226"/>
      <c r="M6171" s="101"/>
      <c r="N6171" s="101"/>
    </row>
    <row r="6172" spans="7:14" hidden="1" x14ac:dyDescent="0.3">
      <c r="G6172" s="101"/>
      <c r="H6172" s="101"/>
      <c r="I6172" s="101"/>
      <c r="K6172" s="226"/>
      <c r="L6172" s="226"/>
      <c r="M6172" s="101"/>
      <c r="N6172" s="101"/>
    </row>
    <row r="6173" spans="7:14" hidden="1" x14ac:dyDescent="0.3">
      <c r="G6173" s="101"/>
      <c r="H6173" s="101"/>
      <c r="I6173" s="101"/>
      <c r="K6173" s="226"/>
      <c r="L6173" s="226"/>
      <c r="M6173" s="101"/>
      <c r="N6173" s="101"/>
    </row>
    <row r="6174" spans="7:14" hidden="1" x14ac:dyDescent="0.3">
      <c r="G6174" s="101"/>
      <c r="H6174" s="101"/>
      <c r="I6174" s="101"/>
      <c r="K6174" s="226"/>
      <c r="L6174" s="226"/>
      <c r="M6174" s="101"/>
      <c r="N6174" s="101"/>
    </row>
    <row r="6175" spans="7:14" hidden="1" x14ac:dyDescent="0.3">
      <c r="G6175" s="101"/>
      <c r="H6175" s="101"/>
      <c r="I6175" s="101"/>
      <c r="K6175" s="226"/>
      <c r="L6175" s="226"/>
      <c r="M6175" s="101"/>
      <c r="N6175" s="101"/>
    </row>
    <row r="6176" spans="7:14" hidden="1" x14ac:dyDescent="0.3">
      <c r="G6176" s="101"/>
      <c r="H6176" s="101"/>
      <c r="I6176" s="101"/>
      <c r="K6176" s="226"/>
      <c r="L6176" s="226"/>
      <c r="M6176" s="101"/>
      <c r="N6176" s="101"/>
    </row>
    <row r="6177" spans="7:14" hidden="1" x14ac:dyDescent="0.3">
      <c r="G6177" s="101"/>
      <c r="H6177" s="101"/>
      <c r="I6177" s="101"/>
      <c r="K6177" s="226"/>
      <c r="L6177" s="226"/>
      <c r="M6177" s="101"/>
      <c r="N6177" s="101"/>
    </row>
    <row r="6178" spans="7:14" hidden="1" x14ac:dyDescent="0.3">
      <c r="G6178" s="101"/>
      <c r="H6178" s="101"/>
      <c r="I6178" s="101"/>
      <c r="K6178" s="226"/>
      <c r="L6178" s="226"/>
      <c r="M6178" s="101"/>
      <c r="N6178" s="101"/>
    </row>
    <row r="6179" spans="7:14" hidden="1" x14ac:dyDescent="0.3">
      <c r="G6179" s="101"/>
      <c r="H6179" s="101"/>
      <c r="I6179" s="101"/>
      <c r="K6179" s="226"/>
      <c r="L6179" s="226"/>
      <c r="M6179" s="101"/>
      <c r="N6179" s="101"/>
    </row>
    <row r="6180" spans="7:14" hidden="1" x14ac:dyDescent="0.3">
      <c r="G6180" s="101"/>
      <c r="H6180" s="101"/>
      <c r="I6180" s="101"/>
      <c r="K6180" s="226"/>
      <c r="L6180" s="226"/>
      <c r="M6180" s="101"/>
      <c r="N6180" s="101"/>
    </row>
    <row r="6181" spans="7:14" hidden="1" x14ac:dyDescent="0.3">
      <c r="G6181" s="101"/>
      <c r="H6181" s="101"/>
      <c r="I6181" s="101"/>
      <c r="K6181" s="226"/>
      <c r="L6181" s="226"/>
      <c r="M6181" s="101"/>
      <c r="N6181" s="101"/>
    </row>
    <row r="6182" spans="7:14" hidden="1" x14ac:dyDescent="0.3">
      <c r="G6182" s="101"/>
      <c r="H6182" s="101"/>
      <c r="I6182" s="101"/>
      <c r="K6182" s="226"/>
      <c r="L6182" s="226"/>
      <c r="M6182" s="101"/>
      <c r="N6182" s="101"/>
    </row>
    <row r="6183" spans="7:14" hidden="1" x14ac:dyDescent="0.3">
      <c r="G6183" s="101"/>
      <c r="H6183" s="101"/>
      <c r="I6183" s="101"/>
      <c r="K6183" s="226"/>
      <c r="L6183" s="226"/>
      <c r="M6183" s="101"/>
      <c r="N6183" s="101"/>
    </row>
    <row r="6184" spans="7:14" hidden="1" x14ac:dyDescent="0.3">
      <c r="G6184" s="101"/>
      <c r="H6184" s="101"/>
      <c r="I6184" s="101"/>
      <c r="K6184" s="226"/>
      <c r="L6184" s="226"/>
      <c r="M6184" s="101"/>
      <c r="N6184" s="101"/>
    </row>
    <row r="6185" spans="7:14" hidden="1" x14ac:dyDescent="0.3">
      <c r="G6185" s="101"/>
      <c r="H6185" s="101"/>
      <c r="I6185" s="101"/>
      <c r="K6185" s="226"/>
      <c r="L6185" s="226"/>
      <c r="M6185" s="101"/>
      <c r="N6185" s="101"/>
    </row>
    <row r="6186" spans="7:14" hidden="1" x14ac:dyDescent="0.3">
      <c r="G6186" s="101"/>
      <c r="H6186" s="101"/>
      <c r="I6186" s="101"/>
      <c r="K6186" s="226"/>
      <c r="L6186" s="226"/>
      <c r="M6186" s="101"/>
      <c r="N6186" s="101"/>
    </row>
    <row r="6187" spans="7:14" hidden="1" x14ac:dyDescent="0.3">
      <c r="G6187" s="101"/>
      <c r="H6187" s="101"/>
      <c r="I6187" s="101"/>
      <c r="K6187" s="226"/>
      <c r="L6187" s="226"/>
      <c r="M6187" s="101"/>
      <c r="N6187" s="101"/>
    </row>
    <row r="6188" spans="7:14" hidden="1" x14ac:dyDescent="0.3">
      <c r="G6188" s="101"/>
      <c r="H6188" s="101"/>
      <c r="I6188" s="101"/>
      <c r="K6188" s="226"/>
      <c r="L6188" s="226"/>
      <c r="M6188" s="101"/>
      <c r="N6188" s="101"/>
    </row>
    <row r="6189" spans="7:14" hidden="1" x14ac:dyDescent="0.3">
      <c r="G6189" s="101"/>
      <c r="H6189" s="101"/>
      <c r="I6189" s="101"/>
      <c r="K6189" s="226"/>
      <c r="L6189" s="226"/>
      <c r="M6189" s="101"/>
      <c r="N6189" s="101"/>
    </row>
    <row r="6190" spans="7:14" hidden="1" x14ac:dyDescent="0.3">
      <c r="G6190" s="101"/>
      <c r="H6190" s="101"/>
      <c r="I6190" s="101"/>
      <c r="K6190" s="226"/>
      <c r="L6190" s="226"/>
      <c r="M6190" s="101"/>
      <c r="N6190" s="101"/>
    </row>
    <row r="6191" spans="7:14" hidden="1" x14ac:dyDescent="0.3">
      <c r="G6191" s="101"/>
      <c r="H6191" s="101"/>
      <c r="I6191" s="101"/>
      <c r="K6191" s="226"/>
      <c r="L6191" s="226"/>
      <c r="M6191" s="101"/>
      <c r="N6191" s="101"/>
    </row>
    <row r="6192" spans="7:14" hidden="1" x14ac:dyDescent="0.3">
      <c r="G6192" s="101"/>
      <c r="H6192" s="101"/>
      <c r="I6192" s="101"/>
      <c r="K6192" s="226"/>
      <c r="L6192" s="226"/>
      <c r="M6192" s="101"/>
      <c r="N6192" s="101"/>
    </row>
    <row r="6193" spans="7:14" hidden="1" x14ac:dyDescent="0.3">
      <c r="G6193" s="101"/>
      <c r="H6193" s="101"/>
      <c r="I6193" s="101"/>
      <c r="K6193" s="226"/>
      <c r="L6193" s="226"/>
      <c r="M6193" s="101"/>
      <c r="N6193" s="101"/>
    </row>
    <row r="6194" spans="7:14" hidden="1" x14ac:dyDescent="0.3">
      <c r="G6194" s="101"/>
      <c r="H6194" s="101"/>
      <c r="I6194" s="101"/>
      <c r="K6194" s="226"/>
      <c r="L6194" s="226"/>
      <c r="M6194" s="101"/>
      <c r="N6194" s="101"/>
    </row>
    <row r="6195" spans="7:14" hidden="1" x14ac:dyDescent="0.3">
      <c r="G6195" s="101"/>
      <c r="H6195" s="101"/>
      <c r="I6195" s="101"/>
      <c r="K6195" s="226"/>
      <c r="L6195" s="226"/>
      <c r="M6195" s="101"/>
      <c r="N6195" s="101"/>
    </row>
    <row r="6196" spans="7:14" hidden="1" x14ac:dyDescent="0.3">
      <c r="G6196" s="101"/>
      <c r="H6196" s="101"/>
      <c r="I6196" s="101"/>
      <c r="K6196" s="226"/>
      <c r="L6196" s="226"/>
      <c r="M6196" s="101"/>
      <c r="N6196" s="101"/>
    </row>
    <row r="6197" spans="7:14" hidden="1" x14ac:dyDescent="0.3">
      <c r="G6197" s="101"/>
      <c r="H6197" s="101"/>
      <c r="I6197" s="101"/>
      <c r="K6197" s="226"/>
      <c r="L6197" s="226"/>
      <c r="M6197" s="101"/>
      <c r="N6197" s="101"/>
    </row>
    <row r="6198" spans="7:14" hidden="1" x14ac:dyDescent="0.3">
      <c r="G6198" s="101"/>
      <c r="H6198" s="101"/>
      <c r="I6198" s="101"/>
      <c r="K6198" s="226"/>
      <c r="L6198" s="226"/>
      <c r="M6198" s="101"/>
      <c r="N6198" s="101"/>
    </row>
    <row r="6199" spans="7:14" hidden="1" x14ac:dyDescent="0.3">
      <c r="G6199" s="101"/>
      <c r="H6199" s="101"/>
      <c r="I6199" s="101"/>
      <c r="K6199" s="226"/>
      <c r="L6199" s="226"/>
      <c r="M6199" s="101"/>
      <c r="N6199" s="101"/>
    </row>
    <row r="6200" spans="7:14" hidden="1" x14ac:dyDescent="0.3">
      <c r="G6200" s="101"/>
      <c r="H6200" s="101"/>
      <c r="I6200" s="101"/>
      <c r="K6200" s="226"/>
      <c r="L6200" s="226"/>
      <c r="M6200" s="101"/>
      <c r="N6200" s="101"/>
    </row>
    <row r="6201" spans="7:14" hidden="1" x14ac:dyDescent="0.3">
      <c r="G6201" s="101"/>
      <c r="H6201" s="101"/>
      <c r="I6201" s="101"/>
      <c r="K6201" s="226"/>
      <c r="L6201" s="226"/>
      <c r="M6201" s="101"/>
      <c r="N6201" s="101"/>
    </row>
    <row r="6202" spans="7:14" hidden="1" x14ac:dyDescent="0.3">
      <c r="G6202" s="101"/>
      <c r="H6202" s="101"/>
      <c r="I6202" s="101"/>
      <c r="K6202" s="226"/>
      <c r="L6202" s="226"/>
      <c r="M6202" s="101"/>
      <c r="N6202" s="101"/>
    </row>
    <row r="6203" spans="7:14" hidden="1" x14ac:dyDescent="0.3">
      <c r="G6203" s="101"/>
      <c r="H6203" s="101"/>
      <c r="I6203" s="101"/>
      <c r="K6203" s="226"/>
      <c r="L6203" s="226"/>
      <c r="M6203" s="101"/>
      <c r="N6203" s="101"/>
    </row>
    <row r="6204" spans="7:14" hidden="1" x14ac:dyDescent="0.3">
      <c r="G6204" s="101"/>
      <c r="H6204" s="101"/>
      <c r="I6204" s="101"/>
      <c r="K6204" s="226"/>
      <c r="L6204" s="226"/>
      <c r="M6204" s="101"/>
      <c r="N6204" s="101"/>
    </row>
    <row r="6205" spans="7:14" hidden="1" x14ac:dyDescent="0.3">
      <c r="G6205" s="101"/>
      <c r="H6205" s="101"/>
      <c r="I6205" s="101"/>
      <c r="K6205" s="226"/>
      <c r="L6205" s="226"/>
      <c r="M6205" s="101"/>
      <c r="N6205" s="101"/>
    </row>
    <row r="6206" spans="7:14" hidden="1" x14ac:dyDescent="0.3">
      <c r="G6206" s="101"/>
      <c r="H6206" s="101"/>
      <c r="I6206" s="101"/>
      <c r="K6206" s="226"/>
      <c r="L6206" s="226"/>
      <c r="M6206" s="101"/>
      <c r="N6206" s="101"/>
    </row>
    <row r="6207" spans="7:14" hidden="1" x14ac:dyDescent="0.3">
      <c r="G6207" s="101"/>
      <c r="H6207" s="101"/>
      <c r="I6207" s="101"/>
      <c r="K6207" s="226"/>
      <c r="L6207" s="226"/>
      <c r="M6207" s="101"/>
      <c r="N6207" s="101"/>
    </row>
    <row r="6208" spans="7:14" hidden="1" x14ac:dyDescent="0.3">
      <c r="G6208" s="101"/>
      <c r="H6208" s="101"/>
      <c r="I6208" s="101"/>
      <c r="K6208" s="226"/>
      <c r="L6208" s="226"/>
      <c r="M6208" s="101"/>
      <c r="N6208" s="101"/>
    </row>
    <row r="6209" spans="7:14" hidden="1" x14ac:dyDescent="0.3">
      <c r="G6209" s="101"/>
      <c r="H6209" s="101"/>
      <c r="I6209" s="101"/>
      <c r="K6209" s="226"/>
      <c r="L6209" s="226"/>
      <c r="M6209" s="101"/>
      <c r="N6209" s="101"/>
    </row>
    <row r="6210" spans="7:14" hidden="1" x14ac:dyDescent="0.3">
      <c r="G6210" s="101"/>
      <c r="H6210" s="101"/>
      <c r="I6210" s="101"/>
      <c r="K6210" s="226"/>
      <c r="L6210" s="226"/>
      <c r="M6210" s="101"/>
      <c r="N6210" s="101"/>
    </row>
    <row r="6211" spans="7:14" hidden="1" x14ac:dyDescent="0.3">
      <c r="G6211" s="101"/>
      <c r="H6211" s="101"/>
      <c r="I6211" s="101"/>
      <c r="K6211" s="226"/>
      <c r="L6211" s="226"/>
      <c r="M6211" s="101"/>
      <c r="N6211" s="101"/>
    </row>
    <row r="6212" spans="7:14" hidden="1" x14ac:dyDescent="0.3">
      <c r="G6212" s="101"/>
      <c r="H6212" s="101"/>
      <c r="I6212" s="101"/>
      <c r="K6212" s="226"/>
      <c r="L6212" s="226"/>
      <c r="M6212" s="101"/>
      <c r="N6212" s="101"/>
    </row>
    <row r="6213" spans="7:14" hidden="1" x14ac:dyDescent="0.3">
      <c r="G6213" s="101"/>
      <c r="H6213" s="101"/>
      <c r="I6213" s="101"/>
      <c r="K6213" s="226"/>
      <c r="L6213" s="226"/>
      <c r="M6213" s="101"/>
      <c r="N6213" s="101"/>
    </row>
    <row r="6214" spans="7:14" hidden="1" x14ac:dyDescent="0.3">
      <c r="G6214" s="101"/>
      <c r="H6214" s="101"/>
      <c r="I6214" s="101"/>
      <c r="K6214" s="226"/>
      <c r="L6214" s="226"/>
      <c r="M6214" s="101"/>
      <c r="N6214" s="101"/>
    </row>
    <row r="6215" spans="7:14" hidden="1" x14ac:dyDescent="0.3">
      <c r="G6215" s="101"/>
      <c r="H6215" s="101"/>
      <c r="I6215" s="101"/>
      <c r="K6215" s="226"/>
      <c r="L6215" s="226"/>
      <c r="M6215" s="101"/>
      <c r="N6215" s="101"/>
    </row>
    <row r="6216" spans="7:14" hidden="1" x14ac:dyDescent="0.3">
      <c r="G6216" s="101"/>
      <c r="H6216" s="101"/>
      <c r="I6216" s="101"/>
      <c r="K6216" s="226"/>
      <c r="L6216" s="226"/>
      <c r="M6216" s="101"/>
      <c r="N6216" s="101"/>
    </row>
    <row r="6217" spans="7:14" hidden="1" x14ac:dyDescent="0.3">
      <c r="G6217" s="101"/>
      <c r="H6217" s="101"/>
      <c r="I6217" s="101"/>
      <c r="K6217" s="226"/>
      <c r="L6217" s="226"/>
      <c r="M6217" s="101"/>
      <c r="N6217" s="101"/>
    </row>
    <row r="6218" spans="7:14" hidden="1" x14ac:dyDescent="0.3">
      <c r="G6218" s="101"/>
      <c r="H6218" s="101"/>
      <c r="I6218" s="101"/>
      <c r="K6218" s="226"/>
      <c r="L6218" s="226"/>
      <c r="M6218" s="101"/>
      <c r="N6218" s="101"/>
    </row>
    <row r="6219" spans="7:14" hidden="1" x14ac:dyDescent="0.3">
      <c r="G6219" s="101"/>
      <c r="H6219" s="101"/>
      <c r="I6219" s="101"/>
      <c r="K6219" s="226"/>
      <c r="L6219" s="226"/>
      <c r="M6219" s="101"/>
      <c r="N6219" s="101"/>
    </row>
    <row r="6220" spans="7:14" hidden="1" x14ac:dyDescent="0.3">
      <c r="G6220" s="101"/>
      <c r="H6220" s="101"/>
      <c r="I6220" s="101"/>
      <c r="K6220" s="226"/>
      <c r="L6220" s="226"/>
      <c r="M6220" s="101"/>
      <c r="N6220" s="101"/>
    </row>
    <row r="6221" spans="7:14" hidden="1" x14ac:dyDescent="0.3">
      <c r="G6221" s="101"/>
      <c r="H6221" s="101"/>
      <c r="I6221" s="101"/>
      <c r="K6221" s="226"/>
      <c r="L6221" s="226"/>
      <c r="M6221" s="101"/>
      <c r="N6221" s="101"/>
    </row>
    <row r="6222" spans="7:14" hidden="1" x14ac:dyDescent="0.3">
      <c r="G6222" s="101"/>
      <c r="H6222" s="101"/>
      <c r="I6222" s="101"/>
      <c r="K6222" s="226"/>
      <c r="L6222" s="226"/>
      <c r="M6222" s="101"/>
      <c r="N6222" s="101"/>
    </row>
    <row r="6223" spans="7:14" hidden="1" x14ac:dyDescent="0.3">
      <c r="G6223" s="101"/>
      <c r="H6223" s="101"/>
      <c r="I6223" s="101"/>
      <c r="K6223" s="226"/>
      <c r="L6223" s="226"/>
      <c r="M6223" s="101"/>
      <c r="N6223" s="101"/>
    </row>
    <row r="6224" spans="7:14" hidden="1" x14ac:dyDescent="0.3">
      <c r="G6224" s="101"/>
      <c r="H6224" s="101"/>
      <c r="I6224" s="101"/>
      <c r="K6224" s="226"/>
      <c r="L6224" s="226"/>
      <c r="M6224" s="101"/>
      <c r="N6224" s="101"/>
    </row>
    <row r="6225" spans="7:14" hidden="1" x14ac:dyDescent="0.3">
      <c r="G6225" s="101"/>
      <c r="H6225" s="101"/>
      <c r="I6225" s="101"/>
      <c r="K6225" s="226"/>
      <c r="L6225" s="226"/>
      <c r="M6225" s="101"/>
      <c r="N6225" s="101"/>
    </row>
    <row r="6226" spans="7:14" hidden="1" x14ac:dyDescent="0.3">
      <c r="G6226" s="101"/>
      <c r="H6226" s="101"/>
      <c r="I6226" s="101"/>
      <c r="K6226" s="226"/>
      <c r="L6226" s="226"/>
      <c r="M6226" s="101"/>
      <c r="N6226" s="101"/>
    </row>
    <row r="6227" spans="7:14" hidden="1" x14ac:dyDescent="0.3">
      <c r="G6227" s="101"/>
      <c r="H6227" s="101"/>
      <c r="I6227" s="101"/>
      <c r="K6227" s="226"/>
      <c r="L6227" s="226"/>
      <c r="M6227" s="101"/>
      <c r="N6227" s="101"/>
    </row>
    <row r="6228" spans="7:14" hidden="1" x14ac:dyDescent="0.3">
      <c r="G6228" s="101"/>
      <c r="H6228" s="101"/>
      <c r="I6228" s="101"/>
      <c r="K6228" s="226"/>
      <c r="L6228" s="226"/>
      <c r="M6228" s="101"/>
      <c r="N6228" s="101"/>
    </row>
    <row r="6229" spans="7:14" hidden="1" x14ac:dyDescent="0.3">
      <c r="G6229" s="101"/>
      <c r="H6229" s="101"/>
      <c r="I6229" s="101"/>
      <c r="K6229" s="226"/>
      <c r="L6229" s="226"/>
      <c r="M6229" s="101"/>
      <c r="N6229" s="101"/>
    </row>
    <row r="6230" spans="7:14" hidden="1" x14ac:dyDescent="0.3">
      <c r="G6230" s="101"/>
      <c r="H6230" s="101"/>
      <c r="I6230" s="101"/>
      <c r="K6230" s="226"/>
      <c r="L6230" s="226"/>
      <c r="M6230" s="101"/>
      <c r="N6230" s="101"/>
    </row>
    <row r="6231" spans="7:14" hidden="1" x14ac:dyDescent="0.3">
      <c r="G6231" s="101"/>
      <c r="H6231" s="101"/>
      <c r="I6231" s="101"/>
      <c r="K6231" s="226"/>
      <c r="L6231" s="226"/>
      <c r="M6231" s="101"/>
      <c r="N6231" s="101"/>
    </row>
    <row r="6232" spans="7:14" hidden="1" x14ac:dyDescent="0.3">
      <c r="G6232" s="101"/>
      <c r="H6232" s="101"/>
      <c r="I6232" s="101"/>
      <c r="K6232" s="226"/>
      <c r="L6232" s="226"/>
      <c r="M6232" s="101"/>
      <c r="N6232" s="101"/>
    </row>
    <row r="6233" spans="7:14" hidden="1" x14ac:dyDescent="0.3">
      <c r="G6233" s="101"/>
      <c r="H6233" s="101"/>
      <c r="I6233" s="101"/>
      <c r="K6233" s="226"/>
      <c r="L6233" s="226"/>
      <c r="M6233" s="101"/>
      <c r="N6233" s="101"/>
    </row>
    <row r="6234" spans="7:14" hidden="1" x14ac:dyDescent="0.3">
      <c r="G6234" s="101"/>
      <c r="H6234" s="101"/>
      <c r="I6234" s="101"/>
      <c r="K6234" s="226"/>
      <c r="L6234" s="226"/>
      <c r="M6234" s="101"/>
      <c r="N6234" s="101"/>
    </row>
    <row r="6235" spans="7:14" hidden="1" x14ac:dyDescent="0.3">
      <c r="G6235" s="101"/>
      <c r="H6235" s="101"/>
      <c r="I6235" s="101"/>
      <c r="K6235" s="226"/>
      <c r="L6235" s="226"/>
      <c r="M6235" s="101"/>
      <c r="N6235" s="101"/>
    </row>
    <row r="6236" spans="7:14" hidden="1" x14ac:dyDescent="0.3">
      <c r="G6236" s="101"/>
      <c r="H6236" s="101"/>
      <c r="I6236" s="101"/>
      <c r="K6236" s="226"/>
      <c r="L6236" s="226"/>
      <c r="M6236" s="101"/>
      <c r="N6236" s="101"/>
    </row>
    <row r="6237" spans="7:14" hidden="1" x14ac:dyDescent="0.3">
      <c r="G6237" s="101"/>
      <c r="H6237" s="101"/>
      <c r="I6237" s="101"/>
      <c r="K6237" s="226"/>
      <c r="L6237" s="226"/>
      <c r="M6237" s="101"/>
      <c r="N6237" s="101"/>
    </row>
    <row r="6238" spans="7:14" hidden="1" x14ac:dyDescent="0.3">
      <c r="G6238" s="101"/>
      <c r="H6238" s="101"/>
      <c r="I6238" s="101"/>
      <c r="K6238" s="226"/>
      <c r="L6238" s="226"/>
      <c r="M6238" s="101"/>
      <c r="N6238" s="101"/>
    </row>
    <row r="6239" spans="7:14" hidden="1" x14ac:dyDescent="0.3">
      <c r="G6239" s="101"/>
      <c r="H6239" s="101"/>
      <c r="I6239" s="101"/>
      <c r="K6239" s="226"/>
      <c r="L6239" s="226"/>
      <c r="M6239" s="101"/>
      <c r="N6239" s="101"/>
    </row>
    <row r="6240" spans="7:14" hidden="1" x14ac:dyDescent="0.3">
      <c r="G6240" s="101"/>
      <c r="H6240" s="101"/>
      <c r="I6240" s="101"/>
      <c r="K6240" s="226"/>
      <c r="L6240" s="226"/>
      <c r="M6240" s="101"/>
      <c r="N6240" s="101"/>
    </row>
    <row r="6241" spans="7:14" hidden="1" x14ac:dyDescent="0.3">
      <c r="G6241" s="101"/>
      <c r="H6241" s="101"/>
      <c r="I6241" s="101"/>
      <c r="K6241" s="226"/>
      <c r="L6241" s="226"/>
      <c r="M6241" s="101"/>
      <c r="N6241" s="101"/>
    </row>
    <row r="6242" spans="7:14" hidden="1" x14ac:dyDescent="0.3">
      <c r="G6242" s="101"/>
      <c r="H6242" s="101"/>
      <c r="I6242" s="101"/>
      <c r="K6242" s="226"/>
      <c r="L6242" s="226"/>
      <c r="M6242" s="101"/>
      <c r="N6242" s="101"/>
    </row>
    <row r="6243" spans="7:14" hidden="1" x14ac:dyDescent="0.3">
      <c r="G6243" s="101"/>
      <c r="H6243" s="101"/>
      <c r="I6243" s="101"/>
      <c r="K6243" s="226"/>
      <c r="L6243" s="226"/>
      <c r="M6243" s="101"/>
      <c r="N6243" s="101"/>
    </row>
    <row r="6244" spans="7:14" hidden="1" x14ac:dyDescent="0.3">
      <c r="G6244" s="101"/>
      <c r="H6244" s="101"/>
      <c r="I6244" s="101"/>
      <c r="K6244" s="226"/>
      <c r="L6244" s="226"/>
      <c r="M6244" s="101"/>
      <c r="N6244" s="101"/>
    </row>
    <row r="6245" spans="7:14" hidden="1" x14ac:dyDescent="0.3">
      <c r="G6245" s="101"/>
      <c r="H6245" s="101"/>
      <c r="I6245" s="101"/>
      <c r="K6245" s="226"/>
      <c r="L6245" s="226"/>
      <c r="M6245" s="101"/>
      <c r="N6245" s="101"/>
    </row>
    <row r="6246" spans="7:14" hidden="1" x14ac:dyDescent="0.3">
      <c r="G6246" s="101"/>
      <c r="H6246" s="101"/>
      <c r="I6246" s="101"/>
      <c r="K6246" s="226"/>
      <c r="L6246" s="226"/>
      <c r="M6246" s="101"/>
      <c r="N6246" s="101"/>
    </row>
    <row r="6247" spans="7:14" hidden="1" x14ac:dyDescent="0.3">
      <c r="G6247" s="101"/>
      <c r="H6247" s="101"/>
      <c r="I6247" s="101"/>
      <c r="K6247" s="226"/>
      <c r="L6247" s="226"/>
      <c r="M6247" s="101"/>
      <c r="N6247" s="101"/>
    </row>
    <row r="6248" spans="7:14" hidden="1" x14ac:dyDescent="0.3">
      <c r="G6248" s="101"/>
      <c r="H6248" s="101"/>
      <c r="I6248" s="101"/>
      <c r="K6248" s="226"/>
      <c r="L6248" s="226"/>
      <c r="M6248" s="101"/>
      <c r="N6248" s="101"/>
    </row>
    <row r="6249" spans="7:14" hidden="1" x14ac:dyDescent="0.3">
      <c r="G6249" s="101"/>
      <c r="H6249" s="101"/>
      <c r="I6249" s="101"/>
      <c r="K6249" s="226"/>
      <c r="L6249" s="226"/>
      <c r="M6249" s="101"/>
      <c r="N6249" s="101"/>
    </row>
    <row r="6250" spans="7:14" hidden="1" x14ac:dyDescent="0.3">
      <c r="G6250" s="101"/>
      <c r="H6250" s="101"/>
      <c r="I6250" s="101"/>
      <c r="K6250" s="226"/>
      <c r="L6250" s="226"/>
      <c r="M6250" s="101"/>
      <c r="N6250" s="101"/>
    </row>
    <row r="6251" spans="7:14" hidden="1" x14ac:dyDescent="0.3">
      <c r="G6251" s="101"/>
      <c r="H6251" s="101"/>
      <c r="I6251" s="101"/>
      <c r="K6251" s="226"/>
      <c r="L6251" s="226"/>
      <c r="M6251" s="101"/>
      <c r="N6251" s="101"/>
    </row>
    <row r="6252" spans="7:14" hidden="1" x14ac:dyDescent="0.3">
      <c r="G6252" s="101"/>
      <c r="H6252" s="101"/>
      <c r="I6252" s="101"/>
      <c r="K6252" s="226"/>
      <c r="L6252" s="226"/>
      <c r="M6252" s="101"/>
      <c r="N6252" s="101"/>
    </row>
    <row r="6253" spans="7:14" hidden="1" x14ac:dyDescent="0.3">
      <c r="G6253" s="101"/>
      <c r="H6253" s="101"/>
      <c r="I6253" s="101"/>
      <c r="K6253" s="226"/>
      <c r="L6253" s="226"/>
      <c r="M6253" s="101"/>
      <c r="N6253" s="101"/>
    </row>
    <row r="6254" spans="7:14" hidden="1" x14ac:dyDescent="0.3">
      <c r="G6254" s="101"/>
      <c r="H6254" s="101"/>
      <c r="I6254" s="101"/>
      <c r="K6254" s="226"/>
      <c r="L6254" s="226"/>
      <c r="M6254" s="101"/>
      <c r="N6254" s="101"/>
    </row>
    <row r="6255" spans="7:14" hidden="1" x14ac:dyDescent="0.3">
      <c r="G6255" s="101"/>
      <c r="H6255" s="101"/>
      <c r="I6255" s="101"/>
      <c r="K6255" s="226"/>
      <c r="L6255" s="226"/>
      <c r="M6255" s="101"/>
      <c r="N6255" s="101"/>
    </row>
    <row r="6256" spans="7:14" hidden="1" x14ac:dyDescent="0.3">
      <c r="G6256" s="101"/>
      <c r="H6256" s="101"/>
      <c r="I6256" s="101"/>
      <c r="K6256" s="226"/>
      <c r="L6256" s="226"/>
      <c r="M6256" s="101"/>
      <c r="N6256" s="101"/>
    </row>
    <row r="6257" spans="7:14" hidden="1" x14ac:dyDescent="0.3">
      <c r="G6257" s="101"/>
      <c r="H6257" s="101"/>
      <c r="I6257" s="101"/>
      <c r="K6257" s="226"/>
      <c r="L6257" s="226"/>
      <c r="M6257" s="101"/>
      <c r="N6257" s="101"/>
    </row>
    <row r="6258" spans="7:14" hidden="1" x14ac:dyDescent="0.3">
      <c r="G6258" s="101"/>
      <c r="H6258" s="101"/>
      <c r="I6258" s="101"/>
      <c r="K6258" s="226"/>
      <c r="L6258" s="226"/>
      <c r="M6258" s="101"/>
      <c r="N6258" s="101"/>
    </row>
    <row r="6259" spans="7:14" hidden="1" x14ac:dyDescent="0.3">
      <c r="G6259" s="101"/>
      <c r="H6259" s="101"/>
      <c r="I6259" s="101"/>
      <c r="K6259" s="226"/>
      <c r="L6259" s="226"/>
      <c r="M6259" s="101"/>
      <c r="N6259" s="101"/>
    </row>
    <row r="6260" spans="7:14" hidden="1" x14ac:dyDescent="0.3">
      <c r="G6260" s="101"/>
      <c r="H6260" s="101"/>
      <c r="I6260" s="101"/>
      <c r="K6260" s="226"/>
      <c r="L6260" s="226"/>
      <c r="M6260" s="101"/>
      <c r="N6260" s="101"/>
    </row>
    <row r="6261" spans="7:14" hidden="1" x14ac:dyDescent="0.3">
      <c r="G6261" s="101"/>
      <c r="H6261" s="101"/>
      <c r="I6261" s="101"/>
      <c r="K6261" s="226"/>
      <c r="L6261" s="226"/>
      <c r="M6261" s="101"/>
      <c r="N6261" s="101"/>
    </row>
    <row r="6262" spans="7:14" hidden="1" x14ac:dyDescent="0.3">
      <c r="G6262" s="101"/>
      <c r="H6262" s="101"/>
      <c r="I6262" s="101"/>
      <c r="K6262" s="226"/>
      <c r="L6262" s="226"/>
      <c r="M6262" s="101"/>
      <c r="N6262" s="101"/>
    </row>
    <row r="6263" spans="7:14" hidden="1" x14ac:dyDescent="0.3">
      <c r="G6263" s="101"/>
      <c r="H6263" s="101"/>
      <c r="I6263" s="101"/>
      <c r="K6263" s="226"/>
      <c r="L6263" s="226"/>
      <c r="M6263" s="101"/>
      <c r="N6263" s="101"/>
    </row>
    <row r="6264" spans="7:14" hidden="1" x14ac:dyDescent="0.3">
      <c r="G6264" s="101"/>
      <c r="H6264" s="101"/>
      <c r="I6264" s="101"/>
      <c r="K6264" s="226"/>
      <c r="L6264" s="226"/>
      <c r="M6264" s="101"/>
      <c r="N6264" s="101"/>
    </row>
    <row r="6265" spans="7:14" hidden="1" x14ac:dyDescent="0.3">
      <c r="G6265" s="101"/>
      <c r="H6265" s="101"/>
      <c r="I6265" s="101"/>
      <c r="K6265" s="226"/>
      <c r="L6265" s="226"/>
      <c r="M6265" s="101"/>
      <c r="N6265" s="101"/>
    </row>
    <row r="6266" spans="7:14" hidden="1" x14ac:dyDescent="0.3">
      <c r="G6266" s="101"/>
      <c r="H6266" s="101"/>
      <c r="I6266" s="101"/>
      <c r="K6266" s="226"/>
      <c r="L6266" s="226"/>
      <c r="M6266" s="101"/>
      <c r="N6266" s="101"/>
    </row>
    <row r="6267" spans="7:14" hidden="1" x14ac:dyDescent="0.3">
      <c r="G6267" s="101"/>
      <c r="H6267" s="101"/>
      <c r="I6267" s="101"/>
      <c r="K6267" s="226"/>
      <c r="L6267" s="226"/>
      <c r="M6267" s="101"/>
      <c r="N6267" s="101"/>
    </row>
    <row r="6268" spans="7:14" hidden="1" x14ac:dyDescent="0.3">
      <c r="G6268" s="101"/>
      <c r="H6268" s="101"/>
      <c r="I6268" s="101"/>
      <c r="K6268" s="226"/>
      <c r="L6268" s="226"/>
      <c r="M6268" s="101"/>
      <c r="N6268" s="101"/>
    </row>
    <row r="6269" spans="7:14" hidden="1" x14ac:dyDescent="0.3">
      <c r="G6269" s="101"/>
      <c r="H6269" s="101"/>
      <c r="I6269" s="101"/>
      <c r="K6269" s="226"/>
      <c r="L6269" s="226"/>
      <c r="M6269" s="101"/>
      <c r="N6269" s="101"/>
    </row>
    <row r="6270" spans="7:14" hidden="1" x14ac:dyDescent="0.3">
      <c r="G6270" s="101"/>
      <c r="H6270" s="101"/>
      <c r="I6270" s="101"/>
      <c r="K6270" s="226"/>
      <c r="L6270" s="226"/>
      <c r="M6270" s="101"/>
      <c r="N6270" s="101"/>
    </row>
    <row r="6271" spans="7:14" hidden="1" x14ac:dyDescent="0.3">
      <c r="G6271" s="101"/>
      <c r="H6271" s="101"/>
      <c r="I6271" s="101"/>
      <c r="K6271" s="226"/>
      <c r="L6271" s="226"/>
      <c r="M6271" s="101"/>
      <c r="N6271" s="101"/>
    </row>
    <row r="6272" spans="7:14" hidden="1" x14ac:dyDescent="0.3">
      <c r="G6272" s="101"/>
      <c r="H6272" s="101"/>
      <c r="I6272" s="101"/>
      <c r="K6272" s="226"/>
      <c r="L6272" s="226"/>
      <c r="M6272" s="101"/>
      <c r="N6272" s="101"/>
    </row>
    <row r="6273" spans="7:14" hidden="1" x14ac:dyDescent="0.3">
      <c r="G6273" s="101"/>
      <c r="H6273" s="101"/>
      <c r="I6273" s="101"/>
      <c r="K6273" s="226"/>
      <c r="L6273" s="226"/>
      <c r="M6273" s="101"/>
      <c r="N6273" s="101"/>
    </row>
    <row r="6274" spans="7:14" hidden="1" x14ac:dyDescent="0.3">
      <c r="G6274" s="101"/>
      <c r="H6274" s="101"/>
      <c r="I6274" s="101"/>
      <c r="K6274" s="226"/>
      <c r="L6274" s="226"/>
      <c r="M6274" s="101"/>
      <c r="N6274" s="101"/>
    </row>
    <row r="6275" spans="7:14" hidden="1" x14ac:dyDescent="0.3">
      <c r="G6275" s="101"/>
      <c r="H6275" s="101"/>
      <c r="I6275" s="101"/>
      <c r="K6275" s="226"/>
      <c r="L6275" s="226"/>
      <c r="M6275" s="101"/>
      <c r="N6275" s="101"/>
    </row>
    <row r="6276" spans="7:14" hidden="1" x14ac:dyDescent="0.3">
      <c r="G6276" s="101"/>
      <c r="H6276" s="101"/>
      <c r="I6276" s="101"/>
      <c r="K6276" s="226"/>
      <c r="L6276" s="226"/>
      <c r="M6276" s="101"/>
      <c r="N6276" s="101"/>
    </row>
    <row r="6277" spans="7:14" hidden="1" x14ac:dyDescent="0.3">
      <c r="G6277" s="101"/>
      <c r="H6277" s="101"/>
      <c r="I6277" s="101"/>
      <c r="K6277" s="226"/>
      <c r="L6277" s="226"/>
      <c r="M6277" s="101"/>
      <c r="N6277" s="101"/>
    </row>
    <row r="6278" spans="7:14" hidden="1" x14ac:dyDescent="0.3">
      <c r="G6278" s="101"/>
      <c r="H6278" s="101"/>
      <c r="I6278" s="101"/>
      <c r="K6278" s="226"/>
      <c r="L6278" s="226"/>
      <c r="M6278" s="101"/>
      <c r="N6278" s="101"/>
    </row>
    <row r="6279" spans="7:14" hidden="1" x14ac:dyDescent="0.3">
      <c r="G6279" s="101"/>
      <c r="H6279" s="101"/>
      <c r="I6279" s="101"/>
      <c r="K6279" s="226"/>
      <c r="L6279" s="226"/>
      <c r="M6279" s="101"/>
      <c r="N6279" s="101"/>
    </row>
    <row r="6280" spans="7:14" hidden="1" x14ac:dyDescent="0.3">
      <c r="G6280" s="101"/>
      <c r="H6280" s="101"/>
      <c r="I6280" s="101"/>
      <c r="K6280" s="226"/>
      <c r="L6280" s="226"/>
      <c r="M6280" s="101"/>
      <c r="N6280" s="101"/>
    </row>
    <row r="6281" spans="7:14" hidden="1" x14ac:dyDescent="0.3">
      <c r="G6281" s="101"/>
      <c r="H6281" s="101"/>
      <c r="I6281" s="101"/>
      <c r="K6281" s="226"/>
      <c r="L6281" s="226"/>
      <c r="M6281" s="101"/>
      <c r="N6281" s="101"/>
    </row>
    <row r="6282" spans="7:14" hidden="1" x14ac:dyDescent="0.3">
      <c r="G6282" s="101"/>
      <c r="H6282" s="101"/>
      <c r="I6282" s="101"/>
      <c r="K6282" s="226"/>
      <c r="L6282" s="226"/>
      <c r="M6282" s="101"/>
      <c r="N6282" s="101"/>
    </row>
    <row r="6283" spans="7:14" hidden="1" x14ac:dyDescent="0.3">
      <c r="G6283" s="101"/>
      <c r="H6283" s="101"/>
      <c r="I6283" s="101"/>
      <c r="K6283" s="226"/>
      <c r="L6283" s="226"/>
      <c r="M6283" s="101"/>
      <c r="N6283" s="101"/>
    </row>
    <row r="6284" spans="7:14" hidden="1" x14ac:dyDescent="0.3">
      <c r="G6284" s="101"/>
      <c r="H6284" s="101"/>
      <c r="I6284" s="101"/>
      <c r="K6284" s="226"/>
      <c r="L6284" s="226"/>
      <c r="M6284" s="101"/>
      <c r="N6284" s="101"/>
    </row>
    <row r="6285" spans="7:14" hidden="1" x14ac:dyDescent="0.3">
      <c r="G6285" s="101"/>
      <c r="H6285" s="101"/>
      <c r="I6285" s="101"/>
      <c r="K6285" s="226"/>
      <c r="L6285" s="226"/>
      <c r="M6285" s="101"/>
      <c r="N6285" s="101"/>
    </row>
    <row r="6286" spans="7:14" hidden="1" x14ac:dyDescent="0.3">
      <c r="G6286" s="101"/>
      <c r="H6286" s="101"/>
      <c r="I6286" s="101"/>
      <c r="K6286" s="226"/>
      <c r="L6286" s="226"/>
      <c r="M6286" s="101"/>
      <c r="N6286" s="101"/>
    </row>
    <row r="6287" spans="7:14" hidden="1" x14ac:dyDescent="0.3">
      <c r="G6287" s="101"/>
      <c r="H6287" s="101"/>
      <c r="I6287" s="101"/>
      <c r="K6287" s="226"/>
      <c r="L6287" s="226"/>
      <c r="M6287" s="101"/>
      <c r="N6287" s="101"/>
    </row>
    <row r="6288" spans="7:14" hidden="1" x14ac:dyDescent="0.3">
      <c r="G6288" s="101"/>
      <c r="H6288" s="101"/>
      <c r="I6288" s="101"/>
      <c r="K6288" s="226"/>
      <c r="L6288" s="226"/>
      <c r="M6288" s="101"/>
      <c r="N6288" s="101"/>
    </row>
    <row r="6289" spans="7:14" hidden="1" x14ac:dyDescent="0.3">
      <c r="G6289" s="101"/>
      <c r="H6289" s="101"/>
      <c r="I6289" s="101"/>
      <c r="K6289" s="226"/>
      <c r="L6289" s="226"/>
      <c r="M6289" s="101"/>
      <c r="N6289" s="101"/>
    </row>
    <row r="6290" spans="7:14" hidden="1" x14ac:dyDescent="0.3">
      <c r="G6290" s="101"/>
      <c r="H6290" s="101"/>
      <c r="I6290" s="101"/>
      <c r="K6290" s="226"/>
      <c r="L6290" s="226"/>
      <c r="M6290" s="101"/>
      <c r="N6290" s="101"/>
    </row>
    <row r="6291" spans="7:14" hidden="1" x14ac:dyDescent="0.3">
      <c r="G6291" s="101"/>
      <c r="H6291" s="101"/>
      <c r="I6291" s="101"/>
      <c r="K6291" s="226"/>
      <c r="L6291" s="226"/>
      <c r="M6291" s="101"/>
      <c r="N6291" s="101"/>
    </row>
    <row r="6292" spans="7:14" hidden="1" x14ac:dyDescent="0.3">
      <c r="G6292" s="101"/>
      <c r="H6292" s="101"/>
      <c r="I6292" s="101"/>
      <c r="K6292" s="226"/>
      <c r="L6292" s="226"/>
      <c r="M6292" s="101"/>
      <c r="N6292" s="101"/>
    </row>
    <row r="6293" spans="7:14" hidden="1" x14ac:dyDescent="0.3">
      <c r="G6293" s="101"/>
      <c r="H6293" s="101"/>
      <c r="I6293" s="101"/>
      <c r="K6293" s="226"/>
      <c r="L6293" s="226"/>
      <c r="M6293" s="101"/>
      <c r="N6293" s="101"/>
    </row>
    <row r="6294" spans="7:14" hidden="1" x14ac:dyDescent="0.3">
      <c r="G6294" s="101"/>
      <c r="H6294" s="101"/>
      <c r="I6294" s="101"/>
      <c r="K6294" s="226"/>
      <c r="L6294" s="226"/>
      <c r="M6294" s="101"/>
      <c r="N6294" s="101"/>
    </row>
    <row r="6295" spans="7:14" hidden="1" x14ac:dyDescent="0.3">
      <c r="G6295" s="101"/>
      <c r="H6295" s="101"/>
      <c r="I6295" s="101"/>
      <c r="K6295" s="226"/>
      <c r="L6295" s="226"/>
      <c r="M6295" s="101"/>
      <c r="N6295" s="101"/>
    </row>
    <row r="6296" spans="7:14" hidden="1" x14ac:dyDescent="0.3">
      <c r="G6296" s="101"/>
      <c r="H6296" s="101"/>
      <c r="I6296" s="101"/>
      <c r="K6296" s="226"/>
      <c r="L6296" s="226"/>
      <c r="M6296" s="101"/>
      <c r="N6296" s="101"/>
    </row>
    <row r="6297" spans="7:14" hidden="1" x14ac:dyDescent="0.3">
      <c r="G6297" s="101"/>
      <c r="H6297" s="101"/>
      <c r="I6297" s="101"/>
      <c r="K6297" s="226"/>
      <c r="L6297" s="226"/>
      <c r="M6297" s="101"/>
      <c r="N6297" s="101"/>
    </row>
    <row r="6298" spans="7:14" hidden="1" x14ac:dyDescent="0.3">
      <c r="G6298" s="101"/>
      <c r="H6298" s="101"/>
      <c r="I6298" s="101"/>
      <c r="K6298" s="226"/>
      <c r="L6298" s="226"/>
      <c r="M6298" s="101"/>
      <c r="N6298" s="101"/>
    </row>
    <row r="6299" spans="7:14" hidden="1" x14ac:dyDescent="0.3">
      <c r="G6299" s="101"/>
      <c r="H6299" s="101"/>
      <c r="I6299" s="101"/>
      <c r="K6299" s="226"/>
      <c r="L6299" s="226"/>
      <c r="M6299" s="101"/>
      <c r="N6299" s="101"/>
    </row>
    <row r="6300" spans="7:14" hidden="1" x14ac:dyDescent="0.3">
      <c r="G6300" s="101"/>
      <c r="H6300" s="101"/>
      <c r="I6300" s="101"/>
      <c r="K6300" s="226"/>
      <c r="L6300" s="226"/>
      <c r="M6300" s="101"/>
      <c r="N6300" s="101"/>
    </row>
    <row r="6301" spans="7:14" hidden="1" x14ac:dyDescent="0.3">
      <c r="G6301" s="101"/>
      <c r="H6301" s="101"/>
      <c r="I6301" s="101"/>
      <c r="K6301" s="226"/>
      <c r="L6301" s="226"/>
      <c r="M6301" s="101"/>
      <c r="N6301" s="101"/>
    </row>
    <row r="6302" spans="7:14" hidden="1" x14ac:dyDescent="0.3">
      <c r="G6302" s="101"/>
      <c r="H6302" s="101"/>
      <c r="I6302" s="101"/>
      <c r="K6302" s="226"/>
      <c r="L6302" s="226"/>
      <c r="M6302" s="101"/>
      <c r="N6302" s="101"/>
    </row>
    <row r="6303" spans="7:14" hidden="1" x14ac:dyDescent="0.3">
      <c r="G6303" s="101"/>
      <c r="H6303" s="101"/>
      <c r="I6303" s="101"/>
      <c r="K6303" s="226"/>
      <c r="L6303" s="226"/>
      <c r="M6303" s="101"/>
      <c r="N6303" s="101"/>
    </row>
    <row r="6304" spans="7:14" hidden="1" x14ac:dyDescent="0.3">
      <c r="G6304" s="101"/>
      <c r="H6304" s="101"/>
      <c r="I6304" s="101"/>
      <c r="K6304" s="226"/>
      <c r="L6304" s="226"/>
      <c r="M6304" s="101"/>
      <c r="N6304" s="101"/>
    </row>
    <row r="6305" spans="7:14" hidden="1" x14ac:dyDescent="0.3">
      <c r="G6305" s="101"/>
      <c r="H6305" s="101"/>
      <c r="I6305" s="101"/>
      <c r="K6305" s="226"/>
      <c r="L6305" s="226"/>
      <c r="M6305" s="101"/>
      <c r="N6305" s="101"/>
    </row>
    <row r="6306" spans="7:14" hidden="1" x14ac:dyDescent="0.3">
      <c r="G6306" s="101"/>
      <c r="H6306" s="101"/>
      <c r="I6306" s="101"/>
      <c r="K6306" s="226"/>
      <c r="L6306" s="226"/>
      <c r="M6306" s="101"/>
      <c r="N6306" s="101"/>
    </row>
    <row r="6307" spans="7:14" hidden="1" x14ac:dyDescent="0.3">
      <c r="G6307" s="101"/>
      <c r="H6307" s="101"/>
      <c r="I6307" s="101"/>
      <c r="K6307" s="226"/>
      <c r="L6307" s="226"/>
      <c r="M6307" s="101"/>
      <c r="N6307" s="101"/>
    </row>
    <row r="6308" spans="7:14" hidden="1" x14ac:dyDescent="0.3">
      <c r="G6308" s="101"/>
      <c r="H6308" s="101"/>
      <c r="I6308" s="101"/>
      <c r="K6308" s="226"/>
      <c r="L6308" s="226"/>
      <c r="M6308" s="101"/>
      <c r="N6308" s="101"/>
    </row>
    <row r="6309" spans="7:14" hidden="1" x14ac:dyDescent="0.3">
      <c r="G6309" s="101"/>
      <c r="H6309" s="101"/>
      <c r="I6309" s="101"/>
      <c r="K6309" s="226"/>
      <c r="L6309" s="226"/>
      <c r="M6309" s="101"/>
      <c r="N6309" s="101"/>
    </row>
    <row r="6310" spans="7:14" hidden="1" x14ac:dyDescent="0.3">
      <c r="G6310" s="101"/>
      <c r="H6310" s="101"/>
      <c r="I6310" s="101"/>
      <c r="K6310" s="226"/>
      <c r="L6310" s="226"/>
      <c r="M6310" s="101"/>
      <c r="N6310" s="101"/>
    </row>
    <row r="6311" spans="7:14" hidden="1" x14ac:dyDescent="0.3">
      <c r="G6311" s="101"/>
      <c r="H6311" s="101"/>
      <c r="I6311" s="101"/>
      <c r="K6311" s="226"/>
      <c r="L6311" s="226"/>
      <c r="M6311" s="101"/>
      <c r="N6311" s="101"/>
    </row>
    <row r="6312" spans="7:14" hidden="1" x14ac:dyDescent="0.3">
      <c r="G6312" s="101"/>
      <c r="H6312" s="101"/>
      <c r="I6312" s="101"/>
      <c r="K6312" s="226"/>
      <c r="L6312" s="226"/>
      <c r="M6312" s="101"/>
      <c r="N6312" s="101"/>
    </row>
    <row r="6313" spans="7:14" hidden="1" x14ac:dyDescent="0.3">
      <c r="G6313" s="101"/>
      <c r="H6313" s="101"/>
      <c r="I6313" s="101"/>
      <c r="K6313" s="226"/>
      <c r="L6313" s="226"/>
      <c r="M6313" s="101"/>
      <c r="N6313" s="101"/>
    </row>
    <row r="6314" spans="7:14" hidden="1" x14ac:dyDescent="0.3">
      <c r="G6314" s="101"/>
      <c r="H6314" s="101"/>
      <c r="I6314" s="101"/>
      <c r="K6314" s="226"/>
      <c r="L6314" s="226"/>
      <c r="M6314" s="101"/>
      <c r="N6314" s="101"/>
    </row>
    <row r="6315" spans="7:14" hidden="1" x14ac:dyDescent="0.3">
      <c r="G6315" s="101"/>
      <c r="H6315" s="101"/>
      <c r="I6315" s="101"/>
      <c r="K6315" s="226"/>
      <c r="L6315" s="226"/>
      <c r="M6315" s="101"/>
      <c r="N6315" s="101"/>
    </row>
    <row r="6316" spans="7:14" hidden="1" x14ac:dyDescent="0.3">
      <c r="G6316" s="101"/>
      <c r="H6316" s="101"/>
      <c r="I6316" s="101"/>
      <c r="K6316" s="226"/>
      <c r="L6316" s="226"/>
      <c r="M6316" s="101"/>
      <c r="N6316" s="101"/>
    </row>
    <row r="6317" spans="7:14" hidden="1" x14ac:dyDescent="0.3">
      <c r="G6317" s="101"/>
      <c r="H6317" s="101"/>
      <c r="I6317" s="101"/>
      <c r="K6317" s="226"/>
      <c r="L6317" s="226"/>
      <c r="M6317" s="101"/>
      <c r="N6317" s="101"/>
    </row>
    <row r="6318" spans="7:14" hidden="1" x14ac:dyDescent="0.3">
      <c r="G6318" s="101"/>
      <c r="H6318" s="101"/>
      <c r="I6318" s="101"/>
      <c r="K6318" s="226"/>
      <c r="L6318" s="226"/>
      <c r="M6318" s="101"/>
      <c r="N6318" s="101"/>
    </row>
    <row r="6319" spans="7:14" hidden="1" x14ac:dyDescent="0.3">
      <c r="G6319" s="101"/>
      <c r="H6319" s="101"/>
      <c r="I6319" s="101"/>
      <c r="K6319" s="226"/>
      <c r="L6319" s="226"/>
      <c r="M6319" s="101"/>
      <c r="N6319" s="101"/>
    </row>
    <row r="6320" spans="7:14" hidden="1" x14ac:dyDescent="0.3">
      <c r="G6320" s="101"/>
      <c r="H6320" s="101"/>
      <c r="I6320" s="101"/>
      <c r="K6320" s="226"/>
      <c r="L6320" s="226"/>
      <c r="M6320" s="101"/>
      <c r="N6320" s="101"/>
    </row>
    <row r="6321" spans="7:14" hidden="1" x14ac:dyDescent="0.3">
      <c r="G6321" s="101"/>
      <c r="H6321" s="101"/>
      <c r="I6321" s="101"/>
      <c r="K6321" s="226"/>
      <c r="L6321" s="226"/>
      <c r="M6321" s="101"/>
      <c r="N6321" s="101"/>
    </row>
    <row r="6322" spans="7:14" hidden="1" x14ac:dyDescent="0.3">
      <c r="G6322" s="101"/>
      <c r="H6322" s="101"/>
      <c r="I6322" s="101"/>
      <c r="K6322" s="226"/>
      <c r="L6322" s="226"/>
      <c r="M6322" s="101"/>
      <c r="N6322" s="101"/>
    </row>
    <row r="6323" spans="7:14" hidden="1" x14ac:dyDescent="0.3">
      <c r="G6323" s="101"/>
      <c r="H6323" s="101"/>
      <c r="I6323" s="101"/>
      <c r="K6323" s="226"/>
      <c r="L6323" s="226"/>
      <c r="M6323" s="101"/>
      <c r="N6323" s="101"/>
    </row>
    <row r="6324" spans="7:14" hidden="1" x14ac:dyDescent="0.3">
      <c r="G6324" s="101"/>
      <c r="H6324" s="101"/>
      <c r="I6324" s="101"/>
      <c r="K6324" s="226"/>
      <c r="L6324" s="226"/>
      <c r="M6324" s="101"/>
      <c r="N6324" s="101"/>
    </row>
    <row r="6325" spans="7:14" hidden="1" x14ac:dyDescent="0.3">
      <c r="G6325" s="101"/>
      <c r="H6325" s="101"/>
      <c r="I6325" s="101"/>
      <c r="K6325" s="226"/>
      <c r="L6325" s="226"/>
      <c r="M6325" s="101"/>
      <c r="N6325" s="101"/>
    </row>
    <row r="6326" spans="7:14" hidden="1" x14ac:dyDescent="0.3">
      <c r="G6326" s="101"/>
      <c r="H6326" s="101"/>
      <c r="I6326" s="101"/>
      <c r="K6326" s="226"/>
      <c r="L6326" s="226"/>
      <c r="M6326" s="101"/>
      <c r="N6326" s="101"/>
    </row>
    <row r="6327" spans="7:14" hidden="1" x14ac:dyDescent="0.3">
      <c r="G6327" s="101"/>
      <c r="H6327" s="101"/>
      <c r="I6327" s="101"/>
      <c r="K6327" s="226"/>
      <c r="L6327" s="226"/>
      <c r="M6327" s="101"/>
      <c r="N6327" s="101"/>
    </row>
    <row r="6328" spans="7:14" hidden="1" x14ac:dyDescent="0.3">
      <c r="G6328" s="101"/>
      <c r="H6328" s="101"/>
      <c r="I6328" s="101"/>
      <c r="K6328" s="226"/>
      <c r="L6328" s="226"/>
      <c r="M6328" s="101"/>
      <c r="N6328" s="101"/>
    </row>
    <row r="6329" spans="7:14" hidden="1" x14ac:dyDescent="0.3">
      <c r="G6329" s="101"/>
      <c r="H6329" s="101"/>
      <c r="I6329" s="101"/>
      <c r="K6329" s="226"/>
      <c r="L6329" s="226"/>
      <c r="M6329" s="101"/>
      <c r="N6329" s="101"/>
    </row>
    <row r="6330" spans="7:14" hidden="1" x14ac:dyDescent="0.3">
      <c r="G6330" s="101"/>
      <c r="H6330" s="101"/>
      <c r="I6330" s="101"/>
      <c r="K6330" s="226"/>
      <c r="L6330" s="226"/>
      <c r="M6330" s="101"/>
      <c r="N6330" s="101"/>
    </row>
    <row r="6331" spans="7:14" hidden="1" x14ac:dyDescent="0.3">
      <c r="G6331" s="101"/>
      <c r="H6331" s="101"/>
      <c r="I6331" s="101"/>
      <c r="K6331" s="226"/>
      <c r="L6331" s="226"/>
      <c r="M6331" s="101"/>
      <c r="N6331" s="101"/>
    </row>
    <row r="6332" spans="7:14" hidden="1" x14ac:dyDescent="0.3">
      <c r="G6332" s="101"/>
      <c r="H6332" s="101"/>
      <c r="I6332" s="101"/>
      <c r="K6332" s="226"/>
      <c r="L6332" s="226"/>
      <c r="M6332" s="101"/>
      <c r="N6332" s="101"/>
    </row>
    <row r="6333" spans="7:14" hidden="1" x14ac:dyDescent="0.3">
      <c r="G6333" s="101"/>
      <c r="H6333" s="101"/>
      <c r="I6333" s="101"/>
      <c r="K6333" s="226"/>
      <c r="L6333" s="226"/>
      <c r="M6333" s="101"/>
      <c r="N6333" s="101"/>
    </row>
    <row r="6334" spans="7:14" hidden="1" x14ac:dyDescent="0.3">
      <c r="G6334" s="101"/>
      <c r="H6334" s="101"/>
      <c r="I6334" s="101"/>
      <c r="K6334" s="226"/>
      <c r="L6334" s="226"/>
      <c r="M6334" s="101"/>
      <c r="N6334" s="101"/>
    </row>
    <row r="6335" spans="7:14" hidden="1" x14ac:dyDescent="0.3">
      <c r="G6335" s="101"/>
      <c r="H6335" s="101"/>
      <c r="I6335" s="101"/>
      <c r="K6335" s="226"/>
      <c r="L6335" s="226"/>
      <c r="M6335" s="101"/>
      <c r="N6335" s="101"/>
    </row>
    <row r="6336" spans="7:14" hidden="1" x14ac:dyDescent="0.3">
      <c r="G6336" s="101"/>
      <c r="H6336" s="101"/>
      <c r="I6336" s="101"/>
      <c r="K6336" s="226"/>
      <c r="L6336" s="226"/>
      <c r="M6336" s="101"/>
      <c r="N6336" s="101"/>
    </row>
    <row r="6337" spans="7:14" hidden="1" x14ac:dyDescent="0.3">
      <c r="G6337" s="101"/>
      <c r="H6337" s="101"/>
      <c r="I6337" s="101"/>
      <c r="K6337" s="226"/>
      <c r="L6337" s="226"/>
      <c r="M6337" s="101"/>
      <c r="N6337" s="101"/>
    </row>
    <row r="6338" spans="7:14" hidden="1" x14ac:dyDescent="0.3">
      <c r="G6338" s="101"/>
      <c r="H6338" s="101"/>
      <c r="I6338" s="101"/>
      <c r="K6338" s="226"/>
      <c r="L6338" s="226"/>
      <c r="M6338" s="101"/>
      <c r="N6338" s="101"/>
    </row>
    <row r="6339" spans="7:14" hidden="1" x14ac:dyDescent="0.3">
      <c r="G6339" s="101"/>
      <c r="H6339" s="101"/>
      <c r="I6339" s="101"/>
      <c r="K6339" s="226"/>
      <c r="L6339" s="226"/>
      <c r="M6339" s="101"/>
      <c r="N6339" s="101"/>
    </row>
    <row r="6340" spans="7:14" hidden="1" x14ac:dyDescent="0.3">
      <c r="G6340" s="101"/>
      <c r="H6340" s="101"/>
      <c r="I6340" s="101"/>
      <c r="K6340" s="226"/>
      <c r="L6340" s="226"/>
      <c r="M6340" s="101"/>
      <c r="N6340" s="101"/>
    </row>
    <row r="6341" spans="7:14" hidden="1" x14ac:dyDescent="0.3">
      <c r="G6341" s="101"/>
      <c r="H6341" s="101"/>
      <c r="I6341" s="101"/>
      <c r="K6341" s="226"/>
      <c r="L6341" s="226"/>
      <c r="M6341" s="101"/>
      <c r="N6341" s="101"/>
    </row>
    <row r="6342" spans="7:14" hidden="1" x14ac:dyDescent="0.3">
      <c r="G6342" s="101"/>
      <c r="H6342" s="101"/>
      <c r="I6342" s="101"/>
      <c r="K6342" s="226"/>
      <c r="L6342" s="226"/>
      <c r="M6342" s="101"/>
      <c r="N6342" s="101"/>
    </row>
    <row r="6343" spans="7:14" hidden="1" x14ac:dyDescent="0.3">
      <c r="G6343" s="101"/>
      <c r="H6343" s="101"/>
      <c r="I6343" s="101"/>
      <c r="K6343" s="226"/>
      <c r="L6343" s="226"/>
      <c r="M6343" s="101"/>
      <c r="N6343" s="101"/>
    </row>
    <row r="6344" spans="7:14" hidden="1" x14ac:dyDescent="0.3">
      <c r="G6344" s="101"/>
      <c r="H6344" s="101"/>
      <c r="I6344" s="101"/>
      <c r="K6344" s="226"/>
      <c r="L6344" s="226"/>
      <c r="M6344" s="101"/>
      <c r="N6344" s="101"/>
    </row>
    <row r="6345" spans="7:14" hidden="1" x14ac:dyDescent="0.3">
      <c r="G6345" s="101"/>
      <c r="H6345" s="101"/>
      <c r="I6345" s="101"/>
      <c r="K6345" s="226"/>
      <c r="L6345" s="226"/>
      <c r="M6345" s="101"/>
      <c r="N6345" s="101"/>
    </row>
    <row r="6346" spans="7:14" hidden="1" x14ac:dyDescent="0.3">
      <c r="G6346" s="101"/>
      <c r="H6346" s="101"/>
      <c r="I6346" s="101"/>
      <c r="K6346" s="226"/>
      <c r="L6346" s="226"/>
      <c r="M6346" s="101"/>
      <c r="N6346" s="101"/>
    </row>
    <row r="6347" spans="7:14" hidden="1" x14ac:dyDescent="0.3">
      <c r="G6347" s="101"/>
      <c r="H6347" s="101"/>
      <c r="I6347" s="101"/>
      <c r="K6347" s="226"/>
      <c r="L6347" s="226"/>
      <c r="M6347" s="101"/>
      <c r="N6347" s="101"/>
    </row>
    <row r="6348" spans="7:14" hidden="1" x14ac:dyDescent="0.3">
      <c r="G6348" s="101"/>
      <c r="H6348" s="101"/>
      <c r="I6348" s="101"/>
      <c r="K6348" s="226"/>
      <c r="L6348" s="226"/>
      <c r="M6348" s="101"/>
      <c r="N6348" s="101"/>
    </row>
    <row r="6349" spans="7:14" hidden="1" x14ac:dyDescent="0.3">
      <c r="G6349" s="101"/>
      <c r="H6349" s="101"/>
      <c r="I6349" s="101"/>
      <c r="K6349" s="226"/>
      <c r="L6349" s="226"/>
      <c r="M6349" s="101"/>
      <c r="N6349" s="101"/>
    </row>
    <row r="6350" spans="7:14" hidden="1" x14ac:dyDescent="0.3">
      <c r="G6350" s="101"/>
      <c r="H6350" s="101"/>
      <c r="I6350" s="101"/>
      <c r="K6350" s="226"/>
      <c r="L6350" s="226"/>
      <c r="M6350" s="101"/>
      <c r="N6350" s="101"/>
    </row>
    <row r="6351" spans="7:14" hidden="1" x14ac:dyDescent="0.3">
      <c r="G6351" s="101"/>
      <c r="H6351" s="101"/>
      <c r="I6351" s="101"/>
      <c r="K6351" s="226"/>
      <c r="L6351" s="226"/>
      <c r="M6351" s="101"/>
      <c r="N6351" s="101"/>
    </row>
    <row r="6352" spans="7:14" hidden="1" x14ac:dyDescent="0.3">
      <c r="G6352" s="101"/>
      <c r="H6352" s="101"/>
      <c r="I6352" s="101"/>
      <c r="K6352" s="226"/>
      <c r="L6352" s="226"/>
      <c r="M6352" s="101"/>
      <c r="N6352" s="101"/>
    </row>
    <row r="6353" spans="7:14" hidden="1" x14ac:dyDescent="0.3">
      <c r="G6353" s="101"/>
      <c r="H6353" s="101"/>
      <c r="I6353" s="101"/>
      <c r="K6353" s="226"/>
      <c r="L6353" s="226"/>
      <c r="M6353" s="101"/>
      <c r="N6353" s="101"/>
    </row>
    <row r="6354" spans="7:14" hidden="1" x14ac:dyDescent="0.3">
      <c r="G6354" s="101"/>
      <c r="H6354" s="101"/>
      <c r="I6354" s="101"/>
      <c r="K6354" s="226"/>
      <c r="L6354" s="226"/>
      <c r="M6354" s="101"/>
      <c r="N6354" s="101"/>
    </row>
    <row r="6355" spans="7:14" hidden="1" x14ac:dyDescent="0.3">
      <c r="G6355" s="101"/>
      <c r="H6355" s="101"/>
      <c r="I6355" s="101"/>
      <c r="K6355" s="226"/>
      <c r="L6355" s="226"/>
      <c r="M6355" s="101"/>
      <c r="N6355" s="101"/>
    </row>
    <row r="6356" spans="7:14" hidden="1" x14ac:dyDescent="0.3">
      <c r="G6356" s="101"/>
      <c r="H6356" s="101"/>
      <c r="I6356" s="101"/>
      <c r="K6356" s="226"/>
      <c r="L6356" s="226"/>
      <c r="M6356" s="101"/>
      <c r="N6356" s="101"/>
    </row>
    <row r="6357" spans="7:14" hidden="1" x14ac:dyDescent="0.3">
      <c r="G6357" s="101"/>
      <c r="H6357" s="101"/>
      <c r="I6357" s="101"/>
      <c r="K6357" s="226"/>
      <c r="L6357" s="226"/>
      <c r="M6357" s="101"/>
      <c r="N6357" s="101"/>
    </row>
    <row r="6358" spans="7:14" hidden="1" x14ac:dyDescent="0.3">
      <c r="G6358" s="101"/>
      <c r="H6358" s="101"/>
      <c r="I6358" s="101"/>
      <c r="K6358" s="226"/>
      <c r="L6358" s="226"/>
      <c r="M6358" s="101"/>
      <c r="N6358" s="101"/>
    </row>
    <row r="6359" spans="7:14" hidden="1" x14ac:dyDescent="0.3">
      <c r="G6359" s="101"/>
      <c r="H6359" s="101"/>
      <c r="I6359" s="101"/>
      <c r="K6359" s="226"/>
      <c r="L6359" s="226"/>
      <c r="M6359" s="101"/>
      <c r="N6359" s="101"/>
    </row>
    <row r="6360" spans="7:14" hidden="1" x14ac:dyDescent="0.3">
      <c r="G6360" s="101"/>
      <c r="H6360" s="101"/>
      <c r="I6360" s="101"/>
      <c r="K6360" s="226"/>
      <c r="L6360" s="226"/>
      <c r="M6360" s="101"/>
      <c r="N6360" s="101"/>
    </row>
    <row r="6361" spans="7:14" hidden="1" x14ac:dyDescent="0.3">
      <c r="G6361" s="101"/>
      <c r="H6361" s="101"/>
      <c r="I6361" s="101"/>
      <c r="K6361" s="226"/>
      <c r="L6361" s="226"/>
      <c r="M6361" s="101"/>
      <c r="N6361" s="101"/>
    </row>
    <row r="6362" spans="7:14" hidden="1" x14ac:dyDescent="0.3">
      <c r="G6362" s="101"/>
      <c r="H6362" s="101"/>
      <c r="I6362" s="101"/>
      <c r="K6362" s="226"/>
      <c r="L6362" s="226"/>
      <c r="M6362" s="101"/>
      <c r="N6362" s="101"/>
    </row>
    <row r="6363" spans="7:14" hidden="1" x14ac:dyDescent="0.3">
      <c r="G6363" s="101"/>
      <c r="H6363" s="101"/>
      <c r="I6363" s="101"/>
      <c r="K6363" s="226"/>
      <c r="L6363" s="226"/>
      <c r="M6363" s="101"/>
      <c r="N6363" s="101"/>
    </row>
    <row r="6364" spans="7:14" hidden="1" x14ac:dyDescent="0.3">
      <c r="G6364" s="101"/>
      <c r="H6364" s="101"/>
      <c r="I6364" s="101"/>
      <c r="K6364" s="226"/>
      <c r="L6364" s="226"/>
      <c r="M6364" s="101"/>
      <c r="N6364" s="101"/>
    </row>
    <row r="6365" spans="7:14" hidden="1" x14ac:dyDescent="0.3">
      <c r="G6365" s="101"/>
      <c r="H6365" s="101"/>
      <c r="I6365" s="101"/>
      <c r="K6365" s="226"/>
      <c r="L6365" s="226"/>
      <c r="M6365" s="101"/>
      <c r="N6365" s="101"/>
    </row>
    <row r="6366" spans="7:14" hidden="1" x14ac:dyDescent="0.3">
      <c r="G6366" s="101"/>
      <c r="H6366" s="101"/>
      <c r="I6366" s="101"/>
      <c r="K6366" s="226"/>
      <c r="L6366" s="226"/>
      <c r="M6366" s="101"/>
      <c r="N6366" s="101"/>
    </row>
    <row r="6367" spans="7:14" hidden="1" x14ac:dyDescent="0.3">
      <c r="G6367" s="101"/>
      <c r="H6367" s="101"/>
      <c r="I6367" s="101"/>
      <c r="K6367" s="226"/>
      <c r="L6367" s="226"/>
      <c r="M6367" s="101"/>
      <c r="N6367" s="101"/>
    </row>
    <row r="6368" spans="7:14" hidden="1" x14ac:dyDescent="0.3">
      <c r="G6368" s="101"/>
      <c r="H6368" s="101"/>
      <c r="I6368" s="101"/>
      <c r="K6368" s="226"/>
      <c r="L6368" s="226"/>
      <c r="M6368" s="101"/>
      <c r="N6368" s="101"/>
    </row>
    <row r="6369" spans="7:14" hidden="1" x14ac:dyDescent="0.3">
      <c r="G6369" s="101"/>
      <c r="H6369" s="101"/>
      <c r="I6369" s="101"/>
      <c r="K6369" s="226"/>
      <c r="L6369" s="226"/>
      <c r="M6369" s="101"/>
      <c r="N6369" s="101"/>
    </row>
    <row r="6370" spans="7:14" hidden="1" x14ac:dyDescent="0.3">
      <c r="G6370" s="101"/>
      <c r="H6370" s="101"/>
      <c r="I6370" s="101"/>
      <c r="K6370" s="226"/>
      <c r="L6370" s="226"/>
      <c r="M6370" s="101"/>
      <c r="N6370" s="101"/>
    </row>
    <row r="6371" spans="7:14" hidden="1" x14ac:dyDescent="0.3">
      <c r="G6371" s="101"/>
      <c r="H6371" s="101"/>
      <c r="I6371" s="101"/>
      <c r="K6371" s="226"/>
      <c r="L6371" s="226"/>
      <c r="M6371" s="101"/>
      <c r="N6371" s="101"/>
    </row>
    <row r="6372" spans="7:14" hidden="1" x14ac:dyDescent="0.3">
      <c r="G6372" s="101"/>
      <c r="H6372" s="101"/>
      <c r="I6372" s="101"/>
      <c r="K6372" s="226"/>
      <c r="L6372" s="226"/>
      <c r="M6372" s="101"/>
      <c r="N6372" s="101"/>
    </row>
    <row r="6373" spans="7:14" hidden="1" x14ac:dyDescent="0.3">
      <c r="G6373" s="101"/>
      <c r="H6373" s="101"/>
      <c r="I6373" s="101"/>
      <c r="K6373" s="226"/>
      <c r="L6373" s="226"/>
      <c r="M6373" s="101"/>
      <c r="N6373" s="101"/>
    </row>
    <row r="6374" spans="7:14" hidden="1" x14ac:dyDescent="0.3">
      <c r="G6374" s="101"/>
      <c r="H6374" s="101"/>
      <c r="I6374" s="101"/>
      <c r="K6374" s="226"/>
      <c r="L6374" s="226"/>
      <c r="M6374" s="101"/>
      <c r="N6374" s="101"/>
    </row>
    <row r="6375" spans="7:14" hidden="1" x14ac:dyDescent="0.3">
      <c r="G6375" s="101"/>
      <c r="H6375" s="101"/>
      <c r="I6375" s="101"/>
      <c r="K6375" s="226"/>
      <c r="L6375" s="226"/>
      <c r="M6375" s="101"/>
      <c r="N6375" s="101"/>
    </row>
    <row r="6376" spans="7:14" hidden="1" x14ac:dyDescent="0.3">
      <c r="G6376" s="101"/>
      <c r="H6376" s="101"/>
      <c r="I6376" s="101"/>
      <c r="K6376" s="226"/>
      <c r="L6376" s="226"/>
      <c r="M6376" s="101"/>
      <c r="N6376" s="101"/>
    </row>
    <row r="6377" spans="7:14" hidden="1" x14ac:dyDescent="0.3">
      <c r="G6377" s="101"/>
      <c r="H6377" s="101"/>
      <c r="I6377" s="101"/>
      <c r="K6377" s="226"/>
      <c r="L6377" s="226"/>
      <c r="M6377" s="101"/>
      <c r="N6377" s="101"/>
    </row>
    <row r="6378" spans="7:14" hidden="1" x14ac:dyDescent="0.3">
      <c r="G6378" s="101"/>
      <c r="H6378" s="101"/>
      <c r="I6378" s="101"/>
      <c r="K6378" s="226"/>
      <c r="L6378" s="226"/>
      <c r="M6378" s="101"/>
      <c r="N6378" s="101"/>
    </row>
    <row r="6379" spans="7:14" hidden="1" x14ac:dyDescent="0.3">
      <c r="G6379" s="101"/>
      <c r="H6379" s="101"/>
      <c r="I6379" s="101"/>
      <c r="K6379" s="226"/>
      <c r="L6379" s="226"/>
      <c r="M6379" s="101"/>
      <c r="N6379" s="101"/>
    </row>
    <row r="6380" spans="7:14" hidden="1" x14ac:dyDescent="0.3">
      <c r="G6380" s="101"/>
      <c r="H6380" s="101"/>
      <c r="I6380" s="101"/>
      <c r="K6380" s="226"/>
      <c r="L6380" s="226"/>
      <c r="M6380" s="101"/>
      <c r="N6380" s="101"/>
    </row>
    <row r="6381" spans="7:14" hidden="1" x14ac:dyDescent="0.3">
      <c r="G6381" s="101"/>
      <c r="H6381" s="101"/>
      <c r="I6381" s="101"/>
      <c r="K6381" s="226"/>
      <c r="L6381" s="226"/>
      <c r="M6381" s="101"/>
      <c r="N6381" s="101"/>
    </row>
    <row r="6382" spans="7:14" hidden="1" x14ac:dyDescent="0.3">
      <c r="G6382" s="101"/>
      <c r="H6382" s="101"/>
      <c r="I6382" s="101"/>
      <c r="K6382" s="226"/>
      <c r="L6382" s="226"/>
      <c r="M6382" s="101"/>
      <c r="N6382" s="101"/>
    </row>
    <row r="6383" spans="7:14" hidden="1" x14ac:dyDescent="0.3">
      <c r="G6383" s="101"/>
      <c r="H6383" s="101"/>
      <c r="I6383" s="101"/>
      <c r="K6383" s="226"/>
      <c r="L6383" s="226"/>
      <c r="M6383" s="101"/>
      <c r="N6383" s="101"/>
    </row>
    <row r="6384" spans="7:14" hidden="1" x14ac:dyDescent="0.3">
      <c r="G6384" s="101"/>
      <c r="H6384" s="101"/>
      <c r="I6384" s="101"/>
      <c r="K6384" s="226"/>
      <c r="L6384" s="226"/>
      <c r="M6384" s="101"/>
      <c r="N6384" s="101"/>
    </row>
    <row r="6385" spans="7:14" hidden="1" x14ac:dyDescent="0.3">
      <c r="G6385" s="101"/>
      <c r="H6385" s="101"/>
      <c r="I6385" s="101"/>
      <c r="K6385" s="226"/>
      <c r="L6385" s="226"/>
      <c r="M6385" s="101"/>
      <c r="N6385" s="101"/>
    </row>
    <row r="6386" spans="7:14" hidden="1" x14ac:dyDescent="0.3">
      <c r="G6386" s="101"/>
      <c r="H6386" s="101"/>
      <c r="I6386" s="101"/>
      <c r="K6386" s="226"/>
      <c r="L6386" s="226"/>
      <c r="M6386" s="101"/>
      <c r="N6386" s="101"/>
    </row>
    <row r="6387" spans="7:14" hidden="1" x14ac:dyDescent="0.3">
      <c r="G6387" s="101"/>
      <c r="H6387" s="101"/>
      <c r="I6387" s="101"/>
      <c r="K6387" s="226"/>
      <c r="L6387" s="226"/>
      <c r="M6387" s="101"/>
      <c r="N6387" s="101"/>
    </row>
    <row r="6388" spans="7:14" hidden="1" x14ac:dyDescent="0.3">
      <c r="G6388" s="101"/>
      <c r="H6388" s="101"/>
      <c r="I6388" s="101"/>
      <c r="K6388" s="226"/>
      <c r="L6388" s="226"/>
      <c r="M6388" s="101"/>
      <c r="N6388" s="101"/>
    </row>
    <row r="6389" spans="7:14" hidden="1" x14ac:dyDescent="0.3">
      <c r="G6389" s="101"/>
      <c r="H6389" s="101"/>
      <c r="I6389" s="101"/>
      <c r="K6389" s="226"/>
      <c r="L6389" s="226"/>
      <c r="M6389" s="101"/>
      <c r="N6389" s="101"/>
    </row>
    <row r="6390" spans="7:14" hidden="1" x14ac:dyDescent="0.3">
      <c r="G6390" s="101"/>
      <c r="H6390" s="101"/>
      <c r="I6390" s="101"/>
      <c r="K6390" s="226"/>
      <c r="L6390" s="226"/>
      <c r="M6390" s="101"/>
      <c r="N6390" s="101"/>
    </row>
    <row r="6391" spans="7:14" hidden="1" x14ac:dyDescent="0.3">
      <c r="G6391" s="101"/>
      <c r="H6391" s="101"/>
      <c r="I6391" s="101"/>
      <c r="K6391" s="226"/>
      <c r="L6391" s="226"/>
      <c r="M6391" s="101"/>
      <c r="N6391" s="101"/>
    </row>
    <row r="6392" spans="7:14" hidden="1" x14ac:dyDescent="0.3">
      <c r="G6392" s="101"/>
      <c r="H6392" s="101"/>
      <c r="I6392" s="101"/>
      <c r="K6392" s="226"/>
      <c r="L6392" s="226"/>
      <c r="M6392" s="101"/>
      <c r="N6392" s="101"/>
    </row>
    <row r="6393" spans="7:14" hidden="1" x14ac:dyDescent="0.3">
      <c r="G6393" s="101"/>
      <c r="H6393" s="101"/>
      <c r="I6393" s="101"/>
      <c r="K6393" s="226"/>
      <c r="L6393" s="226"/>
      <c r="M6393" s="101"/>
      <c r="N6393" s="101"/>
    </row>
    <row r="6394" spans="7:14" hidden="1" x14ac:dyDescent="0.3">
      <c r="G6394" s="101"/>
      <c r="H6394" s="101"/>
      <c r="I6394" s="101"/>
      <c r="K6394" s="226"/>
      <c r="L6394" s="226"/>
      <c r="M6394" s="101"/>
      <c r="N6394" s="101"/>
    </row>
    <row r="6395" spans="7:14" hidden="1" x14ac:dyDescent="0.3">
      <c r="G6395" s="101"/>
      <c r="H6395" s="101"/>
      <c r="I6395" s="101"/>
      <c r="K6395" s="226"/>
      <c r="L6395" s="226"/>
      <c r="M6395" s="101"/>
      <c r="N6395" s="101"/>
    </row>
    <row r="6396" spans="7:14" hidden="1" x14ac:dyDescent="0.3">
      <c r="G6396" s="101"/>
      <c r="H6396" s="101"/>
      <c r="I6396" s="101"/>
      <c r="K6396" s="226"/>
      <c r="L6396" s="226"/>
      <c r="M6396" s="101"/>
      <c r="N6396" s="101"/>
    </row>
    <row r="6397" spans="7:14" hidden="1" x14ac:dyDescent="0.3">
      <c r="G6397" s="101"/>
      <c r="H6397" s="101"/>
      <c r="I6397" s="101"/>
      <c r="K6397" s="226"/>
      <c r="L6397" s="226"/>
      <c r="M6397" s="101"/>
      <c r="N6397" s="101"/>
    </row>
    <row r="6398" spans="7:14" hidden="1" x14ac:dyDescent="0.3">
      <c r="G6398" s="101"/>
      <c r="H6398" s="101"/>
      <c r="I6398" s="101"/>
      <c r="K6398" s="226"/>
      <c r="L6398" s="226"/>
      <c r="M6398" s="101"/>
      <c r="N6398" s="101"/>
    </row>
    <row r="6399" spans="7:14" hidden="1" x14ac:dyDescent="0.3">
      <c r="G6399" s="101"/>
      <c r="H6399" s="101"/>
      <c r="I6399" s="101"/>
      <c r="K6399" s="226"/>
      <c r="L6399" s="226"/>
      <c r="M6399" s="101"/>
      <c r="N6399" s="101"/>
    </row>
    <row r="6400" spans="7:14" hidden="1" x14ac:dyDescent="0.3">
      <c r="G6400" s="101"/>
      <c r="H6400" s="101"/>
      <c r="I6400" s="101"/>
      <c r="K6400" s="226"/>
      <c r="L6400" s="226"/>
      <c r="M6400" s="101"/>
      <c r="N6400" s="101"/>
    </row>
    <row r="6401" spans="7:14" hidden="1" x14ac:dyDescent="0.3">
      <c r="G6401" s="101"/>
      <c r="H6401" s="101"/>
      <c r="I6401" s="101"/>
      <c r="K6401" s="226"/>
      <c r="L6401" s="226"/>
      <c r="M6401" s="101"/>
      <c r="N6401" s="101"/>
    </row>
    <row r="6402" spans="7:14" hidden="1" x14ac:dyDescent="0.3">
      <c r="G6402" s="101"/>
      <c r="H6402" s="101"/>
      <c r="I6402" s="101"/>
      <c r="K6402" s="226"/>
      <c r="L6402" s="226"/>
      <c r="M6402" s="101"/>
      <c r="N6402" s="101"/>
    </row>
    <row r="6403" spans="7:14" hidden="1" x14ac:dyDescent="0.3">
      <c r="G6403" s="101"/>
      <c r="H6403" s="101"/>
      <c r="I6403" s="101"/>
      <c r="K6403" s="226"/>
      <c r="L6403" s="226"/>
      <c r="M6403" s="101"/>
      <c r="N6403" s="101"/>
    </row>
    <row r="6404" spans="7:14" hidden="1" x14ac:dyDescent="0.3">
      <c r="G6404" s="101"/>
      <c r="H6404" s="101"/>
      <c r="I6404" s="101"/>
      <c r="K6404" s="226"/>
      <c r="L6404" s="226"/>
      <c r="M6404" s="101"/>
      <c r="N6404" s="101"/>
    </row>
    <row r="6405" spans="7:14" hidden="1" x14ac:dyDescent="0.3">
      <c r="G6405" s="101"/>
      <c r="H6405" s="101"/>
      <c r="I6405" s="101"/>
      <c r="K6405" s="226"/>
      <c r="L6405" s="226"/>
      <c r="M6405" s="101"/>
      <c r="N6405" s="101"/>
    </row>
    <row r="6406" spans="7:14" hidden="1" x14ac:dyDescent="0.3">
      <c r="G6406" s="101"/>
      <c r="H6406" s="101"/>
      <c r="I6406" s="101"/>
      <c r="K6406" s="226"/>
      <c r="L6406" s="226"/>
      <c r="M6406" s="101"/>
      <c r="N6406" s="101"/>
    </row>
    <row r="6407" spans="7:14" hidden="1" x14ac:dyDescent="0.3">
      <c r="G6407" s="101"/>
      <c r="H6407" s="101"/>
      <c r="I6407" s="101"/>
      <c r="K6407" s="226"/>
      <c r="L6407" s="226"/>
      <c r="M6407" s="101"/>
      <c r="N6407" s="101"/>
    </row>
    <row r="6408" spans="7:14" hidden="1" x14ac:dyDescent="0.3">
      <c r="G6408" s="101"/>
      <c r="H6408" s="101"/>
      <c r="I6408" s="101"/>
      <c r="K6408" s="226"/>
      <c r="L6408" s="226"/>
      <c r="M6408" s="101"/>
      <c r="N6408" s="101"/>
    </row>
    <row r="6409" spans="7:14" hidden="1" x14ac:dyDescent="0.3">
      <c r="G6409" s="101"/>
      <c r="H6409" s="101"/>
      <c r="I6409" s="101"/>
      <c r="K6409" s="226"/>
      <c r="L6409" s="226"/>
      <c r="M6409" s="101"/>
      <c r="N6409" s="101"/>
    </row>
    <row r="6410" spans="7:14" hidden="1" x14ac:dyDescent="0.3">
      <c r="G6410" s="101"/>
      <c r="H6410" s="101"/>
      <c r="I6410" s="101"/>
      <c r="K6410" s="226"/>
      <c r="L6410" s="226"/>
      <c r="M6410" s="101"/>
      <c r="N6410" s="101"/>
    </row>
    <row r="6411" spans="7:14" hidden="1" x14ac:dyDescent="0.3">
      <c r="G6411" s="101"/>
      <c r="H6411" s="101"/>
      <c r="I6411" s="101"/>
      <c r="K6411" s="226"/>
      <c r="L6411" s="226"/>
      <c r="M6411" s="101"/>
      <c r="N6411" s="101"/>
    </row>
    <row r="6412" spans="7:14" hidden="1" x14ac:dyDescent="0.3">
      <c r="G6412" s="101"/>
      <c r="H6412" s="101"/>
      <c r="I6412" s="101"/>
      <c r="K6412" s="226"/>
      <c r="L6412" s="226"/>
      <c r="M6412" s="101"/>
      <c r="N6412" s="101"/>
    </row>
    <row r="6413" spans="7:14" hidden="1" x14ac:dyDescent="0.3">
      <c r="G6413" s="101"/>
      <c r="H6413" s="101"/>
      <c r="I6413" s="101"/>
      <c r="K6413" s="226"/>
      <c r="L6413" s="226"/>
      <c r="M6413" s="101"/>
      <c r="N6413" s="101"/>
    </row>
    <row r="6414" spans="7:14" hidden="1" x14ac:dyDescent="0.3">
      <c r="G6414" s="101"/>
      <c r="H6414" s="101"/>
      <c r="I6414" s="101"/>
      <c r="K6414" s="226"/>
      <c r="L6414" s="226"/>
      <c r="M6414" s="101"/>
      <c r="N6414" s="101"/>
    </row>
    <row r="6415" spans="7:14" hidden="1" x14ac:dyDescent="0.3">
      <c r="G6415" s="101"/>
      <c r="H6415" s="101"/>
      <c r="I6415" s="101"/>
      <c r="K6415" s="226"/>
      <c r="L6415" s="226"/>
      <c r="M6415" s="101"/>
      <c r="N6415" s="101"/>
    </row>
    <row r="6416" spans="7:14" hidden="1" x14ac:dyDescent="0.3">
      <c r="G6416" s="101"/>
      <c r="H6416" s="101"/>
      <c r="I6416" s="101"/>
      <c r="K6416" s="226"/>
      <c r="L6416" s="226"/>
      <c r="M6416" s="101"/>
      <c r="N6416" s="101"/>
    </row>
    <row r="6417" spans="7:14" hidden="1" x14ac:dyDescent="0.3">
      <c r="G6417" s="101"/>
      <c r="H6417" s="101"/>
      <c r="I6417" s="101"/>
      <c r="K6417" s="226"/>
      <c r="L6417" s="226"/>
      <c r="M6417" s="101"/>
      <c r="N6417" s="101"/>
    </row>
    <row r="6418" spans="7:14" hidden="1" x14ac:dyDescent="0.3">
      <c r="G6418" s="101"/>
      <c r="H6418" s="101"/>
      <c r="I6418" s="101"/>
      <c r="K6418" s="226"/>
      <c r="L6418" s="226"/>
      <c r="M6418" s="101"/>
      <c r="N6418" s="101"/>
    </row>
    <row r="6419" spans="7:14" hidden="1" x14ac:dyDescent="0.3">
      <c r="G6419" s="101"/>
      <c r="H6419" s="101"/>
      <c r="I6419" s="101"/>
      <c r="K6419" s="226"/>
      <c r="L6419" s="226"/>
      <c r="M6419" s="101"/>
      <c r="N6419" s="101"/>
    </row>
    <row r="6420" spans="7:14" hidden="1" x14ac:dyDescent="0.3">
      <c r="G6420" s="101"/>
      <c r="H6420" s="101"/>
      <c r="I6420" s="101"/>
      <c r="K6420" s="226"/>
      <c r="L6420" s="226"/>
      <c r="M6420" s="101"/>
      <c r="N6420" s="101"/>
    </row>
    <row r="6421" spans="7:14" hidden="1" x14ac:dyDescent="0.3">
      <c r="G6421" s="101"/>
      <c r="H6421" s="101"/>
      <c r="I6421" s="101"/>
      <c r="K6421" s="226"/>
      <c r="L6421" s="226"/>
      <c r="M6421" s="101"/>
      <c r="N6421" s="101"/>
    </row>
    <row r="6422" spans="7:14" hidden="1" x14ac:dyDescent="0.3">
      <c r="G6422" s="101"/>
      <c r="H6422" s="101"/>
      <c r="I6422" s="101"/>
      <c r="K6422" s="226"/>
      <c r="L6422" s="226"/>
      <c r="M6422" s="101"/>
      <c r="N6422" s="101"/>
    </row>
    <row r="6423" spans="7:14" hidden="1" x14ac:dyDescent="0.3">
      <c r="G6423" s="101"/>
      <c r="H6423" s="101"/>
      <c r="I6423" s="101"/>
      <c r="K6423" s="226"/>
      <c r="L6423" s="226"/>
      <c r="M6423" s="101"/>
      <c r="N6423" s="101"/>
    </row>
    <row r="6424" spans="7:14" hidden="1" x14ac:dyDescent="0.3">
      <c r="G6424" s="101"/>
      <c r="H6424" s="101"/>
      <c r="I6424" s="101"/>
      <c r="K6424" s="226"/>
      <c r="L6424" s="226"/>
      <c r="M6424" s="101"/>
      <c r="N6424" s="101"/>
    </row>
    <row r="6425" spans="7:14" hidden="1" x14ac:dyDescent="0.3">
      <c r="G6425" s="101"/>
      <c r="H6425" s="101"/>
      <c r="I6425" s="101"/>
      <c r="K6425" s="226"/>
      <c r="L6425" s="226"/>
      <c r="M6425" s="101"/>
      <c r="N6425" s="101"/>
    </row>
    <row r="6426" spans="7:14" hidden="1" x14ac:dyDescent="0.3">
      <c r="G6426" s="101"/>
      <c r="H6426" s="101"/>
      <c r="I6426" s="101"/>
      <c r="K6426" s="226"/>
      <c r="L6426" s="226"/>
      <c r="M6426" s="101"/>
      <c r="N6426" s="101"/>
    </row>
    <row r="6427" spans="7:14" hidden="1" x14ac:dyDescent="0.3">
      <c r="G6427" s="101"/>
      <c r="H6427" s="101"/>
      <c r="I6427" s="101"/>
      <c r="K6427" s="226"/>
      <c r="L6427" s="226"/>
      <c r="M6427" s="101"/>
      <c r="N6427" s="101"/>
    </row>
    <row r="6428" spans="7:14" hidden="1" x14ac:dyDescent="0.3">
      <c r="G6428" s="101"/>
      <c r="H6428" s="101"/>
      <c r="I6428" s="101"/>
      <c r="K6428" s="226"/>
      <c r="L6428" s="226"/>
      <c r="M6428" s="101"/>
      <c r="N6428" s="101"/>
    </row>
    <row r="6429" spans="7:14" hidden="1" x14ac:dyDescent="0.3">
      <c r="G6429" s="101"/>
      <c r="H6429" s="101"/>
      <c r="I6429" s="101"/>
      <c r="K6429" s="226"/>
      <c r="L6429" s="226"/>
      <c r="M6429" s="101"/>
      <c r="N6429" s="101"/>
    </row>
    <row r="6430" spans="7:14" hidden="1" x14ac:dyDescent="0.3">
      <c r="G6430" s="101"/>
      <c r="H6430" s="101"/>
      <c r="I6430" s="101"/>
      <c r="K6430" s="226"/>
      <c r="L6430" s="226"/>
      <c r="M6430" s="101"/>
      <c r="N6430" s="101"/>
    </row>
    <row r="6431" spans="7:14" hidden="1" x14ac:dyDescent="0.3">
      <c r="G6431" s="101"/>
      <c r="H6431" s="101"/>
      <c r="I6431" s="101"/>
      <c r="K6431" s="226"/>
      <c r="L6431" s="226"/>
      <c r="M6431" s="101"/>
      <c r="N6431" s="101"/>
    </row>
    <row r="6432" spans="7:14" hidden="1" x14ac:dyDescent="0.3">
      <c r="G6432" s="101"/>
      <c r="H6432" s="101"/>
      <c r="I6432" s="101"/>
      <c r="K6432" s="226"/>
      <c r="L6432" s="226"/>
      <c r="M6432" s="101"/>
      <c r="N6432" s="101"/>
    </row>
    <row r="6433" spans="7:14" hidden="1" x14ac:dyDescent="0.3">
      <c r="G6433" s="101"/>
      <c r="H6433" s="101"/>
      <c r="I6433" s="101"/>
      <c r="K6433" s="226"/>
      <c r="L6433" s="226"/>
      <c r="M6433" s="101"/>
      <c r="N6433" s="101"/>
    </row>
    <row r="6434" spans="7:14" hidden="1" x14ac:dyDescent="0.3">
      <c r="G6434" s="101"/>
      <c r="H6434" s="101"/>
      <c r="I6434" s="101"/>
      <c r="K6434" s="226"/>
      <c r="L6434" s="226"/>
      <c r="M6434" s="101"/>
      <c r="N6434" s="101"/>
    </row>
    <row r="6435" spans="7:14" hidden="1" x14ac:dyDescent="0.3">
      <c r="G6435" s="101"/>
      <c r="H6435" s="101"/>
      <c r="I6435" s="101"/>
      <c r="K6435" s="226"/>
      <c r="L6435" s="226"/>
      <c r="M6435" s="101"/>
      <c r="N6435" s="101"/>
    </row>
    <row r="6436" spans="7:14" hidden="1" x14ac:dyDescent="0.3">
      <c r="G6436" s="101"/>
      <c r="H6436" s="101"/>
      <c r="I6436" s="101"/>
      <c r="K6436" s="226"/>
      <c r="L6436" s="226"/>
      <c r="M6436" s="101"/>
      <c r="N6436" s="101"/>
    </row>
    <row r="6437" spans="7:14" hidden="1" x14ac:dyDescent="0.3">
      <c r="G6437" s="101"/>
      <c r="H6437" s="101"/>
      <c r="I6437" s="101"/>
      <c r="K6437" s="226"/>
      <c r="L6437" s="226"/>
      <c r="M6437" s="101"/>
      <c r="N6437" s="101"/>
    </row>
    <row r="6438" spans="7:14" hidden="1" x14ac:dyDescent="0.3">
      <c r="G6438" s="101"/>
      <c r="H6438" s="101"/>
      <c r="I6438" s="101"/>
      <c r="K6438" s="226"/>
      <c r="L6438" s="226"/>
      <c r="M6438" s="101"/>
      <c r="N6438" s="101"/>
    </row>
    <row r="6439" spans="7:14" hidden="1" x14ac:dyDescent="0.3">
      <c r="G6439" s="101"/>
      <c r="H6439" s="101"/>
      <c r="I6439" s="101"/>
      <c r="K6439" s="226"/>
      <c r="L6439" s="226"/>
      <c r="M6439" s="101"/>
      <c r="N6439" s="101"/>
    </row>
    <row r="6440" spans="7:14" hidden="1" x14ac:dyDescent="0.3">
      <c r="G6440" s="101"/>
      <c r="H6440" s="101"/>
      <c r="I6440" s="101"/>
      <c r="K6440" s="226"/>
      <c r="L6440" s="226"/>
      <c r="M6440" s="101"/>
      <c r="N6440" s="101"/>
    </row>
    <row r="6441" spans="7:14" hidden="1" x14ac:dyDescent="0.3">
      <c r="G6441" s="101"/>
      <c r="H6441" s="101"/>
      <c r="I6441" s="101"/>
      <c r="K6441" s="226"/>
      <c r="L6441" s="226"/>
      <c r="M6441" s="101"/>
      <c r="N6441" s="101"/>
    </row>
    <row r="6442" spans="7:14" hidden="1" x14ac:dyDescent="0.3">
      <c r="G6442" s="101"/>
      <c r="H6442" s="101"/>
      <c r="I6442" s="101"/>
      <c r="K6442" s="226"/>
      <c r="L6442" s="226"/>
      <c r="M6442" s="101"/>
      <c r="N6442" s="101"/>
    </row>
    <row r="6443" spans="7:14" hidden="1" x14ac:dyDescent="0.3">
      <c r="G6443" s="101"/>
      <c r="H6443" s="101"/>
      <c r="I6443" s="101"/>
      <c r="K6443" s="226"/>
      <c r="L6443" s="226"/>
      <c r="M6443" s="101"/>
      <c r="N6443" s="101"/>
    </row>
    <row r="6444" spans="7:14" hidden="1" x14ac:dyDescent="0.3">
      <c r="G6444" s="101"/>
      <c r="H6444" s="101"/>
      <c r="I6444" s="101"/>
      <c r="K6444" s="226"/>
      <c r="L6444" s="226"/>
      <c r="M6444" s="101"/>
      <c r="N6444" s="101"/>
    </row>
    <row r="6445" spans="7:14" hidden="1" x14ac:dyDescent="0.3">
      <c r="G6445" s="101"/>
      <c r="H6445" s="101"/>
      <c r="I6445" s="101"/>
      <c r="K6445" s="226"/>
      <c r="L6445" s="226"/>
      <c r="M6445" s="101"/>
      <c r="N6445" s="101"/>
    </row>
    <row r="6446" spans="7:14" hidden="1" x14ac:dyDescent="0.3">
      <c r="G6446" s="101"/>
      <c r="H6446" s="101"/>
      <c r="I6446" s="101"/>
      <c r="K6446" s="226"/>
      <c r="L6446" s="226"/>
      <c r="M6446" s="101"/>
      <c r="N6446" s="101"/>
    </row>
    <row r="6447" spans="7:14" hidden="1" x14ac:dyDescent="0.3">
      <c r="G6447" s="101"/>
      <c r="H6447" s="101"/>
      <c r="I6447" s="101"/>
      <c r="K6447" s="226"/>
      <c r="L6447" s="226"/>
      <c r="M6447" s="101"/>
      <c r="N6447" s="101"/>
    </row>
    <row r="6448" spans="7:14" hidden="1" x14ac:dyDescent="0.3">
      <c r="G6448" s="101"/>
      <c r="H6448" s="101"/>
      <c r="I6448" s="101"/>
      <c r="K6448" s="226"/>
      <c r="L6448" s="226"/>
      <c r="M6448" s="101"/>
      <c r="N6448" s="101"/>
    </row>
    <row r="6449" spans="7:14" hidden="1" x14ac:dyDescent="0.3">
      <c r="G6449" s="101"/>
      <c r="H6449" s="101"/>
      <c r="I6449" s="101"/>
      <c r="K6449" s="226"/>
      <c r="L6449" s="226"/>
      <c r="M6449" s="101"/>
      <c r="N6449" s="101"/>
    </row>
    <row r="6450" spans="7:14" hidden="1" x14ac:dyDescent="0.3">
      <c r="G6450" s="101"/>
      <c r="H6450" s="101"/>
      <c r="I6450" s="101"/>
      <c r="K6450" s="226"/>
      <c r="L6450" s="226"/>
      <c r="M6450" s="101"/>
      <c r="N6450" s="101"/>
    </row>
    <row r="6451" spans="7:14" hidden="1" x14ac:dyDescent="0.3">
      <c r="G6451" s="101"/>
      <c r="H6451" s="101"/>
      <c r="I6451" s="101"/>
      <c r="K6451" s="226"/>
      <c r="L6451" s="226"/>
      <c r="M6451" s="101"/>
      <c r="N6451" s="101"/>
    </row>
    <row r="6452" spans="7:14" hidden="1" x14ac:dyDescent="0.3">
      <c r="G6452" s="101"/>
      <c r="H6452" s="101"/>
      <c r="I6452" s="101"/>
      <c r="K6452" s="226"/>
      <c r="L6452" s="226"/>
      <c r="M6452" s="101"/>
      <c r="N6452" s="101"/>
    </row>
    <row r="6453" spans="7:14" hidden="1" x14ac:dyDescent="0.3">
      <c r="G6453" s="101"/>
      <c r="H6453" s="101"/>
      <c r="I6453" s="101"/>
      <c r="K6453" s="226"/>
      <c r="L6453" s="226"/>
      <c r="M6453" s="101"/>
      <c r="N6453" s="101"/>
    </row>
    <row r="6454" spans="7:14" hidden="1" x14ac:dyDescent="0.3">
      <c r="G6454" s="101"/>
      <c r="H6454" s="101"/>
      <c r="I6454" s="101"/>
      <c r="K6454" s="226"/>
      <c r="L6454" s="226"/>
      <c r="M6454" s="101"/>
      <c r="N6454" s="101"/>
    </row>
    <row r="6455" spans="7:14" hidden="1" x14ac:dyDescent="0.3">
      <c r="G6455" s="101"/>
      <c r="H6455" s="101"/>
      <c r="I6455" s="101"/>
      <c r="K6455" s="226"/>
      <c r="L6455" s="226"/>
      <c r="M6455" s="101"/>
      <c r="N6455" s="101"/>
    </row>
    <row r="6456" spans="7:14" hidden="1" x14ac:dyDescent="0.3">
      <c r="G6456" s="101"/>
      <c r="H6456" s="101"/>
      <c r="I6456" s="101"/>
      <c r="K6456" s="226"/>
      <c r="L6456" s="226"/>
      <c r="M6456" s="101"/>
      <c r="N6456" s="101"/>
    </row>
    <row r="6457" spans="7:14" hidden="1" x14ac:dyDescent="0.3">
      <c r="G6457" s="101"/>
      <c r="H6457" s="101"/>
      <c r="I6457" s="101"/>
      <c r="K6457" s="226"/>
      <c r="L6457" s="226"/>
      <c r="M6457" s="101"/>
      <c r="N6457" s="101"/>
    </row>
    <row r="6458" spans="7:14" hidden="1" x14ac:dyDescent="0.3">
      <c r="G6458" s="101"/>
      <c r="H6458" s="101"/>
      <c r="I6458" s="101"/>
      <c r="K6458" s="226"/>
      <c r="L6458" s="226"/>
      <c r="M6458" s="101"/>
      <c r="N6458" s="101"/>
    </row>
    <row r="6459" spans="7:14" hidden="1" x14ac:dyDescent="0.3">
      <c r="G6459" s="101"/>
      <c r="H6459" s="101"/>
      <c r="I6459" s="101"/>
      <c r="K6459" s="226"/>
      <c r="L6459" s="226"/>
      <c r="M6459" s="101"/>
      <c r="N6459" s="101"/>
    </row>
    <row r="6460" spans="7:14" hidden="1" x14ac:dyDescent="0.3">
      <c r="G6460" s="101"/>
      <c r="H6460" s="101"/>
      <c r="I6460" s="101"/>
      <c r="K6460" s="226"/>
      <c r="L6460" s="226"/>
      <c r="M6460" s="101"/>
      <c r="N6460" s="101"/>
    </row>
    <row r="6461" spans="7:14" hidden="1" x14ac:dyDescent="0.3">
      <c r="G6461" s="101"/>
      <c r="H6461" s="101"/>
      <c r="I6461" s="101"/>
      <c r="K6461" s="226"/>
      <c r="L6461" s="226"/>
      <c r="M6461" s="101"/>
      <c r="N6461" s="101"/>
    </row>
    <row r="6462" spans="7:14" hidden="1" x14ac:dyDescent="0.3">
      <c r="G6462" s="101"/>
      <c r="H6462" s="101"/>
      <c r="I6462" s="101"/>
      <c r="K6462" s="226"/>
      <c r="L6462" s="226"/>
      <c r="M6462" s="101"/>
      <c r="N6462" s="101"/>
    </row>
    <row r="6463" spans="7:14" hidden="1" x14ac:dyDescent="0.3">
      <c r="G6463" s="101"/>
      <c r="H6463" s="101"/>
      <c r="I6463" s="101"/>
      <c r="K6463" s="226"/>
      <c r="L6463" s="226"/>
      <c r="M6463" s="101"/>
      <c r="N6463" s="101"/>
    </row>
    <row r="6464" spans="7:14" hidden="1" x14ac:dyDescent="0.3">
      <c r="G6464" s="101"/>
      <c r="H6464" s="101"/>
      <c r="I6464" s="101"/>
      <c r="K6464" s="226"/>
      <c r="L6464" s="226"/>
      <c r="M6464" s="101"/>
      <c r="N6464" s="101"/>
    </row>
    <row r="6465" spans="7:14" hidden="1" x14ac:dyDescent="0.3">
      <c r="G6465" s="101"/>
      <c r="H6465" s="101"/>
      <c r="I6465" s="101"/>
      <c r="K6465" s="226"/>
      <c r="L6465" s="226"/>
      <c r="M6465" s="101"/>
      <c r="N6465" s="101"/>
    </row>
    <row r="6466" spans="7:14" hidden="1" x14ac:dyDescent="0.3">
      <c r="G6466" s="101"/>
      <c r="H6466" s="101"/>
      <c r="I6466" s="101"/>
      <c r="K6466" s="226"/>
      <c r="L6466" s="226"/>
      <c r="M6466" s="101"/>
      <c r="N6466" s="101"/>
    </row>
    <row r="6467" spans="7:14" hidden="1" x14ac:dyDescent="0.3">
      <c r="G6467" s="101"/>
      <c r="H6467" s="101"/>
      <c r="I6467" s="101"/>
      <c r="K6467" s="226"/>
      <c r="L6467" s="226"/>
      <c r="M6467" s="101"/>
      <c r="N6467" s="101"/>
    </row>
    <row r="6468" spans="7:14" hidden="1" x14ac:dyDescent="0.3">
      <c r="G6468" s="101"/>
      <c r="H6468" s="101"/>
      <c r="I6468" s="101"/>
      <c r="K6468" s="226"/>
      <c r="L6468" s="226"/>
      <c r="M6468" s="101"/>
      <c r="N6468" s="101"/>
    </row>
    <row r="6469" spans="7:14" hidden="1" x14ac:dyDescent="0.3">
      <c r="G6469" s="101"/>
      <c r="H6469" s="101"/>
      <c r="I6469" s="101"/>
      <c r="K6469" s="226"/>
      <c r="L6469" s="226"/>
      <c r="M6469" s="101"/>
      <c r="N6469" s="101"/>
    </row>
    <row r="6470" spans="7:14" hidden="1" x14ac:dyDescent="0.3">
      <c r="G6470" s="101"/>
      <c r="H6470" s="101"/>
      <c r="I6470" s="101"/>
      <c r="K6470" s="226"/>
      <c r="L6470" s="226"/>
      <c r="M6470" s="101"/>
      <c r="N6470" s="101"/>
    </row>
    <row r="6471" spans="7:14" hidden="1" x14ac:dyDescent="0.3">
      <c r="G6471" s="101"/>
      <c r="H6471" s="101"/>
      <c r="I6471" s="101"/>
      <c r="K6471" s="226"/>
      <c r="L6471" s="226"/>
      <c r="M6471" s="101"/>
      <c r="N6471" s="101"/>
    </row>
    <row r="6472" spans="7:14" hidden="1" x14ac:dyDescent="0.3">
      <c r="G6472" s="101"/>
      <c r="H6472" s="101"/>
      <c r="I6472" s="101"/>
      <c r="K6472" s="226"/>
      <c r="L6472" s="226"/>
      <c r="M6472" s="101"/>
      <c r="N6472" s="101"/>
    </row>
    <row r="6473" spans="7:14" hidden="1" x14ac:dyDescent="0.3">
      <c r="G6473" s="101"/>
      <c r="H6473" s="101"/>
      <c r="I6473" s="101"/>
      <c r="K6473" s="226"/>
      <c r="L6473" s="226"/>
      <c r="M6473" s="101"/>
      <c r="N6473" s="101"/>
    </row>
    <row r="6474" spans="7:14" hidden="1" x14ac:dyDescent="0.3">
      <c r="G6474" s="101"/>
      <c r="H6474" s="101"/>
      <c r="I6474" s="101"/>
      <c r="K6474" s="226"/>
      <c r="L6474" s="226"/>
      <c r="M6474" s="101"/>
      <c r="N6474" s="101"/>
    </row>
    <row r="6475" spans="7:14" hidden="1" x14ac:dyDescent="0.3">
      <c r="G6475" s="101"/>
      <c r="H6475" s="101"/>
      <c r="I6475" s="101"/>
      <c r="K6475" s="226"/>
      <c r="L6475" s="226"/>
      <c r="M6475" s="101"/>
      <c r="N6475" s="101"/>
    </row>
    <row r="6476" spans="7:14" hidden="1" x14ac:dyDescent="0.3">
      <c r="G6476" s="101"/>
      <c r="H6476" s="101"/>
      <c r="I6476" s="101"/>
      <c r="K6476" s="226"/>
      <c r="L6476" s="226"/>
      <c r="M6476" s="101"/>
      <c r="N6476" s="101"/>
    </row>
    <row r="6477" spans="7:14" hidden="1" x14ac:dyDescent="0.3">
      <c r="G6477" s="101"/>
      <c r="H6477" s="101"/>
      <c r="I6477" s="101"/>
      <c r="K6477" s="226"/>
      <c r="L6477" s="226"/>
      <c r="M6477" s="101"/>
      <c r="N6477" s="101"/>
    </row>
    <row r="6478" spans="7:14" hidden="1" x14ac:dyDescent="0.3">
      <c r="G6478" s="101"/>
      <c r="H6478" s="101"/>
      <c r="I6478" s="101"/>
      <c r="K6478" s="226"/>
      <c r="L6478" s="226"/>
      <c r="M6478" s="101"/>
      <c r="N6478" s="101"/>
    </row>
    <row r="6479" spans="7:14" hidden="1" x14ac:dyDescent="0.3">
      <c r="G6479" s="101"/>
      <c r="H6479" s="101"/>
      <c r="I6479" s="101"/>
      <c r="K6479" s="226"/>
      <c r="L6479" s="226"/>
      <c r="M6479" s="101"/>
      <c r="N6479" s="101"/>
    </row>
    <row r="6480" spans="7:14" hidden="1" x14ac:dyDescent="0.3">
      <c r="G6480" s="101"/>
      <c r="H6480" s="101"/>
      <c r="I6480" s="101"/>
      <c r="K6480" s="226"/>
      <c r="L6480" s="226"/>
      <c r="M6480" s="101"/>
      <c r="N6480" s="101"/>
    </row>
    <row r="6481" spans="7:14" hidden="1" x14ac:dyDescent="0.3">
      <c r="G6481" s="101"/>
      <c r="H6481" s="101"/>
      <c r="I6481" s="101"/>
      <c r="K6481" s="226"/>
      <c r="L6481" s="226"/>
      <c r="M6481" s="101"/>
      <c r="N6481" s="101"/>
    </row>
    <row r="6482" spans="7:14" hidden="1" x14ac:dyDescent="0.3">
      <c r="G6482" s="101"/>
      <c r="H6482" s="101"/>
      <c r="I6482" s="101"/>
      <c r="K6482" s="226"/>
      <c r="L6482" s="226"/>
      <c r="M6482" s="101"/>
      <c r="N6482" s="101"/>
    </row>
    <row r="6483" spans="7:14" hidden="1" x14ac:dyDescent="0.3">
      <c r="G6483" s="101"/>
      <c r="H6483" s="101"/>
      <c r="I6483" s="101"/>
      <c r="K6483" s="226"/>
      <c r="L6483" s="226"/>
      <c r="M6483" s="101"/>
      <c r="N6483" s="101"/>
    </row>
    <row r="6484" spans="7:14" hidden="1" x14ac:dyDescent="0.3">
      <c r="G6484" s="101"/>
      <c r="H6484" s="101"/>
      <c r="I6484" s="101"/>
      <c r="K6484" s="226"/>
      <c r="L6484" s="226"/>
      <c r="M6484" s="101"/>
      <c r="N6484" s="101"/>
    </row>
    <row r="6485" spans="7:14" hidden="1" x14ac:dyDescent="0.3">
      <c r="G6485" s="101"/>
      <c r="H6485" s="101"/>
      <c r="I6485" s="101"/>
      <c r="K6485" s="226"/>
      <c r="L6485" s="226"/>
      <c r="M6485" s="101"/>
      <c r="N6485" s="101"/>
    </row>
    <row r="6486" spans="7:14" hidden="1" x14ac:dyDescent="0.3">
      <c r="G6486" s="101"/>
      <c r="H6486" s="101"/>
      <c r="I6486" s="101"/>
      <c r="K6486" s="226"/>
      <c r="L6486" s="226"/>
      <c r="M6486" s="101"/>
      <c r="N6486" s="101"/>
    </row>
    <row r="6487" spans="7:14" hidden="1" x14ac:dyDescent="0.3">
      <c r="G6487" s="101"/>
      <c r="H6487" s="101"/>
      <c r="I6487" s="101"/>
      <c r="K6487" s="226"/>
      <c r="L6487" s="226"/>
      <c r="M6487" s="101"/>
      <c r="N6487" s="101"/>
    </row>
    <row r="6488" spans="7:14" hidden="1" x14ac:dyDescent="0.3">
      <c r="G6488" s="101"/>
      <c r="H6488" s="101"/>
      <c r="I6488" s="101"/>
      <c r="K6488" s="226"/>
      <c r="L6488" s="226"/>
      <c r="M6488" s="101"/>
      <c r="N6488" s="101"/>
    </row>
    <row r="6489" spans="7:14" hidden="1" x14ac:dyDescent="0.3">
      <c r="G6489" s="101"/>
      <c r="H6489" s="101"/>
      <c r="I6489" s="101"/>
      <c r="K6489" s="226"/>
      <c r="L6489" s="226"/>
      <c r="M6489" s="101"/>
      <c r="N6489" s="101"/>
    </row>
    <row r="6490" spans="7:14" hidden="1" x14ac:dyDescent="0.3">
      <c r="G6490" s="101"/>
      <c r="H6490" s="101"/>
      <c r="I6490" s="101"/>
      <c r="K6490" s="226"/>
      <c r="L6490" s="226"/>
      <c r="M6490" s="101"/>
      <c r="N6490" s="101"/>
    </row>
    <row r="6491" spans="7:14" hidden="1" x14ac:dyDescent="0.3">
      <c r="G6491" s="101"/>
      <c r="H6491" s="101"/>
      <c r="I6491" s="101"/>
      <c r="K6491" s="226"/>
      <c r="L6491" s="226"/>
      <c r="M6491" s="101"/>
      <c r="N6491" s="101"/>
    </row>
    <row r="6492" spans="7:14" hidden="1" x14ac:dyDescent="0.3">
      <c r="G6492" s="101"/>
      <c r="H6492" s="101"/>
      <c r="I6492" s="101"/>
      <c r="K6492" s="226"/>
      <c r="L6492" s="226"/>
      <c r="M6492" s="101"/>
      <c r="N6492" s="101"/>
    </row>
    <row r="6493" spans="7:14" hidden="1" x14ac:dyDescent="0.3">
      <c r="G6493" s="101"/>
      <c r="H6493" s="101"/>
      <c r="I6493" s="101"/>
      <c r="K6493" s="226"/>
      <c r="L6493" s="226"/>
      <c r="M6493" s="101"/>
      <c r="N6493" s="101"/>
    </row>
    <row r="6494" spans="7:14" hidden="1" x14ac:dyDescent="0.3">
      <c r="G6494" s="101"/>
      <c r="H6494" s="101"/>
      <c r="I6494" s="101"/>
      <c r="K6494" s="226"/>
      <c r="L6494" s="226"/>
      <c r="M6494" s="101"/>
      <c r="N6494" s="101"/>
    </row>
    <row r="6495" spans="7:14" hidden="1" x14ac:dyDescent="0.3">
      <c r="G6495" s="101"/>
      <c r="H6495" s="101"/>
      <c r="I6495" s="101"/>
      <c r="K6495" s="226"/>
      <c r="L6495" s="226"/>
      <c r="M6495" s="101"/>
      <c r="N6495" s="101"/>
    </row>
    <row r="6496" spans="7:14" hidden="1" x14ac:dyDescent="0.3">
      <c r="G6496" s="101"/>
      <c r="H6496" s="101"/>
      <c r="I6496" s="101"/>
      <c r="K6496" s="226"/>
      <c r="L6496" s="226"/>
      <c r="M6496" s="101"/>
      <c r="N6496" s="101"/>
    </row>
    <row r="6497" spans="7:14" hidden="1" x14ac:dyDescent="0.3">
      <c r="G6497" s="101"/>
      <c r="H6497" s="101"/>
      <c r="I6497" s="101"/>
      <c r="K6497" s="226"/>
      <c r="L6497" s="226"/>
      <c r="M6497" s="101"/>
      <c r="N6497" s="101"/>
    </row>
    <row r="6498" spans="7:14" hidden="1" x14ac:dyDescent="0.3">
      <c r="G6498" s="101"/>
      <c r="H6498" s="101"/>
      <c r="I6498" s="101"/>
      <c r="K6498" s="226"/>
      <c r="L6498" s="226"/>
      <c r="M6498" s="101"/>
      <c r="N6498" s="101"/>
    </row>
    <row r="6499" spans="7:14" hidden="1" x14ac:dyDescent="0.3">
      <c r="G6499" s="101"/>
      <c r="H6499" s="101"/>
      <c r="I6499" s="101"/>
      <c r="K6499" s="226"/>
      <c r="L6499" s="226"/>
      <c r="M6499" s="101"/>
      <c r="N6499" s="101"/>
    </row>
    <row r="6500" spans="7:14" hidden="1" x14ac:dyDescent="0.3">
      <c r="G6500" s="101"/>
      <c r="H6500" s="101"/>
      <c r="I6500" s="101"/>
      <c r="K6500" s="226"/>
      <c r="L6500" s="226"/>
      <c r="M6500" s="101"/>
      <c r="N6500" s="101"/>
    </row>
    <row r="6501" spans="7:14" hidden="1" x14ac:dyDescent="0.3">
      <c r="G6501" s="101"/>
      <c r="H6501" s="101"/>
      <c r="I6501" s="101"/>
      <c r="K6501" s="226"/>
      <c r="L6501" s="226"/>
      <c r="M6501" s="101"/>
      <c r="N6501" s="101"/>
    </row>
    <row r="6502" spans="7:14" hidden="1" x14ac:dyDescent="0.3">
      <c r="G6502" s="101"/>
      <c r="H6502" s="101"/>
      <c r="I6502" s="101"/>
      <c r="K6502" s="226"/>
      <c r="L6502" s="226"/>
      <c r="M6502" s="101"/>
      <c r="N6502" s="101"/>
    </row>
    <row r="6503" spans="7:14" hidden="1" x14ac:dyDescent="0.3">
      <c r="G6503" s="101"/>
      <c r="H6503" s="101"/>
      <c r="I6503" s="101"/>
      <c r="K6503" s="226"/>
      <c r="L6503" s="226"/>
      <c r="M6503" s="101"/>
      <c r="N6503" s="101"/>
    </row>
    <row r="6504" spans="7:14" hidden="1" x14ac:dyDescent="0.3">
      <c r="G6504" s="101"/>
      <c r="H6504" s="101"/>
      <c r="I6504" s="101"/>
      <c r="K6504" s="226"/>
      <c r="L6504" s="226"/>
      <c r="M6504" s="101"/>
      <c r="N6504" s="101"/>
    </row>
    <row r="6505" spans="7:14" hidden="1" x14ac:dyDescent="0.3">
      <c r="G6505" s="101"/>
      <c r="H6505" s="101"/>
      <c r="I6505" s="101"/>
      <c r="K6505" s="226"/>
      <c r="L6505" s="226"/>
      <c r="M6505" s="101"/>
      <c r="N6505" s="101"/>
    </row>
    <row r="6506" spans="7:14" hidden="1" x14ac:dyDescent="0.3">
      <c r="G6506" s="101"/>
      <c r="H6506" s="101"/>
      <c r="I6506" s="101"/>
      <c r="K6506" s="226"/>
      <c r="L6506" s="226"/>
      <c r="M6506" s="101"/>
      <c r="N6506" s="101"/>
    </row>
    <row r="6507" spans="7:14" hidden="1" x14ac:dyDescent="0.3">
      <c r="G6507" s="101"/>
      <c r="H6507" s="101"/>
      <c r="I6507" s="101"/>
      <c r="K6507" s="226"/>
      <c r="L6507" s="226"/>
      <c r="M6507" s="101"/>
      <c r="N6507" s="101"/>
    </row>
    <row r="6508" spans="7:14" hidden="1" x14ac:dyDescent="0.3">
      <c r="G6508" s="101"/>
      <c r="H6508" s="101"/>
      <c r="I6508" s="101"/>
      <c r="K6508" s="226"/>
      <c r="L6508" s="226"/>
      <c r="M6508" s="101"/>
      <c r="N6508" s="101"/>
    </row>
    <row r="6509" spans="7:14" hidden="1" x14ac:dyDescent="0.3">
      <c r="G6509" s="101"/>
      <c r="H6509" s="101"/>
      <c r="I6509" s="101"/>
      <c r="K6509" s="226"/>
      <c r="L6509" s="226"/>
      <c r="M6509" s="101"/>
      <c r="N6509" s="101"/>
    </row>
    <row r="6510" spans="7:14" hidden="1" x14ac:dyDescent="0.3">
      <c r="G6510" s="101"/>
      <c r="H6510" s="101"/>
      <c r="I6510" s="101"/>
      <c r="K6510" s="226"/>
      <c r="L6510" s="226"/>
      <c r="M6510" s="101"/>
      <c r="N6510" s="101"/>
    </row>
    <row r="6511" spans="7:14" hidden="1" x14ac:dyDescent="0.3">
      <c r="G6511" s="101"/>
      <c r="H6511" s="101"/>
      <c r="I6511" s="101"/>
      <c r="K6511" s="226"/>
      <c r="L6511" s="226"/>
      <c r="M6511" s="101"/>
      <c r="N6511" s="101"/>
    </row>
    <row r="6512" spans="7:14" hidden="1" x14ac:dyDescent="0.3">
      <c r="G6512" s="101"/>
      <c r="H6512" s="101"/>
      <c r="I6512" s="101"/>
      <c r="K6512" s="226"/>
      <c r="L6512" s="226"/>
      <c r="M6512" s="101"/>
      <c r="N6512" s="101"/>
    </row>
    <row r="6513" spans="7:14" hidden="1" x14ac:dyDescent="0.3">
      <c r="G6513" s="101"/>
      <c r="H6513" s="101"/>
      <c r="I6513" s="101"/>
      <c r="K6513" s="226"/>
      <c r="L6513" s="226"/>
      <c r="M6513" s="101"/>
      <c r="N6513" s="101"/>
    </row>
    <row r="6514" spans="7:14" hidden="1" x14ac:dyDescent="0.3">
      <c r="G6514" s="101"/>
      <c r="H6514" s="101"/>
      <c r="I6514" s="101"/>
      <c r="K6514" s="226"/>
      <c r="L6514" s="226"/>
      <c r="M6514" s="101"/>
      <c r="N6514" s="101"/>
    </row>
    <row r="6515" spans="7:14" hidden="1" x14ac:dyDescent="0.3">
      <c r="G6515" s="101"/>
      <c r="H6515" s="101"/>
      <c r="I6515" s="101"/>
      <c r="K6515" s="226"/>
      <c r="L6515" s="226"/>
      <c r="M6515" s="101"/>
      <c r="N6515" s="101"/>
    </row>
    <row r="6516" spans="7:14" hidden="1" x14ac:dyDescent="0.3">
      <c r="G6516" s="101"/>
      <c r="H6516" s="101"/>
      <c r="I6516" s="101"/>
      <c r="K6516" s="226"/>
      <c r="L6516" s="226"/>
      <c r="M6516" s="101"/>
      <c r="N6516" s="101"/>
    </row>
    <row r="6517" spans="7:14" hidden="1" x14ac:dyDescent="0.3">
      <c r="G6517" s="101"/>
      <c r="H6517" s="101"/>
      <c r="I6517" s="101"/>
      <c r="K6517" s="226"/>
      <c r="L6517" s="226"/>
      <c r="M6517" s="101"/>
      <c r="N6517" s="101"/>
    </row>
    <row r="6518" spans="7:14" hidden="1" x14ac:dyDescent="0.3">
      <c r="G6518" s="101"/>
      <c r="H6518" s="101"/>
      <c r="I6518" s="101"/>
      <c r="K6518" s="226"/>
      <c r="L6518" s="226"/>
      <c r="M6518" s="101"/>
      <c r="N6518" s="101"/>
    </row>
    <row r="6519" spans="7:14" hidden="1" x14ac:dyDescent="0.3">
      <c r="G6519" s="101"/>
      <c r="H6519" s="101"/>
      <c r="I6519" s="101"/>
      <c r="K6519" s="226"/>
      <c r="L6519" s="226"/>
      <c r="M6519" s="101"/>
      <c r="N6519" s="101"/>
    </row>
    <row r="6520" spans="7:14" hidden="1" x14ac:dyDescent="0.3">
      <c r="G6520" s="101"/>
      <c r="H6520" s="101"/>
      <c r="I6520" s="101"/>
      <c r="K6520" s="226"/>
      <c r="L6520" s="226"/>
      <c r="M6520" s="101"/>
      <c r="N6520" s="101"/>
    </row>
    <row r="6521" spans="7:14" hidden="1" x14ac:dyDescent="0.3">
      <c r="G6521" s="101"/>
      <c r="H6521" s="101"/>
      <c r="I6521" s="101"/>
      <c r="K6521" s="226"/>
      <c r="L6521" s="226"/>
      <c r="M6521" s="101"/>
      <c r="N6521" s="101"/>
    </row>
    <row r="6522" spans="7:14" hidden="1" x14ac:dyDescent="0.3">
      <c r="G6522" s="101"/>
      <c r="H6522" s="101"/>
      <c r="I6522" s="101"/>
      <c r="K6522" s="226"/>
      <c r="L6522" s="226"/>
      <c r="M6522" s="101"/>
      <c r="N6522" s="101"/>
    </row>
    <row r="6523" spans="7:14" hidden="1" x14ac:dyDescent="0.3">
      <c r="G6523" s="101"/>
      <c r="H6523" s="101"/>
      <c r="I6523" s="101"/>
      <c r="K6523" s="226"/>
      <c r="L6523" s="226"/>
      <c r="M6523" s="101"/>
      <c r="N6523" s="101"/>
    </row>
    <row r="6524" spans="7:14" hidden="1" x14ac:dyDescent="0.3">
      <c r="G6524" s="101"/>
      <c r="H6524" s="101"/>
      <c r="I6524" s="101"/>
      <c r="K6524" s="226"/>
      <c r="L6524" s="226"/>
      <c r="M6524" s="101"/>
      <c r="N6524" s="101"/>
    </row>
    <row r="6525" spans="7:14" hidden="1" x14ac:dyDescent="0.3">
      <c r="G6525" s="101"/>
      <c r="H6525" s="101"/>
      <c r="I6525" s="101"/>
      <c r="K6525" s="226"/>
      <c r="L6525" s="226"/>
      <c r="M6525" s="101"/>
      <c r="N6525" s="101"/>
    </row>
    <row r="6526" spans="7:14" hidden="1" x14ac:dyDescent="0.3">
      <c r="G6526" s="101"/>
      <c r="H6526" s="101"/>
      <c r="I6526" s="101"/>
      <c r="K6526" s="226"/>
      <c r="L6526" s="226"/>
      <c r="M6526" s="101"/>
      <c r="N6526" s="101"/>
    </row>
    <row r="6527" spans="7:14" hidden="1" x14ac:dyDescent="0.3">
      <c r="G6527" s="101"/>
      <c r="H6527" s="101"/>
      <c r="I6527" s="101"/>
      <c r="K6527" s="226"/>
      <c r="L6527" s="226"/>
      <c r="M6527" s="101"/>
      <c r="N6527" s="101"/>
    </row>
    <row r="6528" spans="7:14" hidden="1" x14ac:dyDescent="0.3">
      <c r="G6528" s="101"/>
      <c r="H6528" s="101"/>
      <c r="I6528" s="101"/>
      <c r="K6528" s="226"/>
      <c r="L6528" s="226"/>
      <c r="M6528" s="101"/>
      <c r="N6528" s="101"/>
    </row>
    <row r="6529" spans="7:14" hidden="1" x14ac:dyDescent="0.3">
      <c r="G6529" s="101"/>
      <c r="H6529" s="101"/>
      <c r="I6529" s="101"/>
      <c r="K6529" s="226"/>
      <c r="L6529" s="226"/>
      <c r="M6529" s="101"/>
      <c r="N6529" s="101"/>
    </row>
    <row r="6530" spans="7:14" hidden="1" x14ac:dyDescent="0.3">
      <c r="G6530" s="101"/>
      <c r="H6530" s="101"/>
      <c r="I6530" s="101"/>
      <c r="K6530" s="226"/>
      <c r="L6530" s="226"/>
      <c r="M6530" s="101"/>
      <c r="N6530" s="101"/>
    </row>
    <row r="6531" spans="7:14" hidden="1" x14ac:dyDescent="0.3">
      <c r="G6531" s="101"/>
      <c r="H6531" s="101"/>
      <c r="I6531" s="101"/>
      <c r="K6531" s="226"/>
      <c r="L6531" s="226"/>
      <c r="M6531" s="101"/>
      <c r="N6531" s="101"/>
    </row>
    <row r="6532" spans="7:14" hidden="1" x14ac:dyDescent="0.3">
      <c r="G6532" s="101"/>
      <c r="H6532" s="101"/>
      <c r="I6532" s="101"/>
      <c r="K6532" s="226"/>
      <c r="L6532" s="226"/>
      <c r="M6532" s="101"/>
      <c r="N6532" s="101"/>
    </row>
    <row r="6533" spans="7:14" hidden="1" x14ac:dyDescent="0.3">
      <c r="G6533" s="101"/>
      <c r="H6533" s="101"/>
      <c r="I6533" s="101"/>
      <c r="K6533" s="226"/>
      <c r="L6533" s="226"/>
      <c r="M6533" s="101"/>
      <c r="N6533" s="101"/>
    </row>
    <row r="6534" spans="7:14" hidden="1" x14ac:dyDescent="0.3">
      <c r="G6534" s="101"/>
      <c r="H6534" s="101"/>
      <c r="I6534" s="101"/>
      <c r="K6534" s="226"/>
      <c r="L6534" s="226"/>
      <c r="M6534" s="101"/>
      <c r="N6534" s="101"/>
    </row>
    <row r="6535" spans="7:14" hidden="1" x14ac:dyDescent="0.3">
      <c r="G6535" s="101"/>
      <c r="H6535" s="101"/>
      <c r="I6535" s="101"/>
      <c r="K6535" s="226"/>
      <c r="L6535" s="226"/>
      <c r="M6535" s="101"/>
      <c r="N6535" s="101"/>
    </row>
    <row r="6536" spans="7:14" hidden="1" x14ac:dyDescent="0.3">
      <c r="G6536" s="101"/>
      <c r="H6536" s="101"/>
      <c r="I6536" s="101"/>
      <c r="K6536" s="226"/>
      <c r="L6536" s="226"/>
      <c r="M6536" s="101"/>
      <c r="N6536" s="101"/>
    </row>
    <row r="6537" spans="7:14" hidden="1" x14ac:dyDescent="0.3">
      <c r="G6537" s="101"/>
      <c r="H6537" s="101"/>
      <c r="I6537" s="101"/>
      <c r="K6537" s="226"/>
      <c r="L6537" s="226"/>
      <c r="M6537" s="101"/>
      <c r="N6537" s="101"/>
    </row>
    <row r="6538" spans="7:14" hidden="1" x14ac:dyDescent="0.3">
      <c r="G6538" s="101"/>
      <c r="H6538" s="101"/>
      <c r="I6538" s="101"/>
      <c r="K6538" s="226"/>
      <c r="L6538" s="226"/>
      <c r="M6538" s="101"/>
      <c r="N6538" s="101"/>
    </row>
    <row r="6539" spans="7:14" hidden="1" x14ac:dyDescent="0.3">
      <c r="G6539" s="101"/>
      <c r="H6539" s="101"/>
      <c r="I6539" s="101"/>
      <c r="K6539" s="226"/>
      <c r="L6539" s="226"/>
      <c r="M6539" s="101"/>
      <c r="N6539" s="101"/>
    </row>
    <row r="6540" spans="7:14" hidden="1" x14ac:dyDescent="0.3">
      <c r="G6540" s="101"/>
      <c r="H6540" s="101"/>
      <c r="I6540" s="101"/>
      <c r="K6540" s="226"/>
      <c r="L6540" s="226"/>
      <c r="M6540" s="101"/>
      <c r="N6540" s="101"/>
    </row>
    <row r="6541" spans="7:14" hidden="1" x14ac:dyDescent="0.3">
      <c r="G6541" s="101"/>
      <c r="H6541" s="101"/>
      <c r="I6541" s="101"/>
      <c r="K6541" s="226"/>
      <c r="L6541" s="226"/>
      <c r="M6541" s="101"/>
      <c r="N6541" s="101"/>
    </row>
    <row r="6542" spans="7:14" hidden="1" x14ac:dyDescent="0.3">
      <c r="G6542" s="101"/>
      <c r="H6542" s="101"/>
      <c r="I6542" s="101"/>
      <c r="K6542" s="226"/>
      <c r="L6542" s="226"/>
      <c r="M6542" s="101"/>
      <c r="N6542" s="101"/>
    </row>
    <row r="6543" spans="7:14" hidden="1" x14ac:dyDescent="0.3">
      <c r="G6543" s="101"/>
      <c r="H6543" s="101"/>
      <c r="I6543" s="101"/>
      <c r="K6543" s="226"/>
      <c r="L6543" s="226"/>
      <c r="M6543" s="101"/>
      <c r="N6543" s="101"/>
    </row>
    <row r="6544" spans="7:14" hidden="1" x14ac:dyDescent="0.3">
      <c r="G6544" s="101"/>
      <c r="H6544" s="101"/>
      <c r="I6544" s="101"/>
      <c r="K6544" s="226"/>
      <c r="L6544" s="226"/>
      <c r="M6544" s="101"/>
      <c r="N6544" s="101"/>
    </row>
    <row r="6545" spans="7:14" hidden="1" x14ac:dyDescent="0.3">
      <c r="G6545" s="101"/>
      <c r="H6545" s="101"/>
      <c r="I6545" s="101"/>
      <c r="K6545" s="226"/>
      <c r="L6545" s="226"/>
      <c r="M6545" s="101"/>
      <c r="N6545" s="101"/>
    </row>
    <row r="6546" spans="7:14" hidden="1" x14ac:dyDescent="0.3">
      <c r="G6546" s="101"/>
      <c r="H6546" s="101"/>
      <c r="I6546" s="101"/>
      <c r="K6546" s="226"/>
      <c r="L6546" s="226"/>
      <c r="M6546" s="101"/>
      <c r="N6546" s="101"/>
    </row>
    <row r="6547" spans="7:14" hidden="1" x14ac:dyDescent="0.3">
      <c r="G6547" s="101"/>
      <c r="H6547" s="101"/>
      <c r="I6547" s="101"/>
      <c r="K6547" s="226"/>
      <c r="L6547" s="226"/>
      <c r="M6547" s="101"/>
      <c r="N6547" s="101"/>
    </row>
    <row r="6548" spans="7:14" hidden="1" x14ac:dyDescent="0.3">
      <c r="G6548" s="101"/>
      <c r="H6548" s="101"/>
      <c r="I6548" s="101"/>
      <c r="K6548" s="226"/>
      <c r="L6548" s="226"/>
      <c r="M6548" s="101"/>
      <c r="N6548" s="101"/>
    </row>
    <row r="6549" spans="7:14" hidden="1" x14ac:dyDescent="0.3">
      <c r="G6549" s="101"/>
      <c r="H6549" s="101"/>
      <c r="I6549" s="101"/>
      <c r="K6549" s="226"/>
      <c r="L6549" s="226"/>
      <c r="M6549" s="101"/>
      <c r="N6549" s="101"/>
    </row>
    <row r="6550" spans="7:14" hidden="1" x14ac:dyDescent="0.3">
      <c r="G6550" s="101"/>
      <c r="H6550" s="101"/>
      <c r="I6550" s="101"/>
      <c r="K6550" s="226"/>
      <c r="L6550" s="226"/>
      <c r="M6550" s="101"/>
      <c r="N6550" s="101"/>
    </row>
    <row r="6551" spans="7:14" hidden="1" x14ac:dyDescent="0.3">
      <c r="G6551" s="101"/>
      <c r="H6551" s="101"/>
      <c r="I6551" s="101"/>
      <c r="K6551" s="226"/>
      <c r="L6551" s="226"/>
      <c r="M6551" s="101"/>
      <c r="N6551" s="101"/>
    </row>
    <row r="6552" spans="7:14" hidden="1" x14ac:dyDescent="0.3">
      <c r="G6552" s="101"/>
      <c r="H6552" s="101"/>
      <c r="I6552" s="101"/>
      <c r="K6552" s="226"/>
      <c r="L6552" s="226"/>
      <c r="M6552" s="101"/>
      <c r="N6552" s="101"/>
    </row>
    <row r="6553" spans="7:14" hidden="1" x14ac:dyDescent="0.3">
      <c r="G6553" s="101"/>
      <c r="H6553" s="101"/>
      <c r="I6553" s="101"/>
      <c r="K6553" s="226"/>
      <c r="L6553" s="226"/>
      <c r="M6553" s="101"/>
      <c r="N6553" s="101"/>
    </row>
    <row r="6554" spans="7:14" hidden="1" x14ac:dyDescent="0.3">
      <c r="G6554" s="101"/>
      <c r="H6554" s="101"/>
      <c r="I6554" s="101"/>
      <c r="K6554" s="226"/>
      <c r="L6554" s="226"/>
      <c r="M6554" s="101"/>
      <c r="N6554" s="101"/>
    </row>
    <row r="6555" spans="7:14" hidden="1" x14ac:dyDescent="0.3">
      <c r="G6555" s="101"/>
      <c r="H6555" s="101"/>
      <c r="I6555" s="101"/>
      <c r="K6555" s="226"/>
      <c r="L6555" s="226"/>
      <c r="M6555" s="101"/>
      <c r="N6555" s="101"/>
    </row>
    <row r="6556" spans="7:14" hidden="1" x14ac:dyDescent="0.3">
      <c r="G6556" s="101"/>
      <c r="H6556" s="101"/>
      <c r="I6556" s="101"/>
      <c r="K6556" s="226"/>
      <c r="L6556" s="226"/>
      <c r="M6556" s="101"/>
      <c r="N6556" s="101"/>
    </row>
    <row r="6557" spans="7:14" hidden="1" x14ac:dyDescent="0.3">
      <c r="G6557" s="101"/>
      <c r="H6557" s="101"/>
      <c r="I6557" s="101"/>
      <c r="K6557" s="226"/>
      <c r="L6557" s="226"/>
      <c r="M6557" s="101"/>
      <c r="N6557" s="101"/>
    </row>
    <row r="6558" spans="7:14" hidden="1" x14ac:dyDescent="0.3">
      <c r="G6558" s="101"/>
      <c r="H6558" s="101"/>
      <c r="I6558" s="101"/>
      <c r="K6558" s="226"/>
      <c r="L6558" s="226"/>
      <c r="M6558" s="101"/>
      <c r="N6558" s="101"/>
    </row>
    <row r="6559" spans="7:14" hidden="1" x14ac:dyDescent="0.3">
      <c r="G6559" s="101"/>
      <c r="H6559" s="101"/>
      <c r="I6559" s="101"/>
      <c r="K6559" s="226"/>
      <c r="L6559" s="226"/>
      <c r="M6559" s="101"/>
      <c r="N6559" s="101"/>
    </row>
    <row r="6560" spans="7:14" hidden="1" x14ac:dyDescent="0.3">
      <c r="G6560" s="101"/>
      <c r="H6560" s="101"/>
      <c r="I6560" s="101"/>
      <c r="K6560" s="226"/>
      <c r="L6560" s="226"/>
      <c r="M6560" s="101"/>
      <c r="N6560" s="101"/>
    </row>
    <row r="6561" spans="7:14" hidden="1" x14ac:dyDescent="0.3">
      <c r="G6561" s="101"/>
      <c r="H6561" s="101"/>
      <c r="I6561" s="101"/>
      <c r="K6561" s="226"/>
      <c r="L6561" s="226"/>
      <c r="M6561" s="101"/>
      <c r="N6561" s="101"/>
    </row>
    <row r="6562" spans="7:14" hidden="1" x14ac:dyDescent="0.3">
      <c r="G6562" s="101"/>
      <c r="H6562" s="101"/>
      <c r="I6562" s="101"/>
      <c r="K6562" s="226"/>
      <c r="L6562" s="226"/>
      <c r="M6562" s="101"/>
      <c r="N6562" s="101"/>
    </row>
    <row r="6563" spans="7:14" hidden="1" x14ac:dyDescent="0.3">
      <c r="G6563" s="101"/>
      <c r="H6563" s="101"/>
      <c r="I6563" s="101"/>
      <c r="K6563" s="226"/>
      <c r="L6563" s="226"/>
      <c r="M6563" s="101"/>
      <c r="N6563" s="101"/>
    </row>
    <row r="6564" spans="7:14" hidden="1" x14ac:dyDescent="0.3">
      <c r="G6564" s="101"/>
      <c r="H6564" s="101"/>
      <c r="I6564" s="101"/>
      <c r="K6564" s="226"/>
      <c r="L6564" s="226"/>
      <c r="M6564" s="101"/>
      <c r="N6564" s="101"/>
    </row>
    <row r="6565" spans="7:14" hidden="1" x14ac:dyDescent="0.3">
      <c r="G6565" s="101"/>
      <c r="H6565" s="101"/>
      <c r="I6565" s="101"/>
      <c r="K6565" s="226"/>
      <c r="L6565" s="226"/>
      <c r="M6565" s="101"/>
      <c r="N6565" s="101"/>
    </row>
    <row r="6566" spans="7:14" hidden="1" x14ac:dyDescent="0.3">
      <c r="G6566" s="101"/>
      <c r="H6566" s="101"/>
      <c r="I6566" s="101"/>
      <c r="K6566" s="226"/>
      <c r="L6566" s="226"/>
      <c r="M6566" s="101"/>
      <c r="N6566" s="101"/>
    </row>
    <row r="6567" spans="7:14" hidden="1" x14ac:dyDescent="0.3">
      <c r="G6567" s="101"/>
      <c r="H6567" s="101"/>
      <c r="I6567" s="101"/>
      <c r="K6567" s="226"/>
      <c r="L6567" s="226"/>
      <c r="M6567" s="101"/>
      <c r="N6567" s="101"/>
    </row>
    <row r="6568" spans="7:14" hidden="1" x14ac:dyDescent="0.3">
      <c r="G6568" s="101"/>
      <c r="H6568" s="101"/>
      <c r="I6568" s="101"/>
      <c r="K6568" s="226"/>
      <c r="L6568" s="226"/>
      <c r="M6568" s="101"/>
      <c r="N6568" s="101"/>
    </row>
    <row r="6569" spans="7:14" hidden="1" x14ac:dyDescent="0.3">
      <c r="G6569" s="101"/>
      <c r="H6569" s="101"/>
      <c r="I6569" s="101"/>
      <c r="K6569" s="226"/>
      <c r="L6569" s="226"/>
      <c r="M6569" s="101"/>
      <c r="N6569" s="101"/>
    </row>
    <row r="6570" spans="7:14" hidden="1" x14ac:dyDescent="0.3">
      <c r="G6570" s="101"/>
      <c r="H6570" s="101"/>
      <c r="I6570" s="101"/>
      <c r="K6570" s="226"/>
      <c r="L6570" s="226"/>
      <c r="M6570" s="101"/>
      <c r="N6570" s="101"/>
    </row>
    <row r="6571" spans="7:14" hidden="1" x14ac:dyDescent="0.3">
      <c r="G6571" s="101"/>
      <c r="H6571" s="101"/>
      <c r="I6571" s="101"/>
      <c r="K6571" s="226"/>
      <c r="L6571" s="226"/>
      <c r="M6571" s="101"/>
      <c r="N6571" s="101"/>
    </row>
    <row r="6572" spans="7:14" hidden="1" x14ac:dyDescent="0.3">
      <c r="G6572" s="101"/>
      <c r="H6572" s="101"/>
      <c r="I6572" s="101"/>
      <c r="K6572" s="226"/>
      <c r="L6572" s="226"/>
      <c r="M6572" s="101"/>
      <c r="N6572" s="101"/>
    </row>
    <row r="6573" spans="7:14" hidden="1" x14ac:dyDescent="0.3">
      <c r="G6573" s="101"/>
      <c r="H6573" s="101"/>
      <c r="I6573" s="101"/>
      <c r="K6573" s="226"/>
      <c r="L6573" s="226"/>
      <c r="M6573" s="101"/>
      <c r="N6573" s="101"/>
    </row>
    <row r="6574" spans="7:14" hidden="1" x14ac:dyDescent="0.3">
      <c r="G6574" s="101"/>
      <c r="H6574" s="101"/>
      <c r="I6574" s="101"/>
      <c r="K6574" s="226"/>
      <c r="L6574" s="226"/>
      <c r="M6574" s="101"/>
      <c r="N6574" s="101"/>
    </row>
    <row r="6575" spans="7:14" hidden="1" x14ac:dyDescent="0.3">
      <c r="G6575" s="101"/>
      <c r="H6575" s="101"/>
      <c r="I6575" s="101"/>
      <c r="K6575" s="226"/>
      <c r="L6575" s="226"/>
      <c r="M6575" s="101"/>
      <c r="N6575" s="101"/>
    </row>
    <row r="6576" spans="7:14" hidden="1" x14ac:dyDescent="0.3">
      <c r="G6576" s="101"/>
      <c r="H6576" s="101"/>
      <c r="I6576" s="101"/>
      <c r="K6576" s="226"/>
      <c r="L6576" s="226"/>
      <c r="M6576" s="101"/>
      <c r="N6576" s="101"/>
    </row>
    <row r="6577" spans="7:14" hidden="1" x14ac:dyDescent="0.3">
      <c r="G6577" s="101"/>
      <c r="H6577" s="101"/>
      <c r="I6577" s="101"/>
      <c r="K6577" s="226"/>
      <c r="L6577" s="226"/>
      <c r="M6577" s="101"/>
      <c r="N6577" s="101"/>
    </row>
    <row r="6578" spans="7:14" hidden="1" x14ac:dyDescent="0.3">
      <c r="G6578" s="101"/>
      <c r="H6578" s="101"/>
      <c r="I6578" s="101"/>
      <c r="K6578" s="226"/>
      <c r="L6578" s="226"/>
      <c r="M6578" s="101"/>
      <c r="N6578" s="101"/>
    </row>
    <row r="6579" spans="7:14" hidden="1" x14ac:dyDescent="0.3">
      <c r="G6579" s="101"/>
      <c r="H6579" s="101"/>
      <c r="I6579" s="101"/>
      <c r="K6579" s="226"/>
      <c r="L6579" s="226"/>
      <c r="M6579" s="101"/>
      <c r="N6579" s="101"/>
    </row>
    <row r="6580" spans="7:14" hidden="1" x14ac:dyDescent="0.3">
      <c r="G6580" s="101"/>
      <c r="H6580" s="101"/>
      <c r="I6580" s="101"/>
      <c r="K6580" s="226"/>
      <c r="L6580" s="226"/>
      <c r="M6580" s="101"/>
      <c r="N6580" s="101"/>
    </row>
    <row r="6581" spans="7:14" hidden="1" x14ac:dyDescent="0.3">
      <c r="G6581" s="101"/>
      <c r="H6581" s="101"/>
      <c r="I6581" s="101"/>
      <c r="K6581" s="226"/>
      <c r="L6581" s="226"/>
      <c r="M6581" s="101"/>
      <c r="N6581" s="101"/>
    </row>
    <row r="6582" spans="7:14" hidden="1" x14ac:dyDescent="0.3">
      <c r="G6582" s="101"/>
      <c r="H6582" s="101"/>
      <c r="I6582" s="101"/>
      <c r="K6582" s="226"/>
      <c r="L6582" s="226"/>
      <c r="M6582" s="101"/>
      <c r="N6582" s="101"/>
    </row>
    <row r="6583" spans="7:14" hidden="1" x14ac:dyDescent="0.3">
      <c r="G6583" s="101"/>
      <c r="H6583" s="101"/>
      <c r="I6583" s="101"/>
      <c r="K6583" s="226"/>
      <c r="L6583" s="226"/>
      <c r="M6583" s="101"/>
      <c r="N6583" s="101"/>
    </row>
    <row r="6584" spans="7:14" hidden="1" x14ac:dyDescent="0.3">
      <c r="G6584" s="101"/>
      <c r="H6584" s="101"/>
      <c r="I6584" s="101"/>
      <c r="K6584" s="226"/>
      <c r="L6584" s="226"/>
      <c r="M6584" s="101"/>
      <c r="N6584" s="101"/>
    </row>
    <row r="6585" spans="7:14" hidden="1" x14ac:dyDescent="0.3">
      <c r="G6585" s="101"/>
      <c r="H6585" s="101"/>
      <c r="I6585" s="101"/>
      <c r="K6585" s="226"/>
      <c r="L6585" s="226"/>
      <c r="M6585" s="101"/>
      <c r="N6585" s="101"/>
    </row>
    <row r="6586" spans="7:14" hidden="1" x14ac:dyDescent="0.3">
      <c r="G6586" s="101"/>
      <c r="H6586" s="101"/>
      <c r="I6586" s="101"/>
      <c r="K6586" s="226"/>
      <c r="L6586" s="226"/>
      <c r="M6586" s="101"/>
      <c r="N6586" s="101"/>
    </row>
    <row r="6587" spans="7:14" hidden="1" x14ac:dyDescent="0.3">
      <c r="G6587" s="101"/>
      <c r="H6587" s="101"/>
      <c r="I6587" s="101"/>
      <c r="K6587" s="226"/>
      <c r="L6587" s="226"/>
      <c r="M6587" s="101"/>
      <c r="N6587" s="101"/>
    </row>
    <row r="6588" spans="7:14" hidden="1" x14ac:dyDescent="0.3">
      <c r="G6588" s="101"/>
      <c r="H6588" s="101"/>
      <c r="I6588" s="101"/>
      <c r="K6588" s="226"/>
      <c r="L6588" s="226"/>
      <c r="M6588" s="101"/>
      <c r="N6588" s="101"/>
    </row>
    <row r="6589" spans="7:14" hidden="1" x14ac:dyDescent="0.3">
      <c r="G6589" s="101"/>
      <c r="H6589" s="101"/>
      <c r="I6589" s="101"/>
      <c r="K6589" s="226"/>
      <c r="L6589" s="226"/>
      <c r="M6589" s="101"/>
      <c r="N6589" s="101"/>
    </row>
    <row r="6590" spans="7:14" hidden="1" x14ac:dyDescent="0.3">
      <c r="G6590" s="101"/>
      <c r="H6590" s="101"/>
      <c r="I6590" s="101"/>
      <c r="K6590" s="226"/>
      <c r="L6590" s="226"/>
      <c r="M6590" s="101"/>
      <c r="N6590" s="101"/>
    </row>
    <row r="6591" spans="7:14" hidden="1" x14ac:dyDescent="0.3">
      <c r="G6591" s="101"/>
      <c r="H6591" s="101"/>
      <c r="I6591" s="101"/>
      <c r="K6591" s="226"/>
      <c r="L6591" s="226"/>
      <c r="M6591" s="101"/>
      <c r="N6591" s="101"/>
    </row>
    <row r="6592" spans="7:14" hidden="1" x14ac:dyDescent="0.3">
      <c r="G6592" s="101"/>
      <c r="H6592" s="101"/>
      <c r="I6592" s="101"/>
      <c r="K6592" s="226"/>
      <c r="L6592" s="226"/>
      <c r="M6592" s="101"/>
      <c r="N6592" s="101"/>
    </row>
    <row r="6593" spans="7:14" hidden="1" x14ac:dyDescent="0.3">
      <c r="G6593" s="101"/>
      <c r="H6593" s="101"/>
      <c r="I6593" s="101"/>
      <c r="K6593" s="226"/>
      <c r="L6593" s="226"/>
      <c r="M6593" s="101"/>
      <c r="N6593" s="101"/>
    </row>
    <row r="6594" spans="7:14" hidden="1" x14ac:dyDescent="0.3">
      <c r="G6594" s="101"/>
      <c r="H6594" s="101"/>
      <c r="I6594" s="101"/>
      <c r="K6594" s="226"/>
      <c r="L6594" s="226"/>
      <c r="M6594" s="101"/>
      <c r="N6594" s="101"/>
    </row>
    <row r="6595" spans="7:14" hidden="1" x14ac:dyDescent="0.3">
      <c r="G6595" s="101"/>
      <c r="H6595" s="101"/>
      <c r="I6595" s="101"/>
      <c r="K6595" s="226"/>
      <c r="L6595" s="226"/>
      <c r="M6595" s="101"/>
      <c r="N6595" s="101"/>
    </row>
    <row r="6596" spans="7:14" hidden="1" x14ac:dyDescent="0.3">
      <c r="G6596" s="101"/>
      <c r="H6596" s="101"/>
      <c r="I6596" s="101"/>
      <c r="K6596" s="226"/>
      <c r="L6596" s="226"/>
      <c r="M6596" s="101"/>
      <c r="N6596" s="101"/>
    </row>
    <row r="6597" spans="7:14" hidden="1" x14ac:dyDescent="0.3">
      <c r="G6597" s="101"/>
      <c r="H6597" s="101"/>
      <c r="I6597" s="101"/>
      <c r="K6597" s="226"/>
      <c r="L6597" s="226"/>
      <c r="M6597" s="101"/>
      <c r="N6597" s="101"/>
    </row>
    <row r="6598" spans="7:14" hidden="1" x14ac:dyDescent="0.3">
      <c r="G6598" s="101"/>
      <c r="H6598" s="101"/>
      <c r="I6598" s="101"/>
      <c r="K6598" s="226"/>
      <c r="L6598" s="226"/>
      <c r="M6598" s="101"/>
      <c r="N6598" s="101"/>
    </row>
    <row r="6599" spans="7:14" hidden="1" x14ac:dyDescent="0.3">
      <c r="G6599" s="101"/>
      <c r="H6599" s="101"/>
      <c r="I6599" s="101"/>
      <c r="K6599" s="226"/>
      <c r="L6599" s="226"/>
      <c r="M6599" s="101"/>
      <c r="N6599" s="101"/>
    </row>
    <row r="6600" spans="7:14" hidden="1" x14ac:dyDescent="0.3">
      <c r="G6600" s="101"/>
      <c r="H6600" s="101"/>
      <c r="I6600" s="101"/>
      <c r="K6600" s="226"/>
      <c r="L6600" s="226"/>
      <c r="M6600" s="101"/>
      <c r="N6600" s="101"/>
    </row>
    <row r="6601" spans="7:14" hidden="1" x14ac:dyDescent="0.3">
      <c r="G6601" s="101"/>
      <c r="H6601" s="101"/>
      <c r="I6601" s="101"/>
      <c r="K6601" s="226"/>
      <c r="L6601" s="226"/>
      <c r="M6601" s="101"/>
      <c r="N6601" s="101"/>
    </row>
    <row r="6602" spans="7:14" hidden="1" x14ac:dyDescent="0.3">
      <c r="G6602" s="101"/>
      <c r="H6602" s="101"/>
      <c r="I6602" s="101"/>
      <c r="K6602" s="226"/>
      <c r="L6602" s="226"/>
      <c r="M6602" s="101"/>
      <c r="N6602" s="101"/>
    </row>
    <row r="6603" spans="7:14" hidden="1" x14ac:dyDescent="0.3">
      <c r="G6603" s="101"/>
      <c r="H6603" s="101"/>
      <c r="I6603" s="101"/>
      <c r="K6603" s="226"/>
      <c r="L6603" s="226"/>
      <c r="M6603" s="101"/>
      <c r="N6603" s="101"/>
    </row>
    <row r="6604" spans="7:14" hidden="1" x14ac:dyDescent="0.3">
      <c r="G6604" s="101"/>
      <c r="H6604" s="101"/>
      <c r="I6604" s="101"/>
      <c r="K6604" s="226"/>
      <c r="L6604" s="226"/>
      <c r="M6604" s="101"/>
      <c r="N6604" s="101"/>
    </row>
    <row r="6605" spans="7:14" hidden="1" x14ac:dyDescent="0.3">
      <c r="G6605" s="101"/>
      <c r="H6605" s="101"/>
      <c r="I6605" s="101"/>
      <c r="K6605" s="226"/>
      <c r="L6605" s="226"/>
      <c r="M6605" s="101"/>
      <c r="N6605" s="101"/>
    </row>
    <row r="6606" spans="7:14" hidden="1" x14ac:dyDescent="0.3">
      <c r="G6606" s="101"/>
      <c r="H6606" s="101"/>
      <c r="I6606" s="101"/>
      <c r="K6606" s="226"/>
      <c r="L6606" s="226"/>
      <c r="M6606" s="101"/>
      <c r="N6606" s="101"/>
    </row>
    <row r="6607" spans="7:14" hidden="1" x14ac:dyDescent="0.3">
      <c r="G6607" s="101"/>
      <c r="H6607" s="101"/>
      <c r="I6607" s="101"/>
      <c r="K6607" s="226"/>
      <c r="L6607" s="226"/>
      <c r="M6607" s="101"/>
      <c r="N6607" s="101"/>
    </row>
    <row r="6608" spans="7:14" hidden="1" x14ac:dyDescent="0.3">
      <c r="G6608" s="101"/>
      <c r="H6608" s="101"/>
      <c r="I6608" s="101"/>
      <c r="K6608" s="226"/>
      <c r="L6608" s="226"/>
      <c r="M6608" s="101"/>
      <c r="N6608" s="101"/>
    </row>
    <row r="6609" spans="7:14" hidden="1" x14ac:dyDescent="0.3">
      <c r="G6609" s="101"/>
      <c r="H6609" s="101"/>
      <c r="I6609" s="101"/>
      <c r="K6609" s="226"/>
      <c r="L6609" s="226"/>
      <c r="M6609" s="101"/>
      <c r="N6609" s="101"/>
    </row>
    <row r="6610" spans="7:14" hidden="1" x14ac:dyDescent="0.3">
      <c r="G6610" s="101"/>
      <c r="H6610" s="101"/>
      <c r="I6610" s="101"/>
      <c r="K6610" s="226"/>
      <c r="L6610" s="226"/>
      <c r="M6610" s="101"/>
      <c r="N6610" s="101"/>
    </row>
    <row r="6611" spans="7:14" hidden="1" x14ac:dyDescent="0.3">
      <c r="G6611" s="101"/>
      <c r="H6611" s="101"/>
      <c r="I6611" s="101"/>
      <c r="K6611" s="226"/>
      <c r="L6611" s="226"/>
      <c r="M6611" s="101"/>
      <c r="N6611" s="101"/>
    </row>
    <row r="6612" spans="7:14" hidden="1" x14ac:dyDescent="0.3">
      <c r="G6612" s="101"/>
      <c r="H6612" s="101"/>
      <c r="I6612" s="101"/>
      <c r="K6612" s="226"/>
      <c r="L6612" s="226"/>
      <c r="M6612" s="101"/>
      <c r="N6612" s="101"/>
    </row>
    <row r="6613" spans="7:14" hidden="1" x14ac:dyDescent="0.3">
      <c r="G6613" s="101"/>
      <c r="H6613" s="101"/>
      <c r="I6613" s="101"/>
      <c r="K6613" s="226"/>
      <c r="L6613" s="226"/>
      <c r="M6613" s="101"/>
      <c r="N6613" s="101"/>
    </row>
    <row r="6614" spans="7:14" hidden="1" x14ac:dyDescent="0.3">
      <c r="G6614" s="101"/>
      <c r="H6614" s="101"/>
      <c r="I6614" s="101"/>
      <c r="K6614" s="226"/>
      <c r="L6614" s="226"/>
      <c r="M6614" s="101"/>
      <c r="N6614" s="101"/>
    </row>
    <row r="6615" spans="7:14" hidden="1" x14ac:dyDescent="0.3">
      <c r="G6615" s="101"/>
      <c r="H6615" s="101"/>
      <c r="I6615" s="101"/>
      <c r="K6615" s="226"/>
      <c r="L6615" s="226"/>
      <c r="M6615" s="101"/>
      <c r="N6615" s="101"/>
    </row>
    <row r="6616" spans="7:14" hidden="1" x14ac:dyDescent="0.3">
      <c r="G6616" s="101"/>
      <c r="H6616" s="101"/>
      <c r="I6616" s="101"/>
      <c r="K6616" s="226"/>
      <c r="L6616" s="226"/>
      <c r="M6616" s="101"/>
      <c r="N6616" s="101"/>
    </row>
    <row r="6617" spans="7:14" hidden="1" x14ac:dyDescent="0.3">
      <c r="G6617" s="101"/>
      <c r="H6617" s="101"/>
      <c r="I6617" s="101"/>
      <c r="K6617" s="226"/>
      <c r="L6617" s="226"/>
      <c r="M6617" s="101"/>
      <c r="N6617" s="101"/>
    </row>
    <row r="6618" spans="7:14" hidden="1" x14ac:dyDescent="0.3">
      <c r="G6618" s="101"/>
      <c r="H6618" s="101"/>
      <c r="I6618" s="101"/>
      <c r="K6618" s="226"/>
      <c r="L6618" s="226"/>
      <c r="M6618" s="101"/>
      <c r="N6618" s="101"/>
    </row>
    <row r="6619" spans="7:14" hidden="1" x14ac:dyDescent="0.3">
      <c r="G6619" s="101"/>
      <c r="H6619" s="101"/>
      <c r="I6619" s="101"/>
      <c r="K6619" s="226"/>
      <c r="L6619" s="226"/>
      <c r="M6619" s="101"/>
      <c r="N6619" s="101"/>
    </row>
    <row r="6620" spans="7:14" hidden="1" x14ac:dyDescent="0.3">
      <c r="G6620" s="101"/>
      <c r="H6620" s="101"/>
      <c r="I6620" s="101"/>
      <c r="K6620" s="226"/>
      <c r="L6620" s="226"/>
      <c r="M6620" s="101"/>
      <c r="N6620" s="101"/>
    </row>
    <row r="6621" spans="7:14" hidden="1" x14ac:dyDescent="0.3">
      <c r="G6621" s="101"/>
      <c r="H6621" s="101"/>
      <c r="I6621" s="101"/>
      <c r="K6621" s="226"/>
      <c r="L6621" s="226"/>
      <c r="M6621" s="101"/>
      <c r="N6621" s="101"/>
    </row>
    <row r="6622" spans="7:14" hidden="1" x14ac:dyDescent="0.3">
      <c r="G6622" s="101"/>
      <c r="H6622" s="101"/>
      <c r="I6622" s="101"/>
      <c r="K6622" s="226"/>
      <c r="L6622" s="226"/>
      <c r="M6622" s="101"/>
      <c r="N6622" s="101"/>
    </row>
    <row r="6623" spans="7:14" hidden="1" x14ac:dyDescent="0.3">
      <c r="G6623" s="101"/>
      <c r="H6623" s="101"/>
      <c r="I6623" s="101"/>
      <c r="K6623" s="226"/>
      <c r="L6623" s="226"/>
      <c r="M6623" s="101"/>
      <c r="N6623" s="101"/>
    </row>
    <row r="6624" spans="7:14" hidden="1" x14ac:dyDescent="0.3">
      <c r="G6624" s="101"/>
      <c r="H6624" s="101"/>
      <c r="I6624" s="101"/>
      <c r="K6624" s="226"/>
      <c r="L6624" s="226"/>
      <c r="M6624" s="101"/>
      <c r="N6624" s="101"/>
    </row>
    <row r="6625" spans="7:14" hidden="1" x14ac:dyDescent="0.3">
      <c r="G6625" s="101"/>
      <c r="H6625" s="101"/>
      <c r="I6625" s="101"/>
      <c r="K6625" s="226"/>
      <c r="L6625" s="226"/>
      <c r="M6625" s="101"/>
      <c r="N6625" s="101"/>
    </row>
    <row r="6626" spans="7:14" hidden="1" x14ac:dyDescent="0.3">
      <c r="G6626" s="101"/>
      <c r="H6626" s="101"/>
      <c r="I6626" s="101"/>
      <c r="K6626" s="226"/>
      <c r="L6626" s="226"/>
      <c r="M6626" s="101"/>
      <c r="N6626" s="101"/>
    </row>
    <row r="6627" spans="7:14" hidden="1" x14ac:dyDescent="0.3">
      <c r="G6627" s="101"/>
      <c r="H6627" s="101"/>
      <c r="I6627" s="101"/>
      <c r="K6627" s="226"/>
      <c r="L6627" s="226"/>
      <c r="M6627" s="101"/>
      <c r="N6627" s="101"/>
    </row>
    <row r="6628" spans="7:14" hidden="1" x14ac:dyDescent="0.3">
      <c r="G6628" s="101"/>
      <c r="H6628" s="101"/>
      <c r="I6628" s="101"/>
      <c r="K6628" s="226"/>
      <c r="L6628" s="226"/>
      <c r="M6628" s="101"/>
      <c r="N6628" s="101"/>
    </row>
    <row r="6629" spans="7:14" hidden="1" x14ac:dyDescent="0.3">
      <c r="G6629" s="101"/>
      <c r="H6629" s="101"/>
      <c r="I6629" s="101"/>
      <c r="K6629" s="226"/>
      <c r="L6629" s="226"/>
      <c r="M6629" s="101"/>
      <c r="N6629" s="101"/>
    </row>
    <row r="6630" spans="7:14" hidden="1" x14ac:dyDescent="0.3">
      <c r="G6630" s="101"/>
      <c r="H6630" s="101"/>
      <c r="I6630" s="101"/>
      <c r="K6630" s="226"/>
      <c r="L6630" s="226"/>
      <c r="M6630" s="101"/>
      <c r="N6630" s="101"/>
    </row>
    <row r="6631" spans="7:14" hidden="1" x14ac:dyDescent="0.3">
      <c r="G6631" s="101"/>
      <c r="H6631" s="101"/>
      <c r="I6631" s="101"/>
      <c r="K6631" s="226"/>
      <c r="L6631" s="226"/>
      <c r="M6631" s="101"/>
      <c r="N6631" s="101"/>
    </row>
    <row r="6632" spans="7:14" hidden="1" x14ac:dyDescent="0.3">
      <c r="G6632" s="101"/>
      <c r="H6632" s="101"/>
      <c r="I6632" s="101"/>
      <c r="K6632" s="226"/>
      <c r="L6632" s="226"/>
      <c r="M6632" s="101"/>
      <c r="N6632" s="101"/>
    </row>
    <row r="6633" spans="7:14" hidden="1" x14ac:dyDescent="0.3">
      <c r="G6633" s="101"/>
      <c r="H6633" s="101"/>
      <c r="I6633" s="101"/>
      <c r="K6633" s="226"/>
      <c r="L6633" s="226"/>
      <c r="M6633" s="101"/>
      <c r="N6633" s="101"/>
    </row>
    <row r="6634" spans="7:14" hidden="1" x14ac:dyDescent="0.3">
      <c r="G6634" s="101"/>
      <c r="H6634" s="101"/>
      <c r="I6634" s="101"/>
      <c r="K6634" s="226"/>
      <c r="L6634" s="226"/>
      <c r="M6634" s="101"/>
      <c r="N6634" s="101"/>
    </row>
    <row r="6635" spans="7:14" hidden="1" x14ac:dyDescent="0.3">
      <c r="G6635" s="101"/>
      <c r="H6635" s="101"/>
      <c r="I6635" s="101"/>
      <c r="K6635" s="226"/>
      <c r="L6635" s="226"/>
      <c r="M6635" s="101"/>
      <c r="N6635" s="101"/>
    </row>
    <row r="6636" spans="7:14" hidden="1" x14ac:dyDescent="0.3">
      <c r="G6636" s="101"/>
      <c r="H6636" s="101"/>
      <c r="I6636" s="101"/>
      <c r="K6636" s="226"/>
      <c r="L6636" s="226"/>
      <c r="M6636" s="101"/>
      <c r="N6636" s="101"/>
    </row>
    <row r="6637" spans="7:14" hidden="1" x14ac:dyDescent="0.3">
      <c r="G6637" s="101"/>
      <c r="H6637" s="101"/>
      <c r="I6637" s="101"/>
      <c r="K6637" s="226"/>
      <c r="L6637" s="226"/>
      <c r="M6637" s="101"/>
      <c r="N6637" s="101"/>
    </row>
    <row r="6638" spans="7:14" hidden="1" x14ac:dyDescent="0.3">
      <c r="G6638" s="101"/>
      <c r="H6638" s="101"/>
      <c r="I6638" s="101"/>
      <c r="K6638" s="226"/>
      <c r="L6638" s="226"/>
      <c r="M6638" s="101"/>
      <c r="N6638" s="101"/>
    </row>
    <row r="6639" spans="7:14" hidden="1" x14ac:dyDescent="0.3">
      <c r="G6639" s="101"/>
      <c r="H6639" s="101"/>
      <c r="I6639" s="101"/>
      <c r="K6639" s="226"/>
      <c r="L6639" s="226"/>
      <c r="M6639" s="101"/>
      <c r="N6639" s="101"/>
    </row>
    <row r="6640" spans="7:14" hidden="1" x14ac:dyDescent="0.3">
      <c r="G6640" s="101"/>
      <c r="H6640" s="101"/>
      <c r="I6640" s="101"/>
      <c r="K6640" s="226"/>
      <c r="L6640" s="226"/>
      <c r="M6640" s="101"/>
      <c r="N6640" s="101"/>
    </row>
    <row r="6641" spans="7:14" hidden="1" x14ac:dyDescent="0.3">
      <c r="G6641" s="101"/>
      <c r="H6641" s="101"/>
      <c r="I6641" s="101"/>
      <c r="K6641" s="226"/>
      <c r="L6641" s="226"/>
      <c r="M6641" s="101"/>
      <c r="N6641" s="101"/>
    </row>
    <row r="6642" spans="7:14" hidden="1" x14ac:dyDescent="0.3">
      <c r="G6642" s="101"/>
      <c r="H6642" s="101"/>
      <c r="I6642" s="101"/>
      <c r="K6642" s="226"/>
      <c r="L6642" s="226"/>
      <c r="M6642" s="101"/>
      <c r="N6642" s="101"/>
    </row>
    <row r="6643" spans="7:14" hidden="1" x14ac:dyDescent="0.3">
      <c r="G6643" s="101"/>
      <c r="H6643" s="101"/>
      <c r="I6643" s="101"/>
      <c r="K6643" s="226"/>
      <c r="L6643" s="226"/>
      <c r="M6643" s="101"/>
      <c r="N6643" s="101"/>
    </row>
    <row r="6644" spans="7:14" hidden="1" x14ac:dyDescent="0.3">
      <c r="G6644" s="101"/>
      <c r="H6644" s="101"/>
      <c r="I6644" s="101"/>
      <c r="K6644" s="226"/>
      <c r="L6644" s="226"/>
      <c r="M6644" s="101"/>
      <c r="N6644" s="101"/>
    </row>
    <row r="6645" spans="7:14" hidden="1" x14ac:dyDescent="0.3">
      <c r="G6645" s="101"/>
      <c r="H6645" s="101"/>
      <c r="I6645" s="101"/>
      <c r="K6645" s="226"/>
      <c r="L6645" s="226"/>
      <c r="M6645" s="101"/>
      <c r="N6645" s="101"/>
    </row>
    <row r="6646" spans="7:14" hidden="1" x14ac:dyDescent="0.3">
      <c r="G6646" s="101"/>
      <c r="H6646" s="101"/>
      <c r="I6646" s="101"/>
      <c r="K6646" s="226"/>
      <c r="L6646" s="226"/>
      <c r="M6646" s="101"/>
      <c r="N6646" s="101"/>
    </row>
    <row r="6647" spans="7:14" hidden="1" x14ac:dyDescent="0.3">
      <c r="G6647" s="101"/>
      <c r="H6647" s="101"/>
      <c r="I6647" s="101"/>
      <c r="K6647" s="226"/>
      <c r="L6647" s="226"/>
      <c r="M6647" s="101"/>
      <c r="N6647" s="101"/>
    </row>
    <row r="6648" spans="7:14" hidden="1" x14ac:dyDescent="0.3">
      <c r="G6648" s="101"/>
      <c r="H6648" s="101"/>
      <c r="I6648" s="101"/>
      <c r="K6648" s="226"/>
      <c r="L6648" s="226"/>
      <c r="M6648" s="101"/>
      <c r="N6648" s="101"/>
    </row>
    <row r="6649" spans="7:14" hidden="1" x14ac:dyDescent="0.3">
      <c r="G6649" s="101"/>
      <c r="H6649" s="101"/>
      <c r="I6649" s="101"/>
      <c r="K6649" s="226"/>
      <c r="L6649" s="226"/>
      <c r="M6649" s="101"/>
      <c r="N6649" s="101"/>
    </row>
    <row r="6650" spans="7:14" hidden="1" x14ac:dyDescent="0.3">
      <c r="G6650" s="101"/>
      <c r="H6650" s="101"/>
      <c r="I6650" s="101"/>
      <c r="K6650" s="226"/>
      <c r="L6650" s="226"/>
      <c r="M6650" s="101"/>
      <c r="N6650" s="101"/>
    </row>
    <row r="6651" spans="7:14" hidden="1" x14ac:dyDescent="0.3">
      <c r="G6651" s="101"/>
      <c r="H6651" s="101"/>
      <c r="I6651" s="101"/>
      <c r="K6651" s="226"/>
      <c r="L6651" s="226"/>
      <c r="M6651" s="101"/>
      <c r="N6651" s="101"/>
    </row>
    <row r="6652" spans="7:14" hidden="1" x14ac:dyDescent="0.3">
      <c r="G6652" s="101"/>
      <c r="H6652" s="101"/>
      <c r="I6652" s="101"/>
      <c r="K6652" s="226"/>
      <c r="L6652" s="226"/>
      <c r="M6652" s="101"/>
      <c r="N6652" s="101"/>
    </row>
    <row r="6653" spans="7:14" hidden="1" x14ac:dyDescent="0.3">
      <c r="G6653" s="101"/>
      <c r="H6653" s="101"/>
      <c r="I6653" s="101"/>
      <c r="K6653" s="226"/>
      <c r="L6653" s="226"/>
      <c r="M6653" s="101"/>
      <c r="N6653" s="101"/>
    </row>
    <row r="6654" spans="7:14" hidden="1" x14ac:dyDescent="0.3">
      <c r="G6654" s="101"/>
      <c r="H6654" s="101"/>
      <c r="I6654" s="101"/>
      <c r="K6654" s="226"/>
      <c r="L6654" s="226"/>
      <c r="M6654" s="101"/>
      <c r="N6654" s="101"/>
    </row>
    <row r="6655" spans="7:14" hidden="1" x14ac:dyDescent="0.3">
      <c r="G6655" s="101"/>
      <c r="H6655" s="101"/>
      <c r="I6655" s="101"/>
      <c r="K6655" s="226"/>
      <c r="L6655" s="226"/>
      <c r="M6655" s="101"/>
      <c r="N6655" s="101"/>
    </row>
    <row r="6656" spans="7:14" hidden="1" x14ac:dyDescent="0.3">
      <c r="G6656" s="101"/>
      <c r="H6656" s="101"/>
      <c r="I6656" s="101"/>
      <c r="K6656" s="226"/>
      <c r="L6656" s="226"/>
      <c r="M6656" s="101"/>
      <c r="N6656" s="101"/>
    </row>
    <row r="6657" spans="7:14" hidden="1" x14ac:dyDescent="0.3">
      <c r="G6657" s="101"/>
      <c r="H6657" s="101"/>
      <c r="I6657" s="101"/>
      <c r="K6657" s="226"/>
      <c r="L6657" s="226"/>
      <c r="M6657" s="101"/>
      <c r="N6657" s="101"/>
    </row>
    <row r="6658" spans="7:14" hidden="1" x14ac:dyDescent="0.3">
      <c r="G6658" s="101"/>
      <c r="H6658" s="101"/>
      <c r="I6658" s="101"/>
      <c r="K6658" s="226"/>
      <c r="L6658" s="226"/>
      <c r="M6658" s="101"/>
      <c r="N6658" s="101"/>
    </row>
    <row r="6659" spans="7:14" hidden="1" x14ac:dyDescent="0.3">
      <c r="G6659" s="101"/>
      <c r="H6659" s="101"/>
      <c r="I6659" s="101"/>
      <c r="K6659" s="226"/>
      <c r="L6659" s="226"/>
      <c r="M6659" s="101"/>
      <c r="N6659" s="101"/>
    </row>
    <row r="6660" spans="7:14" hidden="1" x14ac:dyDescent="0.3">
      <c r="G6660" s="101"/>
      <c r="H6660" s="101"/>
      <c r="I6660" s="101"/>
      <c r="K6660" s="226"/>
      <c r="L6660" s="226"/>
      <c r="M6660" s="101"/>
      <c r="N6660" s="101"/>
    </row>
    <row r="6661" spans="7:14" hidden="1" x14ac:dyDescent="0.3">
      <c r="G6661" s="101"/>
      <c r="H6661" s="101"/>
      <c r="I6661" s="101"/>
      <c r="K6661" s="226"/>
      <c r="L6661" s="226"/>
      <c r="M6661" s="101"/>
      <c r="N6661" s="101"/>
    </row>
    <row r="6662" spans="7:14" hidden="1" x14ac:dyDescent="0.3">
      <c r="G6662" s="101"/>
      <c r="H6662" s="101"/>
      <c r="I6662" s="101"/>
      <c r="K6662" s="226"/>
      <c r="L6662" s="226"/>
      <c r="M6662" s="101"/>
      <c r="N6662" s="101"/>
    </row>
    <row r="6663" spans="7:14" hidden="1" x14ac:dyDescent="0.3">
      <c r="G6663" s="101"/>
      <c r="H6663" s="101"/>
      <c r="I6663" s="101"/>
      <c r="K6663" s="226"/>
      <c r="L6663" s="226"/>
      <c r="M6663" s="101"/>
      <c r="N6663" s="101"/>
    </row>
    <row r="6664" spans="7:14" hidden="1" x14ac:dyDescent="0.3">
      <c r="G6664" s="101"/>
      <c r="H6664" s="101"/>
      <c r="I6664" s="101"/>
      <c r="K6664" s="226"/>
      <c r="L6664" s="226"/>
      <c r="M6664" s="101"/>
      <c r="N6664" s="101"/>
    </row>
    <row r="6665" spans="7:14" hidden="1" x14ac:dyDescent="0.3">
      <c r="G6665" s="101"/>
      <c r="H6665" s="101"/>
      <c r="I6665" s="101"/>
      <c r="K6665" s="226"/>
      <c r="L6665" s="226"/>
      <c r="M6665" s="101"/>
      <c r="N6665" s="101"/>
    </row>
    <row r="6666" spans="7:14" hidden="1" x14ac:dyDescent="0.3">
      <c r="G6666" s="101"/>
      <c r="H6666" s="101"/>
      <c r="I6666" s="101"/>
      <c r="K6666" s="226"/>
      <c r="L6666" s="226"/>
      <c r="M6666" s="101"/>
      <c r="N6666" s="101"/>
    </row>
    <row r="6667" spans="7:14" hidden="1" x14ac:dyDescent="0.3">
      <c r="G6667" s="101"/>
      <c r="H6667" s="101"/>
      <c r="I6667" s="101"/>
      <c r="K6667" s="226"/>
      <c r="L6667" s="226"/>
      <c r="M6667" s="101"/>
      <c r="N6667" s="101"/>
    </row>
    <row r="6668" spans="7:14" hidden="1" x14ac:dyDescent="0.3">
      <c r="G6668" s="101"/>
      <c r="H6668" s="101"/>
      <c r="I6668" s="101"/>
      <c r="K6668" s="226"/>
      <c r="L6668" s="226"/>
      <c r="M6668" s="101"/>
      <c r="N6668" s="101"/>
    </row>
    <row r="6669" spans="7:14" hidden="1" x14ac:dyDescent="0.3">
      <c r="G6669" s="101"/>
      <c r="H6669" s="101"/>
      <c r="I6669" s="101"/>
      <c r="K6669" s="226"/>
      <c r="L6669" s="226"/>
      <c r="M6669" s="101"/>
      <c r="N6669" s="101"/>
    </row>
    <row r="6670" spans="7:14" hidden="1" x14ac:dyDescent="0.3">
      <c r="G6670" s="101"/>
      <c r="H6670" s="101"/>
      <c r="I6670" s="101"/>
      <c r="K6670" s="226"/>
      <c r="L6670" s="226"/>
      <c r="M6670" s="101"/>
      <c r="N6670" s="101"/>
    </row>
    <row r="6671" spans="7:14" hidden="1" x14ac:dyDescent="0.3">
      <c r="G6671" s="101"/>
      <c r="H6671" s="101"/>
      <c r="I6671" s="101"/>
      <c r="K6671" s="226"/>
      <c r="L6671" s="226"/>
      <c r="M6671" s="101"/>
      <c r="N6671" s="101"/>
    </row>
    <row r="6672" spans="7:14" hidden="1" x14ac:dyDescent="0.3">
      <c r="G6672" s="101"/>
      <c r="H6672" s="101"/>
      <c r="I6672" s="101"/>
      <c r="K6672" s="226"/>
      <c r="L6672" s="226"/>
      <c r="M6672" s="101"/>
      <c r="N6672" s="101"/>
    </row>
    <row r="6673" spans="7:14" hidden="1" x14ac:dyDescent="0.3">
      <c r="G6673" s="101"/>
      <c r="H6673" s="101"/>
      <c r="I6673" s="101"/>
      <c r="K6673" s="226"/>
      <c r="L6673" s="226"/>
      <c r="M6673" s="101"/>
      <c r="N6673" s="101"/>
    </row>
    <row r="6674" spans="7:14" hidden="1" x14ac:dyDescent="0.3">
      <c r="G6674" s="101"/>
      <c r="H6674" s="101"/>
      <c r="I6674" s="101"/>
      <c r="K6674" s="226"/>
      <c r="L6674" s="226"/>
      <c r="M6674" s="101"/>
      <c r="N6674" s="101"/>
    </row>
    <row r="6675" spans="7:14" hidden="1" x14ac:dyDescent="0.3">
      <c r="G6675" s="101"/>
      <c r="H6675" s="101"/>
      <c r="I6675" s="101"/>
      <c r="K6675" s="226"/>
      <c r="L6675" s="226"/>
      <c r="M6675" s="101"/>
      <c r="N6675" s="101"/>
    </row>
    <row r="6676" spans="7:14" hidden="1" x14ac:dyDescent="0.3">
      <c r="G6676" s="101"/>
      <c r="H6676" s="101"/>
      <c r="I6676" s="101"/>
      <c r="K6676" s="226"/>
      <c r="L6676" s="226"/>
      <c r="M6676" s="101"/>
      <c r="N6676" s="101"/>
    </row>
    <row r="6677" spans="7:14" hidden="1" x14ac:dyDescent="0.3">
      <c r="G6677" s="101"/>
      <c r="H6677" s="101"/>
      <c r="I6677" s="101"/>
      <c r="K6677" s="226"/>
      <c r="L6677" s="226"/>
      <c r="M6677" s="101"/>
      <c r="N6677" s="101"/>
    </row>
    <row r="6678" spans="7:14" hidden="1" x14ac:dyDescent="0.3">
      <c r="G6678" s="101"/>
      <c r="H6678" s="101"/>
      <c r="I6678" s="101"/>
      <c r="K6678" s="226"/>
      <c r="L6678" s="226"/>
      <c r="M6678" s="101"/>
      <c r="N6678" s="101"/>
    </row>
    <row r="6679" spans="7:14" hidden="1" x14ac:dyDescent="0.3">
      <c r="G6679" s="101"/>
      <c r="H6679" s="101"/>
      <c r="I6679" s="101"/>
      <c r="K6679" s="226"/>
      <c r="L6679" s="226"/>
      <c r="M6679" s="101"/>
      <c r="N6679" s="101"/>
    </row>
    <row r="6680" spans="7:14" hidden="1" x14ac:dyDescent="0.3">
      <c r="G6680" s="101"/>
      <c r="H6680" s="101"/>
      <c r="I6680" s="101"/>
      <c r="K6680" s="226"/>
      <c r="L6680" s="226"/>
      <c r="M6680" s="101"/>
      <c r="N6680" s="101"/>
    </row>
    <row r="6681" spans="7:14" hidden="1" x14ac:dyDescent="0.3">
      <c r="G6681" s="101"/>
      <c r="H6681" s="101"/>
      <c r="I6681" s="101"/>
      <c r="K6681" s="226"/>
      <c r="L6681" s="226"/>
      <c r="M6681" s="101"/>
      <c r="N6681" s="101"/>
    </row>
    <row r="6682" spans="7:14" hidden="1" x14ac:dyDescent="0.3">
      <c r="G6682" s="101"/>
      <c r="H6682" s="101"/>
      <c r="I6682" s="101"/>
      <c r="K6682" s="226"/>
      <c r="L6682" s="226"/>
      <c r="M6682" s="101"/>
      <c r="N6682" s="101"/>
    </row>
    <row r="6683" spans="7:14" hidden="1" x14ac:dyDescent="0.3">
      <c r="G6683" s="101"/>
      <c r="H6683" s="101"/>
      <c r="I6683" s="101"/>
      <c r="K6683" s="226"/>
      <c r="L6683" s="226"/>
      <c r="M6683" s="101"/>
      <c r="N6683" s="101"/>
    </row>
    <row r="6684" spans="7:14" hidden="1" x14ac:dyDescent="0.3">
      <c r="G6684" s="101"/>
      <c r="H6684" s="101"/>
      <c r="I6684" s="101"/>
      <c r="K6684" s="226"/>
      <c r="L6684" s="226"/>
      <c r="M6684" s="101"/>
      <c r="N6684" s="101"/>
    </row>
    <row r="6685" spans="7:14" hidden="1" x14ac:dyDescent="0.3">
      <c r="G6685" s="101"/>
      <c r="H6685" s="101"/>
      <c r="I6685" s="101"/>
      <c r="K6685" s="226"/>
      <c r="L6685" s="226"/>
      <c r="M6685" s="101"/>
      <c r="N6685" s="101"/>
    </row>
    <row r="6686" spans="7:14" hidden="1" x14ac:dyDescent="0.3">
      <c r="G6686" s="101"/>
      <c r="H6686" s="101"/>
      <c r="I6686" s="101"/>
      <c r="K6686" s="226"/>
      <c r="L6686" s="226"/>
      <c r="M6686" s="101"/>
      <c r="N6686" s="101"/>
    </row>
    <row r="6687" spans="7:14" hidden="1" x14ac:dyDescent="0.3">
      <c r="G6687" s="101"/>
      <c r="H6687" s="101"/>
      <c r="I6687" s="101"/>
      <c r="K6687" s="226"/>
      <c r="L6687" s="226"/>
      <c r="M6687" s="101"/>
      <c r="N6687" s="101"/>
    </row>
    <row r="6688" spans="7:14" hidden="1" x14ac:dyDescent="0.3">
      <c r="G6688" s="101"/>
      <c r="H6688" s="101"/>
      <c r="I6688" s="101"/>
      <c r="K6688" s="226"/>
      <c r="L6688" s="226"/>
      <c r="M6688" s="101"/>
      <c r="N6688" s="101"/>
    </row>
    <row r="6689" spans="7:14" hidden="1" x14ac:dyDescent="0.3">
      <c r="G6689" s="101"/>
      <c r="H6689" s="101"/>
      <c r="I6689" s="101"/>
      <c r="K6689" s="226"/>
      <c r="L6689" s="226"/>
      <c r="M6689" s="101"/>
      <c r="N6689" s="101"/>
    </row>
    <row r="6690" spans="7:14" hidden="1" x14ac:dyDescent="0.3">
      <c r="G6690" s="101"/>
      <c r="H6690" s="101"/>
      <c r="I6690" s="101"/>
      <c r="K6690" s="226"/>
      <c r="L6690" s="226"/>
      <c r="M6690" s="101"/>
      <c r="N6690" s="101"/>
    </row>
    <row r="6691" spans="7:14" hidden="1" x14ac:dyDescent="0.3">
      <c r="G6691" s="101"/>
      <c r="H6691" s="101"/>
      <c r="I6691" s="101"/>
      <c r="K6691" s="226"/>
      <c r="L6691" s="226"/>
      <c r="M6691" s="101"/>
      <c r="N6691" s="101"/>
    </row>
    <row r="6692" spans="7:14" hidden="1" x14ac:dyDescent="0.3">
      <c r="G6692" s="101"/>
      <c r="H6692" s="101"/>
      <c r="I6692" s="101"/>
      <c r="K6692" s="226"/>
      <c r="L6692" s="226"/>
      <c r="M6692" s="101"/>
      <c r="N6692" s="101"/>
    </row>
    <row r="6693" spans="7:14" hidden="1" x14ac:dyDescent="0.3">
      <c r="G6693" s="101"/>
      <c r="H6693" s="101"/>
      <c r="I6693" s="101"/>
      <c r="K6693" s="226"/>
      <c r="L6693" s="226"/>
      <c r="M6693" s="101"/>
      <c r="N6693" s="101"/>
    </row>
    <row r="6694" spans="7:14" hidden="1" x14ac:dyDescent="0.3">
      <c r="G6694" s="101"/>
      <c r="H6694" s="101"/>
      <c r="I6694" s="101"/>
      <c r="K6694" s="226"/>
      <c r="L6694" s="226"/>
      <c r="M6694" s="101"/>
      <c r="N6694" s="101"/>
    </row>
    <row r="6695" spans="7:14" hidden="1" x14ac:dyDescent="0.3">
      <c r="G6695" s="101"/>
      <c r="H6695" s="101"/>
      <c r="I6695" s="101"/>
      <c r="K6695" s="226"/>
      <c r="L6695" s="226"/>
      <c r="M6695" s="101"/>
      <c r="N6695" s="101"/>
    </row>
    <row r="6696" spans="7:14" hidden="1" x14ac:dyDescent="0.3">
      <c r="G6696" s="101"/>
      <c r="H6696" s="101"/>
      <c r="I6696" s="101"/>
      <c r="K6696" s="226"/>
      <c r="L6696" s="226"/>
      <c r="M6696" s="101"/>
      <c r="N6696" s="101"/>
    </row>
    <row r="6697" spans="7:14" hidden="1" x14ac:dyDescent="0.3">
      <c r="G6697" s="101"/>
      <c r="H6697" s="101"/>
      <c r="I6697" s="101"/>
      <c r="K6697" s="226"/>
      <c r="L6697" s="226"/>
      <c r="M6697" s="101"/>
      <c r="N6697" s="101"/>
    </row>
    <row r="6698" spans="7:14" hidden="1" x14ac:dyDescent="0.3">
      <c r="G6698" s="101"/>
      <c r="H6698" s="101"/>
      <c r="I6698" s="101"/>
      <c r="K6698" s="226"/>
      <c r="L6698" s="226"/>
      <c r="M6698" s="101"/>
      <c r="N6698" s="101"/>
    </row>
    <row r="6699" spans="7:14" hidden="1" x14ac:dyDescent="0.3">
      <c r="G6699" s="101"/>
      <c r="H6699" s="101"/>
      <c r="I6699" s="101"/>
      <c r="K6699" s="226"/>
      <c r="L6699" s="226"/>
      <c r="M6699" s="101"/>
      <c r="N6699" s="101"/>
    </row>
    <row r="6700" spans="7:14" hidden="1" x14ac:dyDescent="0.3">
      <c r="G6700" s="101"/>
      <c r="H6700" s="101"/>
      <c r="I6700" s="101"/>
      <c r="K6700" s="226"/>
      <c r="L6700" s="226"/>
      <c r="M6700" s="101"/>
      <c r="N6700" s="101"/>
    </row>
    <row r="6701" spans="7:14" hidden="1" x14ac:dyDescent="0.3">
      <c r="G6701" s="101"/>
      <c r="H6701" s="101"/>
      <c r="I6701" s="101"/>
      <c r="K6701" s="226"/>
      <c r="L6701" s="226"/>
      <c r="M6701" s="101"/>
      <c r="N6701" s="101"/>
    </row>
    <row r="6702" spans="7:14" hidden="1" x14ac:dyDescent="0.3">
      <c r="G6702" s="101"/>
      <c r="H6702" s="101"/>
      <c r="I6702" s="101"/>
      <c r="K6702" s="226"/>
      <c r="L6702" s="226"/>
      <c r="M6702" s="101"/>
      <c r="N6702" s="101"/>
    </row>
    <row r="6703" spans="7:14" hidden="1" x14ac:dyDescent="0.3">
      <c r="G6703" s="101"/>
      <c r="H6703" s="101"/>
      <c r="I6703" s="101"/>
      <c r="K6703" s="226"/>
      <c r="L6703" s="226"/>
      <c r="M6703" s="101"/>
      <c r="N6703" s="101"/>
    </row>
    <row r="6704" spans="7:14" hidden="1" x14ac:dyDescent="0.3">
      <c r="G6704" s="101"/>
      <c r="H6704" s="101"/>
      <c r="I6704" s="101"/>
      <c r="K6704" s="226"/>
      <c r="L6704" s="226"/>
      <c r="M6704" s="101"/>
      <c r="N6704" s="101"/>
    </row>
    <row r="6705" spans="7:14" hidden="1" x14ac:dyDescent="0.3">
      <c r="G6705" s="101"/>
      <c r="H6705" s="101"/>
      <c r="I6705" s="101"/>
      <c r="K6705" s="226"/>
      <c r="L6705" s="226"/>
      <c r="M6705" s="101"/>
      <c r="N6705" s="101"/>
    </row>
    <row r="6706" spans="7:14" hidden="1" x14ac:dyDescent="0.3">
      <c r="G6706" s="101"/>
      <c r="H6706" s="101"/>
      <c r="I6706" s="101"/>
      <c r="K6706" s="226"/>
      <c r="L6706" s="226"/>
      <c r="M6706" s="101"/>
      <c r="N6706" s="101"/>
    </row>
    <row r="6707" spans="7:14" hidden="1" x14ac:dyDescent="0.3">
      <c r="G6707" s="101"/>
      <c r="H6707" s="101"/>
      <c r="I6707" s="101"/>
      <c r="K6707" s="226"/>
      <c r="L6707" s="226"/>
      <c r="M6707" s="101"/>
      <c r="N6707" s="101"/>
    </row>
    <row r="6708" spans="7:14" hidden="1" x14ac:dyDescent="0.3">
      <c r="G6708" s="101"/>
      <c r="H6708" s="101"/>
      <c r="I6708" s="101"/>
      <c r="K6708" s="226"/>
      <c r="L6708" s="226"/>
      <c r="M6708" s="101"/>
      <c r="N6708" s="101"/>
    </row>
    <row r="6709" spans="7:14" hidden="1" x14ac:dyDescent="0.3">
      <c r="G6709" s="101"/>
      <c r="H6709" s="101"/>
      <c r="I6709" s="101"/>
      <c r="K6709" s="226"/>
      <c r="L6709" s="226"/>
      <c r="M6709" s="101"/>
      <c r="N6709" s="101"/>
    </row>
    <row r="6710" spans="7:14" hidden="1" x14ac:dyDescent="0.3">
      <c r="G6710" s="101"/>
      <c r="H6710" s="101"/>
      <c r="I6710" s="101"/>
      <c r="K6710" s="226"/>
      <c r="L6710" s="226"/>
      <c r="M6710" s="101"/>
      <c r="N6710" s="101"/>
    </row>
    <row r="6711" spans="7:14" hidden="1" x14ac:dyDescent="0.3">
      <c r="G6711" s="101"/>
      <c r="H6711" s="101"/>
      <c r="I6711" s="101"/>
      <c r="K6711" s="226"/>
      <c r="L6711" s="226"/>
      <c r="M6711" s="101"/>
      <c r="N6711" s="101"/>
    </row>
    <row r="6712" spans="7:14" hidden="1" x14ac:dyDescent="0.3">
      <c r="G6712" s="101"/>
      <c r="H6712" s="101"/>
      <c r="I6712" s="101"/>
      <c r="K6712" s="226"/>
      <c r="L6712" s="226"/>
      <c r="M6712" s="101"/>
      <c r="N6712" s="101"/>
    </row>
    <row r="6713" spans="7:14" hidden="1" x14ac:dyDescent="0.3">
      <c r="G6713" s="101"/>
      <c r="H6713" s="101"/>
      <c r="I6713" s="101"/>
      <c r="K6713" s="226"/>
      <c r="L6713" s="226"/>
      <c r="M6713" s="101"/>
      <c r="N6713" s="101"/>
    </row>
    <row r="6714" spans="7:14" hidden="1" x14ac:dyDescent="0.3">
      <c r="G6714" s="101"/>
      <c r="H6714" s="101"/>
      <c r="I6714" s="101"/>
      <c r="K6714" s="226"/>
      <c r="L6714" s="226"/>
      <c r="M6714" s="101"/>
      <c r="N6714" s="101"/>
    </row>
    <row r="6715" spans="7:14" hidden="1" x14ac:dyDescent="0.3">
      <c r="G6715" s="101"/>
      <c r="H6715" s="101"/>
      <c r="I6715" s="101"/>
      <c r="K6715" s="226"/>
      <c r="L6715" s="226"/>
      <c r="M6715" s="101"/>
      <c r="N6715" s="101"/>
    </row>
    <row r="6716" spans="7:14" hidden="1" x14ac:dyDescent="0.3">
      <c r="G6716" s="101"/>
      <c r="H6716" s="101"/>
      <c r="I6716" s="101"/>
      <c r="K6716" s="226"/>
      <c r="L6716" s="226"/>
      <c r="M6716" s="101"/>
      <c r="N6716" s="101"/>
    </row>
    <row r="6717" spans="7:14" hidden="1" x14ac:dyDescent="0.3">
      <c r="G6717" s="101"/>
      <c r="H6717" s="101"/>
      <c r="I6717" s="101"/>
      <c r="K6717" s="226"/>
      <c r="L6717" s="226"/>
      <c r="M6717" s="101"/>
      <c r="N6717" s="101"/>
    </row>
    <row r="6718" spans="7:14" hidden="1" x14ac:dyDescent="0.3">
      <c r="G6718" s="101"/>
      <c r="H6718" s="101"/>
      <c r="I6718" s="101"/>
      <c r="K6718" s="226"/>
      <c r="L6718" s="226"/>
      <c r="M6718" s="101"/>
      <c r="N6718" s="101"/>
    </row>
    <row r="6719" spans="7:14" hidden="1" x14ac:dyDescent="0.3">
      <c r="G6719" s="101"/>
      <c r="H6719" s="101"/>
      <c r="I6719" s="101"/>
      <c r="K6719" s="226"/>
      <c r="L6719" s="226"/>
      <c r="M6719" s="101"/>
      <c r="N6719" s="101"/>
    </row>
    <row r="6720" spans="7:14" hidden="1" x14ac:dyDescent="0.3">
      <c r="G6720" s="101"/>
      <c r="H6720" s="101"/>
      <c r="I6720" s="101"/>
      <c r="K6720" s="226"/>
      <c r="L6720" s="226"/>
      <c r="M6720" s="101"/>
      <c r="N6720" s="101"/>
    </row>
    <row r="6721" spans="7:14" hidden="1" x14ac:dyDescent="0.3">
      <c r="G6721" s="101"/>
      <c r="H6721" s="101"/>
      <c r="I6721" s="101"/>
      <c r="K6721" s="226"/>
      <c r="L6721" s="226"/>
      <c r="M6721" s="101"/>
      <c r="N6721" s="101"/>
    </row>
    <row r="6722" spans="7:14" hidden="1" x14ac:dyDescent="0.3">
      <c r="G6722" s="101"/>
      <c r="H6722" s="101"/>
      <c r="I6722" s="101"/>
      <c r="K6722" s="226"/>
      <c r="L6722" s="226"/>
      <c r="M6722" s="101"/>
      <c r="N6722" s="101"/>
    </row>
    <row r="6723" spans="7:14" hidden="1" x14ac:dyDescent="0.3">
      <c r="G6723" s="101"/>
      <c r="H6723" s="101"/>
      <c r="I6723" s="101"/>
      <c r="K6723" s="226"/>
      <c r="L6723" s="226"/>
      <c r="M6723" s="101"/>
      <c r="N6723" s="101"/>
    </row>
    <row r="6724" spans="7:14" hidden="1" x14ac:dyDescent="0.3">
      <c r="G6724" s="101"/>
      <c r="H6724" s="101"/>
      <c r="I6724" s="101"/>
      <c r="K6724" s="226"/>
      <c r="L6724" s="226"/>
      <c r="M6724" s="101"/>
      <c r="N6724" s="101"/>
    </row>
    <row r="6725" spans="7:14" hidden="1" x14ac:dyDescent="0.3">
      <c r="G6725" s="101"/>
      <c r="H6725" s="101"/>
      <c r="I6725" s="101"/>
      <c r="K6725" s="226"/>
      <c r="L6725" s="226"/>
      <c r="M6725" s="101"/>
      <c r="N6725" s="101"/>
    </row>
    <row r="6726" spans="7:14" hidden="1" x14ac:dyDescent="0.3">
      <c r="G6726" s="101"/>
      <c r="H6726" s="101"/>
      <c r="I6726" s="101"/>
      <c r="K6726" s="226"/>
      <c r="L6726" s="226"/>
      <c r="M6726" s="101"/>
      <c r="N6726" s="101"/>
    </row>
    <row r="6727" spans="7:14" hidden="1" x14ac:dyDescent="0.3">
      <c r="G6727" s="101"/>
      <c r="H6727" s="101"/>
      <c r="I6727" s="101"/>
      <c r="K6727" s="226"/>
      <c r="L6727" s="226"/>
      <c r="M6727" s="101"/>
      <c r="N6727" s="101"/>
    </row>
    <row r="6728" spans="7:14" hidden="1" x14ac:dyDescent="0.3">
      <c r="G6728" s="101"/>
      <c r="H6728" s="101"/>
      <c r="I6728" s="101"/>
      <c r="K6728" s="226"/>
      <c r="L6728" s="226"/>
      <c r="M6728" s="101"/>
      <c r="N6728" s="101"/>
    </row>
    <row r="6729" spans="7:14" hidden="1" x14ac:dyDescent="0.3">
      <c r="G6729" s="101"/>
      <c r="H6729" s="101"/>
      <c r="I6729" s="101"/>
      <c r="K6729" s="226"/>
      <c r="L6729" s="226"/>
      <c r="M6729" s="101"/>
      <c r="N6729" s="101"/>
    </row>
    <row r="6730" spans="7:14" hidden="1" x14ac:dyDescent="0.3">
      <c r="G6730" s="101"/>
      <c r="H6730" s="101"/>
      <c r="I6730" s="101"/>
      <c r="K6730" s="226"/>
      <c r="L6730" s="226"/>
      <c r="M6730" s="101"/>
      <c r="N6730" s="101"/>
    </row>
    <row r="6731" spans="7:14" hidden="1" x14ac:dyDescent="0.3">
      <c r="G6731" s="101"/>
      <c r="H6731" s="101"/>
      <c r="I6731" s="101"/>
      <c r="K6731" s="226"/>
      <c r="L6731" s="226"/>
      <c r="M6731" s="101"/>
      <c r="N6731" s="101"/>
    </row>
    <row r="6732" spans="7:14" hidden="1" x14ac:dyDescent="0.3">
      <c r="G6732" s="101"/>
      <c r="H6732" s="101"/>
      <c r="I6732" s="101"/>
      <c r="K6732" s="226"/>
      <c r="L6732" s="226"/>
      <c r="M6732" s="101"/>
      <c r="N6732" s="101"/>
    </row>
    <row r="6733" spans="7:14" hidden="1" x14ac:dyDescent="0.3">
      <c r="G6733" s="101"/>
      <c r="H6733" s="101"/>
      <c r="I6733" s="101"/>
      <c r="K6733" s="226"/>
      <c r="L6733" s="226"/>
      <c r="M6733" s="101"/>
      <c r="N6733" s="101"/>
    </row>
    <row r="6734" spans="7:14" hidden="1" x14ac:dyDescent="0.3">
      <c r="G6734" s="101"/>
      <c r="H6734" s="101"/>
      <c r="I6734" s="101"/>
      <c r="K6734" s="226"/>
      <c r="L6734" s="226"/>
      <c r="M6734" s="101"/>
      <c r="N6734" s="101"/>
    </row>
    <row r="6735" spans="7:14" hidden="1" x14ac:dyDescent="0.3">
      <c r="G6735" s="101"/>
      <c r="H6735" s="101"/>
      <c r="I6735" s="101"/>
      <c r="K6735" s="226"/>
      <c r="L6735" s="226"/>
      <c r="M6735" s="101"/>
      <c r="N6735" s="101"/>
    </row>
    <row r="6736" spans="7:14" hidden="1" x14ac:dyDescent="0.3">
      <c r="G6736" s="101"/>
      <c r="H6736" s="101"/>
      <c r="I6736" s="101"/>
      <c r="K6736" s="226"/>
      <c r="L6736" s="226"/>
      <c r="M6736" s="101"/>
      <c r="N6736" s="101"/>
    </row>
    <row r="6737" spans="7:14" hidden="1" x14ac:dyDescent="0.3">
      <c r="G6737" s="101"/>
      <c r="H6737" s="101"/>
      <c r="I6737" s="101"/>
      <c r="K6737" s="226"/>
      <c r="L6737" s="226"/>
      <c r="M6737" s="101"/>
      <c r="N6737" s="101"/>
    </row>
    <row r="6738" spans="7:14" hidden="1" x14ac:dyDescent="0.3">
      <c r="G6738" s="101"/>
      <c r="H6738" s="101"/>
      <c r="I6738" s="101"/>
      <c r="K6738" s="226"/>
      <c r="L6738" s="226"/>
      <c r="M6738" s="101"/>
      <c r="N6738" s="101"/>
    </row>
    <row r="6739" spans="7:14" hidden="1" x14ac:dyDescent="0.3">
      <c r="G6739" s="101"/>
      <c r="H6739" s="101"/>
      <c r="I6739" s="101"/>
      <c r="K6739" s="226"/>
      <c r="L6739" s="226"/>
      <c r="M6739" s="101"/>
      <c r="N6739" s="101"/>
    </row>
    <row r="6740" spans="7:14" hidden="1" x14ac:dyDescent="0.3">
      <c r="G6740" s="101"/>
      <c r="H6740" s="101"/>
      <c r="I6740" s="101"/>
      <c r="K6740" s="226"/>
      <c r="L6740" s="226"/>
      <c r="M6740" s="101"/>
      <c r="N6740" s="101"/>
    </row>
    <row r="6741" spans="7:14" hidden="1" x14ac:dyDescent="0.3">
      <c r="G6741" s="101"/>
      <c r="H6741" s="101"/>
      <c r="I6741" s="101"/>
      <c r="K6741" s="226"/>
      <c r="L6741" s="226"/>
      <c r="M6741" s="101"/>
      <c r="N6741" s="101"/>
    </row>
    <row r="6742" spans="7:14" hidden="1" x14ac:dyDescent="0.3">
      <c r="G6742" s="101"/>
      <c r="H6742" s="101"/>
      <c r="I6742" s="101"/>
      <c r="K6742" s="226"/>
      <c r="L6742" s="226"/>
      <c r="M6742" s="101"/>
      <c r="N6742" s="101"/>
    </row>
    <row r="6743" spans="7:14" hidden="1" x14ac:dyDescent="0.3">
      <c r="G6743" s="101"/>
      <c r="H6743" s="101"/>
      <c r="I6743" s="101"/>
      <c r="K6743" s="226"/>
      <c r="L6743" s="226"/>
      <c r="M6743" s="101"/>
      <c r="N6743" s="101"/>
    </row>
    <row r="6744" spans="7:14" hidden="1" x14ac:dyDescent="0.3">
      <c r="G6744" s="101"/>
      <c r="H6744" s="101"/>
      <c r="I6744" s="101"/>
      <c r="K6744" s="226"/>
      <c r="L6744" s="226"/>
      <c r="M6744" s="101"/>
      <c r="N6744" s="101"/>
    </row>
    <row r="6745" spans="7:14" hidden="1" x14ac:dyDescent="0.3">
      <c r="G6745" s="101"/>
      <c r="H6745" s="101"/>
      <c r="I6745" s="101"/>
      <c r="K6745" s="226"/>
      <c r="L6745" s="226"/>
      <c r="M6745" s="101"/>
      <c r="N6745" s="101"/>
    </row>
    <row r="6746" spans="7:14" hidden="1" x14ac:dyDescent="0.3">
      <c r="G6746" s="101"/>
      <c r="H6746" s="101"/>
      <c r="I6746" s="101"/>
      <c r="K6746" s="226"/>
      <c r="L6746" s="226"/>
      <c r="M6746" s="101"/>
      <c r="N6746" s="101"/>
    </row>
    <row r="6747" spans="7:14" hidden="1" x14ac:dyDescent="0.3">
      <c r="G6747" s="101"/>
      <c r="H6747" s="101"/>
      <c r="I6747" s="101"/>
      <c r="K6747" s="226"/>
      <c r="L6747" s="226"/>
      <c r="M6747" s="101"/>
      <c r="N6747" s="101"/>
    </row>
    <row r="6748" spans="7:14" hidden="1" x14ac:dyDescent="0.3">
      <c r="G6748" s="101"/>
      <c r="H6748" s="101"/>
      <c r="I6748" s="101"/>
      <c r="K6748" s="226"/>
      <c r="L6748" s="226"/>
      <c r="M6748" s="101"/>
      <c r="N6748" s="101"/>
    </row>
    <row r="6749" spans="7:14" hidden="1" x14ac:dyDescent="0.3">
      <c r="G6749" s="101"/>
      <c r="H6749" s="101"/>
      <c r="I6749" s="101"/>
      <c r="K6749" s="226"/>
      <c r="L6749" s="226"/>
      <c r="M6749" s="101"/>
      <c r="N6749" s="101"/>
    </row>
    <row r="6750" spans="7:14" hidden="1" x14ac:dyDescent="0.3">
      <c r="G6750" s="101"/>
      <c r="H6750" s="101"/>
      <c r="I6750" s="101"/>
      <c r="K6750" s="226"/>
      <c r="L6750" s="226"/>
      <c r="M6750" s="101"/>
      <c r="N6750" s="101"/>
    </row>
    <row r="6751" spans="7:14" hidden="1" x14ac:dyDescent="0.3">
      <c r="G6751" s="101"/>
      <c r="H6751" s="101"/>
      <c r="I6751" s="101"/>
      <c r="K6751" s="226"/>
      <c r="L6751" s="226"/>
      <c r="M6751" s="101"/>
      <c r="N6751" s="101"/>
    </row>
    <row r="6752" spans="7:14" hidden="1" x14ac:dyDescent="0.3">
      <c r="G6752" s="101"/>
      <c r="H6752" s="101"/>
      <c r="I6752" s="101"/>
      <c r="K6752" s="226"/>
      <c r="L6752" s="226"/>
      <c r="M6752" s="101"/>
      <c r="N6752" s="101"/>
    </row>
    <row r="6753" spans="7:14" hidden="1" x14ac:dyDescent="0.3">
      <c r="G6753" s="101"/>
      <c r="H6753" s="101"/>
      <c r="I6753" s="101"/>
      <c r="K6753" s="226"/>
      <c r="L6753" s="226"/>
      <c r="M6753" s="101"/>
      <c r="N6753" s="101"/>
    </row>
    <row r="6754" spans="7:14" hidden="1" x14ac:dyDescent="0.3">
      <c r="G6754" s="101"/>
      <c r="H6754" s="101"/>
      <c r="I6754" s="101"/>
      <c r="K6754" s="226"/>
      <c r="L6754" s="226"/>
      <c r="M6754" s="101"/>
      <c r="N6754" s="101"/>
    </row>
    <row r="6755" spans="7:14" hidden="1" x14ac:dyDescent="0.3">
      <c r="G6755" s="101"/>
      <c r="H6755" s="101"/>
      <c r="I6755" s="101"/>
      <c r="K6755" s="226"/>
      <c r="L6755" s="226"/>
      <c r="M6755" s="101"/>
      <c r="N6755" s="101"/>
    </row>
    <row r="6756" spans="7:14" hidden="1" x14ac:dyDescent="0.3">
      <c r="G6756" s="101"/>
      <c r="H6756" s="101"/>
      <c r="I6756" s="101"/>
      <c r="K6756" s="226"/>
      <c r="L6756" s="226"/>
      <c r="M6756" s="101"/>
      <c r="N6756" s="101"/>
    </row>
    <row r="6757" spans="7:14" hidden="1" x14ac:dyDescent="0.3">
      <c r="G6757" s="101"/>
      <c r="H6757" s="101"/>
      <c r="I6757" s="101"/>
      <c r="K6757" s="226"/>
      <c r="L6757" s="226"/>
      <c r="M6757" s="101"/>
      <c r="N6757" s="101"/>
    </row>
    <row r="6758" spans="7:14" hidden="1" x14ac:dyDescent="0.3">
      <c r="G6758" s="101"/>
      <c r="H6758" s="101"/>
      <c r="I6758" s="101"/>
      <c r="K6758" s="226"/>
      <c r="L6758" s="226"/>
      <c r="M6758" s="101"/>
      <c r="N6758" s="101"/>
    </row>
    <row r="6759" spans="7:14" hidden="1" x14ac:dyDescent="0.3">
      <c r="G6759" s="101"/>
      <c r="H6759" s="101"/>
      <c r="I6759" s="101"/>
      <c r="K6759" s="226"/>
      <c r="L6759" s="226"/>
      <c r="M6759" s="101"/>
      <c r="N6759" s="101"/>
    </row>
    <row r="6760" spans="7:14" hidden="1" x14ac:dyDescent="0.3">
      <c r="G6760" s="101"/>
      <c r="H6760" s="101"/>
      <c r="I6760" s="101"/>
      <c r="K6760" s="226"/>
      <c r="L6760" s="226"/>
      <c r="M6760" s="101"/>
      <c r="N6760" s="101"/>
    </row>
    <row r="6761" spans="7:14" hidden="1" x14ac:dyDescent="0.3">
      <c r="G6761" s="101"/>
      <c r="H6761" s="101"/>
      <c r="I6761" s="101"/>
      <c r="K6761" s="226"/>
      <c r="L6761" s="226"/>
      <c r="M6761" s="101"/>
      <c r="N6761" s="101"/>
    </row>
    <row r="6762" spans="7:14" hidden="1" x14ac:dyDescent="0.3">
      <c r="G6762" s="101"/>
      <c r="H6762" s="101"/>
      <c r="I6762" s="101"/>
      <c r="K6762" s="226"/>
      <c r="L6762" s="226"/>
      <c r="M6762" s="101"/>
      <c r="N6762" s="101"/>
    </row>
    <row r="6763" spans="7:14" hidden="1" x14ac:dyDescent="0.3">
      <c r="G6763" s="101"/>
      <c r="H6763" s="101"/>
      <c r="I6763" s="101"/>
      <c r="K6763" s="226"/>
      <c r="L6763" s="226"/>
      <c r="M6763" s="101"/>
      <c r="N6763" s="101"/>
    </row>
    <row r="6764" spans="7:14" hidden="1" x14ac:dyDescent="0.3">
      <c r="G6764" s="101"/>
      <c r="H6764" s="101"/>
      <c r="I6764" s="101"/>
      <c r="K6764" s="226"/>
      <c r="L6764" s="226"/>
      <c r="M6764" s="101"/>
      <c r="N6764" s="101"/>
    </row>
    <row r="6765" spans="7:14" hidden="1" x14ac:dyDescent="0.3">
      <c r="G6765" s="101"/>
      <c r="H6765" s="101"/>
      <c r="I6765" s="101"/>
      <c r="K6765" s="226"/>
      <c r="L6765" s="226"/>
      <c r="M6765" s="101"/>
      <c r="N6765" s="101"/>
    </row>
    <row r="6766" spans="7:14" hidden="1" x14ac:dyDescent="0.3">
      <c r="G6766" s="101"/>
      <c r="H6766" s="101"/>
      <c r="I6766" s="101"/>
      <c r="K6766" s="226"/>
      <c r="L6766" s="226"/>
      <c r="M6766" s="101"/>
      <c r="N6766" s="101"/>
    </row>
    <row r="6767" spans="7:14" hidden="1" x14ac:dyDescent="0.3">
      <c r="G6767" s="101"/>
      <c r="H6767" s="101"/>
      <c r="I6767" s="101"/>
      <c r="K6767" s="226"/>
      <c r="L6767" s="226"/>
      <c r="M6767" s="101"/>
      <c r="N6767" s="101"/>
    </row>
    <row r="6768" spans="7:14" hidden="1" x14ac:dyDescent="0.3">
      <c r="G6768" s="101"/>
      <c r="H6768" s="101"/>
      <c r="I6768" s="101"/>
      <c r="K6768" s="226"/>
      <c r="L6768" s="226"/>
      <c r="M6768" s="101"/>
      <c r="N6768" s="101"/>
    </row>
    <row r="6769" spans="7:14" hidden="1" x14ac:dyDescent="0.3">
      <c r="G6769" s="101"/>
      <c r="H6769" s="101"/>
      <c r="I6769" s="101"/>
      <c r="K6769" s="226"/>
      <c r="L6769" s="226"/>
      <c r="M6769" s="101"/>
      <c r="N6769" s="101"/>
    </row>
    <row r="6770" spans="7:14" hidden="1" x14ac:dyDescent="0.3">
      <c r="G6770" s="101"/>
      <c r="H6770" s="101"/>
      <c r="I6770" s="101"/>
      <c r="K6770" s="226"/>
      <c r="L6770" s="226"/>
      <c r="M6770" s="101"/>
      <c r="N6770" s="101"/>
    </row>
    <row r="6771" spans="7:14" hidden="1" x14ac:dyDescent="0.3">
      <c r="G6771" s="101"/>
      <c r="H6771" s="101"/>
      <c r="I6771" s="101"/>
      <c r="K6771" s="226"/>
      <c r="L6771" s="226"/>
      <c r="M6771" s="101"/>
      <c r="N6771" s="101"/>
    </row>
    <row r="6772" spans="7:14" hidden="1" x14ac:dyDescent="0.3">
      <c r="G6772" s="101"/>
      <c r="H6772" s="101"/>
      <c r="I6772" s="101"/>
      <c r="K6772" s="226"/>
      <c r="L6772" s="226"/>
      <c r="M6772" s="101"/>
      <c r="N6772" s="101"/>
    </row>
    <row r="6773" spans="7:14" hidden="1" x14ac:dyDescent="0.3">
      <c r="G6773" s="101"/>
      <c r="H6773" s="101"/>
      <c r="I6773" s="101"/>
      <c r="K6773" s="226"/>
      <c r="L6773" s="226"/>
      <c r="M6773" s="101"/>
      <c r="N6773" s="101"/>
    </row>
    <row r="6774" spans="7:14" hidden="1" x14ac:dyDescent="0.3">
      <c r="G6774" s="101"/>
      <c r="H6774" s="101"/>
      <c r="I6774" s="101"/>
      <c r="K6774" s="226"/>
      <c r="L6774" s="226"/>
      <c r="M6774" s="101"/>
      <c r="N6774" s="101"/>
    </row>
    <row r="6775" spans="7:14" hidden="1" x14ac:dyDescent="0.3">
      <c r="G6775" s="101"/>
      <c r="H6775" s="101"/>
      <c r="I6775" s="101"/>
      <c r="K6775" s="226"/>
      <c r="L6775" s="226"/>
      <c r="M6775" s="101"/>
      <c r="N6775" s="101"/>
    </row>
    <row r="6776" spans="7:14" hidden="1" x14ac:dyDescent="0.3">
      <c r="G6776" s="101"/>
      <c r="H6776" s="101"/>
      <c r="I6776" s="101"/>
      <c r="K6776" s="226"/>
      <c r="L6776" s="226"/>
      <c r="M6776" s="101"/>
      <c r="N6776" s="101"/>
    </row>
    <row r="6777" spans="7:14" hidden="1" x14ac:dyDescent="0.3">
      <c r="G6777" s="101"/>
      <c r="H6777" s="101"/>
      <c r="I6777" s="101"/>
      <c r="K6777" s="226"/>
      <c r="L6777" s="226"/>
      <c r="M6777" s="101"/>
      <c r="N6777" s="101"/>
    </row>
    <row r="6778" spans="7:14" hidden="1" x14ac:dyDescent="0.3">
      <c r="G6778" s="101"/>
      <c r="H6778" s="101"/>
      <c r="I6778" s="101"/>
      <c r="K6778" s="226"/>
      <c r="L6778" s="226"/>
      <c r="M6778" s="101"/>
      <c r="N6778" s="101"/>
    </row>
    <row r="6779" spans="7:14" hidden="1" x14ac:dyDescent="0.3">
      <c r="G6779" s="101"/>
      <c r="H6779" s="101"/>
      <c r="I6779" s="101"/>
      <c r="K6779" s="226"/>
      <c r="L6779" s="226"/>
      <c r="M6779" s="101"/>
      <c r="N6779" s="101"/>
    </row>
    <row r="6780" spans="7:14" hidden="1" x14ac:dyDescent="0.3">
      <c r="G6780" s="101"/>
      <c r="H6780" s="101"/>
      <c r="I6780" s="101"/>
      <c r="K6780" s="226"/>
      <c r="L6780" s="226"/>
      <c r="M6780" s="101"/>
      <c r="N6780" s="101"/>
    </row>
    <row r="6781" spans="7:14" hidden="1" x14ac:dyDescent="0.3">
      <c r="G6781" s="101"/>
      <c r="H6781" s="101"/>
      <c r="I6781" s="101"/>
      <c r="K6781" s="226"/>
      <c r="L6781" s="226"/>
      <c r="M6781" s="101"/>
      <c r="N6781" s="101"/>
    </row>
    <row r="6782" spans="7:14" hidden="1" x14ac:dyDescent="0.3">
      <c r="G6782" s="101"/>
      <c r="H6782" s="101"/>
      <c r="I6782" s="101"/>
      <c r="K6782" s="226"/>
      <c r="L6782" s="226"/>
      <c r="M6782" s="101"/>
      <c r="N6782" s="101"/>
    </row>
    <row r="6783" spans="7:14" hidden="1" x14ac:dyDescent="0.3">
      <c r="G6783" s="101"/>
      <c r="H6783" s="101"/>
      <c r="I6783" s="101"/>
      <c r="K6783" s="226"/>
      <c r="L6783" s="226"/>
      <c r="M6783" s="101"/>
      <c r="N6783" s="101"/>
    </row>
    <row r="6784" spans="7:14" hidden="1" x14ac:dyDescent="0.3">
      <c r="G6784" s="101"/>
      <c r="H6784" s="101"/>
      <c r="I6784" s="101"/>
      <c r="K6784" s="226"/>
      <c r="L6784" s="226"/>
      <c r="M6784" s="101"/>
      <c r="N6784" s="101"/>
    </row>
    <row r="6785" spans="7:14" hidden="1" x14ac:dyDescent="0.3">
      <c r="G6785" s="101"/>
      <c r="H6785" s="101"/>
      <c r="I6785" s="101"/>
      <c r="K6785" s="226"/>
      <c r="L6785" s="226"/>
      <c r="M6785" s="101"/>
      <c r="N6785" s="101"/>
    </row>
    <row r="6786" spans="7:14" hidden="1" x14ac:dyDescent="0.3">
      <c r="G6786" s="101"/>
      <c r="H6786" s="101"/>
      <c r="I6786" s="101"/>
      <c r="K6786" s="226"/>
      <c r="L6786" s="226"/>
      <c r="M6786" s="101"/>
      <c r="N6786" s="101"/>
    </row>
    <row r="6787" spans="7:14" hidden="1" x14ac:dyDescent="0.3">
      <c r="G6787" s="101"/>
      <c r="H6787" s="101"/>
      <c r="I6787" s="101"/>
      <c r="K6787" s="226"/>
      <c r="L6787" s="226"/>
      <c r="M6787" s="101"/>
      <c r="N6787" s="101"/>
    </row>
    <row r="6788" spans="7:14" hidden="1" x14ac:dyDescent="0.3">
      <c r="G6788" s="101"/>
      <c r="H6788" s="101"/>
      <c r="I6788" s="101"/>
      <c r="K6788" s="226"/>
      <c r="L6788" s="226"/>
      <c r="M6788" s="101"/>
      <c r="N6788" s="101"/>
    </row>
    <row r="6789" spans="7:14" hidden="1" x14ac:dyDescent="0.3">
      <c r="G6789" s="101"/>
      <c r="H6789" s="101"/>
      <c r="I6789" s="101"/>
      <c r="K6789" s="226"/>
      <c r="L6789" s="226"/>
      <c r="M6789" s="101"/>
      <c r="N6789" s="101"/>
    </row>
    <row r="6790" spans="7:14" hidden="1" x14ac:dyDescent="0.3">
      <c r="G6790" s="101"/>
      <c r="H6790" s="101"/>
      <c r="I6790" s="101"/>
      <c r="K6790" s="226"/>
      <c r="L6790" s="226"/>
      <c r="M6790" s="101"/>
      <c r="N6790" s="101"/>
    </row>
    <row r="6791" spans="7:14" hidden="1" x14ac:dyDescent="0.3">
      <c r="G6791" s="101"/>
      <c r="H6791" s="101"/>
      <c r="I6791" s="101"/>
      <c r="K6791" s="226"/>
      <c r="L6791" s="226"/>
      <c r="M6791" s="101"/>
      <c r="N6791" s="101"/>
    </row>
    <row r="6792" spans="7:14" hidden="1" x14ac:dyDescent="0.3">
      <c r="G6792" s="101"/>
      <c r="H6792" s="101"/>
      <c r="I6792" s="101"/>
      <c r="K6792" s="226"/>
      <c r="L6792" s="226"/>
      <c r="M6792" s="101"/>
      <c r="N6792" s="101"/>
    </row>
    <row r="6793" spans="7:14" hidden="1" x14ac:dyDescent="0.3">
      <c r="G6793" s="101"/>
      <c r="H6793" s="101"/>
      <c r="I6793" s="101"/>
      <c r="K6793" s="226"/>
      <c r="L6793" s="226"/>
      <c r="M6793" s="101"/>
      <c r="N6793" s="101"/>
    </row>
    <row r="6794" spans="7:14" hidden="1" x14ac:dyDescent="0.3">
      <c r="G6794" s="101"/>
      <c r="H6794" s="101"/>
      <c r="I6794" s="101"/>
      <c r="K6794" s="226"/>
      <c r="L6794" s="226"/>
      <c r="M6794" s="101"/>
      <c r="N6794" s="101"/>
    </row>
    <row r="6795" spans="7:14" hidden="1" x14ac:dyDescent="0.3">
      <c r="G6795" s="101"/>
      <c r="H6795" s="101"/>
      <c r="I6795" s="101"/>
      <c r="K6795" s="226"/>
      <c r="L6795" s="226"/>
      <c r="M6795" s="101"/>
      <c r="N6795" s="101"/>
    </row>
    <row r="6796" spans="7:14" hidden="1" x14ac:dyDescent="0.3">
      <c r="G6796" s="101"/>
      <c r="H6796" s="101"/>
      <c r="I6796" s="101"/>
      <c r="K6796" s="226"/>
      <c r="L6796" s="226"/>
      <c r="M6796" s="101"/>
      <c r="N6796" s="101"/>
    </row>
    <row r="6797" spans="7:14" hidden="1" x14ac:dyDescent="0.3">
      <c r="G6797" s="101"/>
      <c r="H6797" s="101"/>
      <c r="I6797" s="101"/>
      <c r="K6797" s="226"/>
      <c r="L6797" s="226"/>
      <c r="M6797" s="101"/>
      <c r="N6797" s="101"/>
    </row>
    <row r="6798" spans="7:14" hidden="1" x14ac:dyDescent="0.3">
      <c r="G6798" s="101"/>
      <c r="H6798" s="101"/>
      <c r="I6798" s="101"/>
      <c r="K6798" s="226"/>
      <c r="L6798" s="226"/>
      <c r="M6798" s="101"/>
      <c r="N6798" s="101"/>
    </row>
    <row r="6799" spans="7:14" hidden="1" x14ac:dyDescent="0.3">
      <c r="G6799" s="101"/>
      <c r="H6799" s="101"/>
      <c r="I6799" s="101"/>
      <c r="K6799" s="226"/>
      <c r="L6799" s="226"/>
      <c r="M6799" s="101"/>
      <c r="N6799" s="101"/>
    </row>
    <row r="6800" spans="7:14" hidden="1" x14ac:dyDescent="0.3">
      <c r="G6800" s="101"/>
      <c r="H6800" s="101"/>
      <c r="I6800" s="101"/>
      <c r="K6800" s="226"/>
      <c r="L6800" s="226"/>
      <c r="M6800" s="101"/>
      <c r="N6800" s="101"/>
    </row>
    <row r="6801" spans="7:14" hidden="1" x14ac:dyDescent="0.3">
      <c r="G6801" s="101"/>
      <c r="H6801" s="101"/>
      <c r="I6801" s="101"/>
      <c r="K6801" s="226"/>
      <c r="L6801" s="226"/>
      <c r="M6801" s="101"/>
      <c r="N6801" s="101"/>
    </row>
    <row r="6802" spans="7:14" hidden="1" x14ac:dyDescent="0.3">
      <c r="G6802" s="101"/>
      <c r="H6802" s="101"/>
      <c r="I6802" s="101"/>
      <c r="K6802" s="226"/>
      <c r="L6802" s="226"/>
      <c r="M6802" s="101"/>
      <c r="N6802" s="101"/>
    </row>
    <row r="6803" spans="7:14" hidden="1" x14ac:dyDescent="0.3">
      <c r="G6803" s="101"/>
      <c r="H6803" s="101"/>
      <c r="I6803" s="101"/>
      <c r="K6803" s="226"/>
      <c r="L6803" s="226"/>
      <c r="M6803" s="101"/>
      <c r="N6803" s="101"/>
    </row>
    <row r="6804" spans="7:14" hidden="1" x14ac:dyDescent="0.3">
      <c r="G6804" s="101"/>
      <c r="H6804" s="101"/>
      <c r="I6804" s="101"/>
      <c r="K6804" s="226"/>
      <c r="L6804" s="226"/>
      <c r="M6804" s="101"/>
      <c r="N6804" s="101"/>
    </row>
    <row r="6805" spans="7:14" hidden="1" x14ac:dyDescent="0.3">
      <c r="G6805" s="101"/>
      <c r="H6805" s="101"/>
      <c r="I6805" s="101"/>
      <c r="K6805" s="226"/>
      <c r="L6805" s="226"/>
      <c r="M6805" s="101"/>
      <c r="N6805" s="101"/>
    </row>
    <row r="6806" spans="7:14" hidden="1" x14ac:dyDescent="0.3">
      <c r="G6806" s="101"/>
      <c r="H6806" s="101"/>
      <c r="I6806" s="101"/>
      <c r="K6806" s="226"/>
      <c r="L6806" s="226"/>
      <c r="M6806" s="101"/>
      <c r="N6806" s="101"/>
    </row>
    <row r="6807" spans="7:14" hidden="1" x14ac:dyDescent="0.3">
      <c r="G6807" s="101"/>
      <c r="H6807" s="101"/>
      <c r="I6807" s="101"/>
      <c r="K6807" s="226"/>
      <c r="L6807" s="226"/>
      <c r="M6807" s="101"/>
      <c r="N6807" s="101"/>
    </row>
    <row r="6808" spans="7:14" hidden="1" x14ac:dyDescent="0.3">
      <c r="G6808" s="101"/>
      <c r="H6808" s="101"/>
      <c r="I6808" s="101"/>
      <c r="K6808" s="226"/>
      <c r="L6808" s="226"/>
      <c r="M6808" s="101"/>
      <c r="N6808" s="101"/>
    </row>
    <row r="6809" spans="7:14" hidden="1" x14ac:dyDescent="0.3">
      <c r="G6809" s="101"/>
      <c r="H6809" s="101"/>
      <c r="I6809" s="101"/>
      <c r="K6809" s="226"/>
      <c r="L6809" s="226"/>
      <c r="M6809" s="101"/>
      <c r="N6809" s="101"/>
    </row>
    <row r="6810" spans="7:14" hidden="1" x14ac:dyDescent="0.3">
      <c r="G6810" s="101"/>
      <c r="H6810" s="101"/>
      <c r="I6810" s="101"/>
      <c r="K6810" s="226"/>
      <c r="L6810" s="226"/>
      <c r="M6810" s="101"/>
      <c r="N6810" s="101"/>
    </row>
    <row r="6811" spans="7:14" hidden="1" x14ac:dyDescent="0.3">
      <c r="G6811" s="101"/>
      <c r="H6811" s="101"/>
      <c r="I6811" s="101"/>
      <c r="K6811" s="226"/>
      <c r="L6811" s="226"/>
      <c r="M6811" s="101"/>
      <c r="N6811" s="101"/>
    </row>
    <row r="6812" spans="7:14" hidden="1" x14ac:dyDescent="0.3">
      <c r="G6812" s="101"/>
      <c r="H6812" s="101"/>
      <c r="I6812" s="101"/>
      <c r="K6812" s="226"/>
      <c r="L6812" s="226"/>
      <c r="M6812" s="101"/>
      <c r="N6812" s="101"/>
    </row>
    <row r="6813" spans="7:14" hidden="1" x14ac:dyDescent="0.3">
      <c r="G6813" s="101"/>
      <c r="H6813" s="101"/>
      <c r="I6813" s="101"/>
      <c r="K6813" s="226"/>
      <c r="L6813" s="226"/>
      <c r="M6813" s="101"/>
      <c r="N6813" s="101"/>
    </row>
    <row r="6814" spans="7:14" hidden="1" x14ac:dyDescent="0.3">
      <c r="G6814" s="101"/>
      <c r="H6814" s="101"/>
      <c r="I6814" s="101"/>
      <c r="K6814" s="226"/>
      <c r="L6814" s="226"/>
      <c r="M6814" s="101"/>
      <c r="N6814" s="101"/>
    </row>
    <row r="6815" spans="7:14" hidden="1" x14ac:dyDescent="0.3">
      <c r="G6815" s="101"/>
      <c r="H6815" s="101"/>
      <c r="I6815" s="101"/>
      <c r="K6815" s="226"/>
      <c r="L6815" s="226"/>
      <c r="M6815" s="101"/>
      <c r="N6815" s="101"/>
    </row>
    <row r="6816" spans="7:14" hidden="1" x14ac:dyDescent="0.3">
      <c r="G6816" s="101"/>
      <c r="H6816" s="101"/>
      <c r="I6816" s="101"/>
      <c r="K6816" s="226"/>
      <c r="L6816" s="226"/>
      <c r="M6816" s="101"/>
      <c r="N6816" s="101"/>
    </row>
    <row r="6817" spans="7:14" hidden="1" x14ac:dyDescent="0.3">
      <c r="G6817" s="101"/>
      <c r="H6817" s="101"/>
      <c r="I6817" s="101"/>
      <c r="K6817" s="226"/>
      <c r="L6817" s="226"/>
      <c r="M6817" s="101"/>
      <c r="N6817" s="101"/>
    </row>
    <row r="6818" spans="7:14" hidden="1" x14ac:dyDescent="0.3">
      <c r="G6818" s="101"/>
      <c r="H6818" s="101"/>
      <c r="I6818" s="101"/>
      <c r="K6818" s="226"/>
      <c r="L6818" s="226"/>
      <c r="M6818" s="101"/>
      <c r="N6818" s="101"/>
    </row>
    <row r="6819" spans="7:14" hidden="1" x14ac:dyDescent="0.3">
      <c r="G6819" s="101"/>
      <c r="H6819" s="101"/>
      <c r="I6819" s="101"/>
      <c r="K6819" s="226"/>
      <c r="L6819" s="226"/>
      <c r="M6819" s="101"/>
      <c r="N6819" s="101"/>
    </row>
    <row r="6820" spans="7:14" hidden="1" x14ac:dyDescent="0.3">
      <c r="G6820" s="101"/>
      <c r="H6820" s="101"/>
      <c r="I6820" s="101"/>
      <c r="K6820" s="226"/>
      <c r="L6820" s="226"/>
      <c r="M6820" s="101"/>
      <c r="N6820" s="101"/>
    </row>
    <row r="6821" spans="7:14" hidden="1" x14ac:dyDescent="0.3">
      <c r="G6821" s="101"/>
      <c r="H6821" s="101"/>
      <c r="I6821" s="101"/>
      <c r="K6821" s="226"/>
      <c r="L6821" s="226"/>
      <c r="M6821" s="101"/>
      <c r="N6821" s="101"/>
    </row>
    <row r="6822" spans="7:14" hidden="1" x14ac:dyDescent="0.3">
      <c r="G6822" s="101"/>
      <c r="H6822" s="101"/>
      <c r="I6822" s="101"/>
      <c r="K6822" s="226"/>
      <c r="L6822" s="226"/>
      <c r="M6822" s="101"/>
      <c r="N6822" s="101"/>
    </row>
    <row r="6823" spans="7:14" hidden="1" x14ac:dyDescent="0.3">
      <c r="G6823" s="101"/>
      <c r="H6823" s="101"/>
      <c r="I6823" s="101"/>
      <c r="K6823" s="226"/>
      <c r="L6823" s="226"/>
      <c r="M6823" s="101"/>
      <c r="N6823" s="101"/>
    </row>
    <row r="6824" spans="7:14" hidden="1" x14ac:dyDescent="0.3">
      <c r="G6824" s="101"/>
      <c r="H6824" s="101"/>
      <c r="I6824" s="101"/>
      <c r="K6824" s="226"/>
      <c r="L6824" s="226"/>
      <c r="M6824" s="101"/>
      <c r="N6824" s="101"/>
    </row>
    <row r="6825" spans="7:14" hidden="1" x14ac:dyDescent="0.3">
      <c r="G6825" s="101"/>
      <c r="H6825" s="101"/>
      <c r="I6825" s="101"/>
      <c r="K6825" s="226"/>
      <c r="L6825" s="226"/>
      <c r="M6825" s="101"/>
      <c r="N6825" s="101"/>
    </row>
    <row r="6826" spans="7:14" hidden="1" x14ac:dyDescent="0.3">
      <c r="G6826" s="101"/>
      <c r="H6826" s="101"/>
      <c r="I6826" s="101"/>
      <c r="K6826" s="226"/>
      <c r="L6826" s="226"/>
      <c r="M6826" s="101"/>
      <c r="N6826" s="101"/>
    </row>
    <row r="6827" spans="7:14" hidden="1" x14ac:dyDescent="0.3">
      <c r="G6827" s="101"/>
      <c r="H6827" s="101"/>
      <c r="I6827" s="101"/>
      <c r="K6827" s="226"/>
      <c r="L6827" s="226"/>
      <c r="M6827" s="101"/>
      <c r="N6827" s="101"/>
    </row>
    <row r="6828" spans="7:14" hidden="1" x14ac:dyDescent="0.3">
      <c r="G6828" s="101"/>
      <c r="H6828" s="101"/>
      <c r="I6828" s="101"/>
      <c r="K6828" s="226"/>
      <c r="L6828" s="226"/>
      <c r="M6828" s="101"/>
      <c r="N6828" s="101"/>
    </row>
    <row r="6829" spans="7:14" hidden="1" x14ac:dyDescent="0.3">
      <c r="G6829" s="101"/>
      <c r="H6829" s="101"/>
      <c r="I6829" s="101"/>
      <c r="K6829" s="226"/>
      <c r="L6829" s="226"/>
      <c r="M6829" s="101"/>
      <c r="N6829" s="101"/>
    </row>
    <row r="6830" spans="7:14" hidden="1" x14ac:dyDescent="0.3">
      <c r="G6830" s="101"/>
      <c r="H6830" s="101"/>
      <c r="I6830" s="101"/>
      <c r="K6830" s="226"/>
      <c r="L6830" s="226"/>
      <c r="M6830" s="101"/>
      <c r="N6830" s="101"/>
    </row>
    <row r="6831" spans="7:14" hidden="1" x14ac:dyDescent="0.3">
      <c r="G6831" s="101"/>
      <c r="H6831" s="101"/>
      <c r="I6831" s="101"/>
      <c r="K6831" s="226"/>
      <c r="L6831" s="226"/>
      <c r="M6831" s="101"/>
      <c r="N6831" s="101"/>
    </row>
    <row r="6832" spans="7:14" hidden="1" x14ac:dyDescent="0.3">
      <c r="G6832" s="101"/>
      <c r="H6832" s="101"/>
      <c r="I6832" s="101"/>
      <c r="K6832" s="226"/>
      <c r="L6832" s="226"/>
      <c r="M6832" s="101"/>
      <c r="N6832" s="101"/>
    </row>
    <row r="6833" spans="7:14" hidden="1" x14ac:dyDescent="0.3">
      <c r="G6833" s="101"/>
      <c r="H6833" s="101"/>
      <c r="I6833" s="101"/>
      <c r="K6833" s="226"/>
      <c r="L6833" s="226"/>
      <c r="M6833" s="101"/>
      <c r="N6833" s="101"/>
    </row>
    <row r="6834" spans="7:14" hidden="1" x14ac:dyDescent="0.3">
      <c r="G6834" s="101"/>
      <c r="H6834" s="101"/>
      <c r="I6834" s="101"/>
      <c r="K6834" s="226"/>
      <c r="L6834" s="226"/>
      <c r="M6834" s="101"/>
      <c r="N6834" s="101"/>
    </row>
    <row r="6835" spans="7:14" hidden="1" x14ac:dyDescent="0.3">
      <c r="G6835" s="101"/>
      <c r="H6835" s="101"/>
      <c r="I6835" s="101"/>
      <c r="K6835" s="226"/>
      <c r="L6835" s="226"/>
      <c r="M6835" s="101"/>
      <c r="N6835" s="101"/>
    </row>
    <row r="6836" spans="7:14" hidden="1" x14ac:dyDescent="0.3">
      <c r="G6836" s="101"/>
      <c r="H6836" s="101"/>
      <c r="I6836" s="101"/>
      <c r="K6836" s="226"/>
      <c r="L6836" s="226"/>
      <c r="M6836" s="101"/>
      <c r="N6836" s="101"/>
    </row>
    <row r="6837" spans="7:14" hidden="1" x14ac:dyDescent="0.3">
      <c r="G6837" s="101"/>
      <c r="H6837" s="101"/>
      <c r="I6837" s="101"/>
      <c r="K6837" s="226"/>
      <c r="L6837" s="226"/>
      <c r="M6837" s="101"/>
      <c r="N6837" s="101"/>
    </row>
    <row r="6838" spans="7:14" hidden="1" x14ac:dyDescent="0.3">
      <c r="G6838" s="101"/>
      <c r="H6838" s="101"/>
      <c r="I6838" s="101"/>
      <c r="K6838" s="226"/>
      <c r="L6838" s="226"/>
      <c r="M6838" s="101"/>
      <c r="N6838" s="101"/>
    </row>
    <row r="6839" spans="7:14" hidden="1" x14ac:dyDescent="0.3">
      <c r="G6839" s="101"/>
      <c r="H6839" s="101"/>
      <c r="I6839" s="101"/>
      <c r="K6839" s="226"/>
      <c r="L6839" s="226"/>
      <c r="M6839" s="101"/>
      <c r="N6839" s="101"/>
    </row>
    <row r="6840" spans="7:14" hidden="1" x14ac:dyDescent="0.3">
      <c r="G6840" s="101"/>
      <c r="H6840" s="101"/>
      <c r="I6840" s="101"/>
      <c r="K6840" s="226"/>
      <c r="L6840" s="226"/>
      <c r="M6840" s="101"/>
      <c r="N6840" s="101"/>
    </row>
    <row r="6841" spans="7:14" hidden="1" x14ac:dyDescent="0.3">
      <c r="G6841" s="101"/>
      <c r="H6841" s="101"/>
      <c r="I6841" s="101"/>
      <c r="K6841" s="226"/>
      <c r="L6841" s="226"/>
      <c r="M6841" s="101"/>
      <c r="N6841" s="101"/>
    </row>
    <row r="6842" spans="7:14" hidden="1" x14ac:dyDescent="0.3">
      <c r="G6842" s="101"/>
      <c r="H6842" s="101"/>
      <c r="I6842" s="101"/>
      <c r="K6842" s="226"/>
      <c r="L6842" s="226"/>
      <c r="M6842" s="101"/>
      <c r="N6842" s="101"/>
    </row>
    <row r="6843" spans="7:14" hidden="1" x14ac:dyDescent="0.3">
      <c r="G6843" s="101"/>
      <c r="H6843" s="101"/>
      <c r="I6843" s="101"/>
      <c r="K6843" s="226"/>
      <c r="L6843" s="226"/>
      <c r="M6843" s="101"/>
      <c r="N6843" s="101"/>
    </row>
    <row r="6844" spans="7:14" hidden="1" x14ac:dyDescent="0.3">
      <c r="G6844" s="101"/>
      <c r="H6844" s="101"/>
      <c r="I6844" s="101"/>
      <c r="K6844" s="226"/>
      <c r="L6844" s="226"/>
      <c r="M6844" s="101"/>
      <c r="N6844" s="101"/>
    </row>
    <row r="6845" spans="7:14" hidden="1" x14ac:dyDescent="0.3">
      <c r="G6845" s="101"/>
      <c r="H6845" s="101"/>
      <c r="I6845" s="101"/>
      <c r="K6845" s="226"/>
      <c r="L6845" s="226"/>
      <c r="M6845" s="101"/>
      <c r="N6845" s="101"/>
    </row>
    <row r="6846" spans="7:14" hidden="1" x14ac:dyDescent="0.3">
      <c r="G6846" s="101"/>
      <c r="H6846" s="101"/>
      <c r="I6846" s="101"/>
      <c r="K6846" s="226"/>
      <c r="L6846" s="226"/>
      <c r="M6846" s="101"/>
      <c r="N6846" s="101"/>
    </row>
    <row r="6847" spans="7:14" hidden="1" x14ac:dyDescent="0.3">
      <c r="G6847" s="101"/>
      <c r="H6847" s="101"/>
      <c r="I6847" s="101"/>
      <c r="K6847" s="226"/>
      <c r="L6847" s="226"/>
      <c r="M6847" s="101"/>
      <c r="N6847" s="101"/>
    </row>
    <row r="6848" spans="7:14" hidden="1" x14ac:dyDescent="0.3">
      <c r="G6848" s="101"/>
      <c r="H6848" s="101"/>
      <c r="I6848" s="101"/>
      <c r="K6848" s="226"/>
      <c r="L6848" s="226"/>
      <c r="M6848" s="101"/>
      <c r="N6848" s="101"/>
    </row>
    <row r="6849" spans="7:14" hidden="1" x14ac:dyDescent="0.3">
      <c r="G6849" s="101"/>
      <c r="H6849" s="101"/>
      <c r="I6849" s="101"/>
      <c r="K6849" s="226"/>
      <c r="L6849" s="226"/>
      <c r="M6849" s="101"/>
      <c r="N6849" s="101"/>
    </row>
    <row r="6850" spans="7:14" hidden="1" x14ac:dyDescent="0.3">
      <c r="G6850" s="101"/>
      <c r="H6850" s="101"/>
      <c r="I6850" s="101"/>
      <c r="K6850" s="226"/>
      <c r="L6850" s="226"/>
      <c r="M6850" s="101"/>
      <c r="N6850" s="101"/>
    </row>
    <row r="6851" spans="7:14" hidden="1" x14ac:dyDescent="0.3">
      <c r="G6851" s="101"/>
      <c r="H6851" s="101"/>
      <c r="I6851" s="101"/>
      <c r="K6851" s="226"/>
      <c r="L6851" s="226"/>
      <c r="M6851" s="101"/>
      <c r="N6851" s="101"/>
    </row>
    <row r="6852" spans="7:14" hidden="1" x14ac:dyDescent="0.3">
      <c r="G6852" s="101"/>
      <c r="H6852" s="101"/>
      <c r="I6852" s="101"/>
      <c r="K6852" s="226"/>
      <c r="L6852" s="226"/>
      <c r="M6852" s="101"/>
      <c r="N6852" s="101"/>
    </row>
    <row r="6853" spans="7:14" hidden="1" x14ac:dyDescent="0.3">
      <c r="G6853" s="101"/>
      <c r="H6853" s="101"/>
      <c r="I6853" s="101"/>
      <c r="K6853" s="226"/>
      <c r="L6853" s="226"/>
      <c r="M6853" s="101"/>
      <c r="N6853" s="101"/>
    </row>
    <row r="6854" spans="7:14" hidden="1" x14ac:dyDescent="0.3">
      <c r="G6854" s="101"/>
      <c r="H6854" s="101"/>
      <c r="I6854" s="101"/>
      <c r="K6854" s="226"/>
      <c r="L6854" s="226"/>
      <c r="M6854" s="101"/>
      <c r="N6854" s="101"/>
    </row>
    <row r="6855" spans="7:14" hidden="1" x14ac:dyDescent="0.3">
      <c r="G6855" s="101"/>
      <c r="H6855" s="101"/>
      <c r="I6855" s="101"/>
      <c r="K6855" s="226"/>
      <c r="L6855" s="226"/>
      <c r="M6855" s="101"/>
      <c r="N6855" s="101"/>
    </row>
    <row r="6856" spans="7:14" hidden="1" x14ac:dyDescent="0.3">
      <c r="G6856" s="101"/>
      <c r="H6856" s="101"/>
      <c r="I6856" s="101"/>
      <c r="K6856" s="226"/>
      <c r="L6856" s="226"/>
      <c r="M6856" s="101"/>
      <c r="N6856" s="101"/>
    </row>
    <row r="6857" spans="7:14" hidden="1" x14ac:dyDescent="0.3">
      <c r="G6857" s="101"/>
      <c r="H6857" s="101"/>
      <c r="I6857" s="101"/>
      <c r="K6857" s="226"/>
      <c r="L6857" s="226"/>
      <c r="M6857" s="101"/>
      <c r="N6857" s="101"/>
    </row>
    <row r="6858" spans="7:14" hidden="1" x14ac:dyDescent="0.3">
      <c r="G6858" s="101"/>
      <c r="H6858" s="101"/>
      <c r="I6858" s="101"/>
      <c r="K6858" s="226"/>
      <c r="L6858" s="226"/>
      <c r="M6858" s="101"/>
      <c r="N6858" s="101"/>
    </row>
    <row r="6859" spans="7:14" hidden="1" x14ac:dyDescent="0.3">
      <c r="G6859" s="101"/>
      <c r="H6859" s="101"/>
      <c r="I6859" s="101"/>
      <c r="K6859" s="226"/>
      <c r="L6859" s="226"/>
      <c r="M6859" s="101"/>
      <c r="N6859" s="101"/>
    </row>
    <row r="6860" spans="7:14" hidden="1" x14ac:dyDescent="0.3">
      <c r="G6860" s="101"/>
      <c r="H6860" s="101"/>
      <c r="I6860" s="101"/>
      <c r="K6860" s="226"/>
      <c r="L6860" s="226"/>
      <c r="M6860" s="101"/>
      <c r="N6860" s="101"/>
    </row>
    <row r="6861" spans="7:14" hidden="1" x14ac:dyDescent="0.3">
      <c r="G6861" s="101"/>
      <c r="H6861" s="101"/>
      <c r="I6861" s="101"/>
      <c r="K6861" s="226"/>
      <c r="L6861" s="226"/>
      <c r="M6861" s="101"/>
      <c r="N6861" s="101"/>
    </row>
    <row r="6862" spans="7:14" hidden="1" x14ac:dyDescent="0.3">
      <c r="G6862" s="101"/>
      <c r="H6862" s="101"/>
      <c r="I6862" s="101"/>
      <c r="K6862" s="226"/>
      <c r="L6862" s="226"/>
      <c r="M6862" s="101"/>
      <c r="N6862" s="101"/>
    </row>
    <row r="6863" spans="7:14" hidden="1" x14ac:dyDescent="0.3">
      <c r="G6863" s="101"/>
      <c r="H6863" s="101"/>
      <c r="I6863" s="101"/>
      <c r="K6863" s="226"/>
      <c r="L6863" s="226"/>
      <c r="M6863" s="101"/>
      <c r="N6863" s="101"/>
    </row>
    <row r="6864" spans="7:14" hidden="1" x14ac:dyDescent="0.3">
      <c r="G6864" s="101"/>
      <c r="H6864" s="101"/>
      <c r="I6864" s="101"/>
      <c r="K6864" s="226"/>
      <c r="L6864" s="226"/>
      <c r="M6864" s="101"/>
      <c r="N6864" s="101"/>
    </row>
    <row r="6865" spans="7:14" hidden="1" x14ac:dyDescent="0.3">
      <c r="G6865" s="101"/>
      <c r="H6865" s="101"/>
      <c r="I6865" s="101"/>
      <c r="K6865" s="226"/>
      <c r="L6865" s="226"/>
      <c r="M6865" s="101"/>
      <c r="N6865" s="101"/>
    </row>
    <row r="6866" spans="7:14" hidden="1" x14ac:dyDescent="0.3">
      <c r="G6866" s="101"/>
      <c r="H6866" s="101"/>
      <c r="I6866" s="101"/>
      <c r="K6866" s="226"/>
      <c r="L6866" s="226"/>
      <c r="M6866" s="101"/>
      <c r="N6866" s="101"/>
    </row>
    <row r="6867" spans="7:14" hidden="1" x14ac:dyDescent="0.3">
      <c r="G6867" s="101"/>
      <c r="H6867" s="101"/>
      <c r="I6867" s="101"/>
      <c r="K6867" s="226"/>
      <c r="L6867" s="226"/>
      <c r="M6867" s="101"/>
      <c r="N6867" s="101"/>
    </row>
    <row r="6868" spans="7:14" hidden="1" x14ac:dyDescent="0.3">
      <c r="G6868" s="101"/>
      <c r="H6868" s="101"/>
      <c r="I6868" s="101"/>
      <c r="K6868" s="226"/>
      <c r="L6868" s="226"/>
      <c r="M6868" s="101"/>
      <c r="N6868" s="101"/>
    </row>
    <row r="6869" spans="7:14" hidden="1" x14ac:dyDescent="0.3">
      <c r="G6869" s="101"/>
      <c r="H6869" s="101"/>
      <c r="I6869" s="101"/>
      <c r="K6869" s="226"/>
      <c r="L6869" s="226"/>
      <c r="M6869" s="101"/>
      <c r="N6869" s="101"/>
    </row>
    <row r="6870" spans="7:14" hidden="1" x14ac:dyDescent="0.3">
      <c r="G6870" s="101"/>
      <c r="H6870" s="101"/>
      <c r="I6870" s="101"/>
      <c r="K6870" s="226"/>
      <c r="L6870" s="226"/>
      <c r="M6870" s="101"/>
      <c r="N6870" s="101"/>
    </row>
    <row r="6871" spans="7:14" hidden="1" x14ac:dyDescent="0.3">
      <c r="G6871" s="101"/>
      <c r="H6871" s="101"/>
      <c r="I6871" s="101"/>
      <c r="K6871" s="226"/>
      <c r="L6871" s="226"/>
      <c r="M6871" s="101"/>
      <c r="N6871" s="101"/>
    </row>
    <row r="6872" spans="7:14" hidden="1" x14ac:dyDescent="0.3">
      <c r="G6872" s="101"/>
      <c r="H6872" s="101"/>
      <c r="I6872" s="101"/>
      <c r="K6872" s="226"/>
      <c r="L6872" s="226"/>
      <c r="M6872" s="101"/>
      <c r="N6872" s="101"/>
    </row>
    <row r="6873" spans="7:14" hidden="1" x14ac:dyDescent="0.3">
      <c r="G6873" s="101"/>
      <c r="H6873" s="101"/>
      <c r="I6873" s="101"/>
      <c r="K6873" s="226"/>
      <c r="L6873" s="226"/>
      <c r="M6873" s="101"/>
      <c r="N6873" s="101"/>
    </row>
    <row r="6874" spans="7:14" hidden="1" x14ac:dyDescent="0.3">
      <c r="G6874" s="101"/>
      <c r="H6874" s="101"/>
      <c r="I6874" s="101"/>
      <c r="K6874" s="226"/>
      <c r="L6874" s="226"/>
      <c r="M6874" s="101"/>
      <c r="N6874" s="101"/>
    </row>
    <row r="6875" spans="7:14" hidden="1" x14ac:dyDescent="0.3">
      <c r="G6875" s="101"/>
      <c r="H6875" s="101"/>
      <c r="I6875" s="101"/>
      <c r="K6875" s="226"/>
      <c r="L6875" s="226"/>
      <c r="M6875" s="101"/>
      <c r="N6875" s="101"/>
    </row>
    <row r="6876" spans="7:14" hidden="1" x14ac:dyDescent="0.3">
      <c r="G6876" s="101"/>
      <c r="H6876" s="101"/>
      <c r="I6876" s="101"/>
      <c r="K6876" s="226"/>
      <c r="L6876" s="226"/>
      <c r="M6876" s="101"/>
      <c r="N6876" s="101"/>
    </row>
    <row r="6877" spans="7:14" hidden="1" x14ac:dyDescent="0.3">
      <c r="G6877" s="101"/>
      <c r="H6877" s="101"/>
      <c r="I6877" s="101"/>
      <c r="K6877" s="226"/>
      <c r="L6877" s="226"/>
      <c r="M6877" s="101"/>
      <c r="N6877" s="101"/>
    </row>
    <row r="6878" spans="7:14" hidden="1" x14ac:dyDescent="0.3">
      <c r="G6878" s="101"/>
      <c r="H6878" s="101"/>
      <c r="I6878" s="101"/>
      <c r="K6878" s="226"/>
      <c r="L6878" s="226"/>
      <c r="M6878" s="101"/>
      <c r="N6878" s="101"/>
    </row>
    <row r="6879" spans="7:14" hidden="1" x14ac:dyDescent="0.3">
      <c r="G6879" s="101"/>
      <c r="H6879" s="101"/>
      <c r="I6879" s="101"/>
      <c r="K6879" s="226"/>
      <c r="L6879" s="226"/>
      <c r="M6879" s="101"/>
      <c r="N6879" s="101"/>
    </row>
    <row r="6880" spans="7:14" hidden="1" x14ac:dyDescent="0.3">
      <c r="G6880" s="101"/>
      <c r="H6880" s="101"/>
      <c r="I6880" s="101"/>
      <c r="K6880" s="226"/>
      <c r="L6880" s="226"/>
      <c r="M6880" s="101"/>
      <c r="N6880" s="101"/>
    </row>
    <row r="6881" spans="7:14" hidden="1" x14ac:dyDescent="0.3">
      <c r="G6881" s="101"/>
      <c r="H6881" s="101"/>
      <c r="I6881" s="101"/>
      <c r="K6881" s="226"/>
      <c r="L6881" s="226"/>
      <c r="M6881" s="101"/>
      <c r="N6881" s="101"/>
    </row>
    <row r="6882" spans="7:14" hidden="1" x14ac:dyDescent="0.3">
      <c r="G6882" s="101"/>
      <c r="H6882" s="101"/>
      <c r="I6882" s="101"/>
      <c r="K6882" s="226"/>
      <c r="L6882" s="226"/>
      <c r="M6882" s="101"/>
      <c r="N6882" s="101"/>
    </row>
    <row r="6883" spans="7:14" hidden="1" x14ac:dyDescent="0.3">
      <c r="G6883" s="101"/>
      <c r="H6883" s="101"/>
      <c r="I6883" s="101"/>
      <c r="K6883" s="226"/>
      <c r="L6883" s="226"/>
      <c r="M6883" s="101"/>
      <c r="N6883" s="101"/>
    </row>
    <row r="6884" spans="7:14" hidden="1" x14ac:dyDescent="0.3">
      <c r="G6884" s="101"/>
      <c r="H6884" s="101"/>
      <c r="I6884" s="101"/>
      <c r="K6884" s="226"/>
      <c r="L6884" s="226"/>
      <c r="M6884" s="101"/>
      <c r="N6884" s="101"/>
    </row>
    <row r="6885" spans="7:14" hidden="1" x14ac:dyDescent="0.3">
      <c r="G6885" s="101"/>
      <c r="H6885" s="101"/>
      <c r="I6885" s="101"/>
      <c r="K6885" s="226"/>
      <c r="L6885" s="226"/>
      <c r="M6885" s="101"/>
      <c r="N6885" s="101"/>
    </row>
    <row r="6886" spans="7:14" hidden="1" x14ac:dyDescent="0.3">
      <c r="G6886" s="101"/>
      <c r="H6886" s="101"/>
      <c r="I6886" s="101"/>
      <c r="K6886" s="226"/>
      <c r="L6886" s="226"/>
      <c r="M6886" s="101"/>
      <c r="N6886" s="101"/>
    </row>
    <row r="6887" spans="7:14" hidden="1" x14ac:dyDescent="0.3">
      <c r="G6887" s="101"/>
      <c r="H6887" s="101"/>
      <c r="I6887" s="101"/>
      <c r="K6887" s="226"/>
      <c r="L6887" s="226"/>
      <c r="M6887" s="101"/>
      <c r="N6887" s="101"/>
    </row>
    <row r="6888" spans="7:14" hidden="1" x14ac:dyDescent="0.3">
      <c r="G6888" s="101"/>
      <c r="H6888" s="101"/>
      <c r="I6888" s="101"/>
      <c r="K6888" s="226"/>
      <c r="L6888" s="226"/>
      <c r="M6888" s="101"/>
      <c r="N6888" s="101"/>
    </row>
    <row r="6889" spans="7:14" hidden="1" x14ac:dyDescent="0.3">
      <c r="G6889" s="101"/>
      <c r="H6889" s="101"/>
      <c r="I6889" s="101"/>
      <c r="K6889" s="226"/>
      <c r="L6889" s="226"/>
      <c r="M6889" s="101"/>
      <c r="N6889" s="101"/>
    </row>
    <row r="6890" spans="7:14" hidden="1" x14ac:dyDescent="0.3">
      <c r="G6890" s="101"/>
      <c r="H6890" s="101"/>
      <c r="I6890" s="101"/>
      <c r="K6890" s="226"/>
      <c r="L6890" s="226"/>
      <c r="M6890" s="101"/>
      <c r="N6890" s="101"/>
    </row>
    <row r="6891" spans="7:14" hidden="1" x14ac:dyDescent="0.3">
      <c r="G6891" s="101"/>
      <c r="H6891" s="101"/>
      <c r="I6891" s="101"/>
      <c r="K6891" s="226"/>
      <c r="L6891" s="226"/>
      <c r="M6891" s="101"/>
      <c r="N6891" s="101"/>
    </row>
    <row r="6892" spans="7:14" hidden="1" x14ac:dyDescent="0.3">
      <c r="G6892" s="101"/>
      <c r="H6892" s="101"/>
      <c r="I6892" s="101"/>
      <c r="K6892" s="226"/>
      <c r="L6892" s="226"/>
      <c r="M6892" s="101"/>
      <c r="N6892" s="101"/>
    </row>
    <row r="6893" spans="7:14" hidden="1" x14ac:dyDescent="0.3">
      <c r="G6893" s="101"/>
      <c r="H6893" s="101"/>
      <c r="I6893" s="101"/>
      <c r="K6893" s="226"/>
      <c r="L6893" s="226"/>
      <c r="M6893" s="101"/>
      <c r="N6893" s="101"/>
    </row>
    <row r="6894" spans="7:14" hidden="1" x14ac:dyDescent="0.3">
      <c r="G6894" s="101"/>
      <c r="H6894" s="101"/>
      <c r="I6894" s="101"/>
      <c r="K6894" s="226"/>
      <c r="L6894" s="226"/>
      <c r="M6894" s="101"/>
      <c r="N6894" s="101"/>
    </row>
    <row r="6895" spans="7:14" hidden="1" x14ac:dyDescent="0.3">
      <c r="G6895" s="101"/>
      <c r="H6895" s="101"/>
      <c r="I6895" s="101"/>
      <c r="K6895" s="226"/>
      <c r="L6895" s="226"/>
      <c r="M6895" s="101"/>
      <c r="N6895" s="101"/>
    </row>
    <row r="6896" spans="7:14" hidden="1" x14ac:dyDescent="0.3">
      <c r="G6896" s="101"/>
      <c r="H6896" s="101"/>
      <c r="I6896" s="101"/>
      <c r="K6896" s="226"/>
      <c r="L6896" s="226"/>
      <c r="M6896" s="101"/>
      <c r="N6896" s="101"/>
    </row>
    <row r="6897" spans="7:14" hidden="1" x14ac:dyDescent="0.3">
      <c r="G6897" s="101"/>
      <c r="H6897" s="101"/>
      <c r="I6897" s="101"/>
      <c r="K6897" s="226"/>
      <c r="L6897" s="226"/>
      <c r="M6897" s="101"/>
      <c r="N6897" s="101"/>
    </row>
    <row r="6898" spans="7:14" hidden="1" x14ac:dyDescent="0.3">
      <c r="G6898" s="101"/>
      <c r="H6898" s="101"/>
      <c r="I6898" s="101"/>
      <c r="K6898" s="226"/>
      <c r="L6898" s="226"/>
      <c r="M6898" s="101"/>
      <c r="N6898" s="101"/>
    </row>
    <row r="6899" spans="7:14" hidden="1" x14ac:dyDescent="0.3">
      <c r="G6899" s="101"/>
      <c r="H6899" s="101"/>
      <c r="I6899" s="101"/>
      <c r="K6899" s="226"/>
      <c r="L6899" s="226"/>
      <c r="M6899" s="101"/>
      <c r="N6899" s="101"/>
    </row>
    <row r="6900" spans="7:14" hidden="1" x14ac:dyDescent="0.3">
      <c r="G6900" s="101"/>
      <c r="H6900" s="101"/>
      <c r="I6900" s="101"/>
      <c r="K6900" s="226"/>
      <c r="L6900" s="226"/>
      <c r="M6900" s="101"/>
      <c r="N6900" s="101"/>
    </row>
    <row r="6901" spans="7:14" hidden="1" x14ac:dyDescent="0.3">
      <c r="G6901" s="101"/>
      <c r="H6901" s="101"/>
      <c r="I6901" s="101"/>
      <c r="K6901" s="226"/>
      <c r="L6901" s="226"/>
      <c r="M6901" s="101"/>
      <c r="N6901" s="101"/>
    </row>
    <row r="6902" spans="7:14" hidden="1" x14ac:dyDescent="0.3">
      <c r="G6902" s="101"/>
      <c r="H6902" s="101"/>
      <c r="I6902" s="101"/>
      <c r="K6902" s="226"/>
      <c r="L6902" s="226"/>
      <c r="M6902" s="101"/>
      <c r="N6902" s="101"/>
    </row>
    <row r="6903" spans="7:14" hidden="1" x14ac:dyDescent="0.3">
      <c r="G6903" s="101"/>
      <c r="H6903" s="101"/>
      <c r="I6903" s="101"/>
      <c r="K6903" s="226"/>
      <c r="L6903" s="226"/>
      <c r="M6903" s="101"/>
      <c r="N6903" s="101"/>
    </row>
    <row r="6904" spans="7:14" hidden="1" x14ac:dyDescent="0.3">
      <c r="G6904" s="101"/>
      <c r="H6904" s="101"/>
      <c r="I6904" s="101"/>
      <c r="K6904" s="226"/>
      <c r="L6904" s="226"/>
      <c r="M6904" s="101"/>
      <c r="N6904" s="101"/>
    </row>
    <row r="6905" spans="7:14" hidden="1" x14ac:dyDescent="0.3">
      <c r="G6905" s="101"/>
      <c r="H6905" s="101"/>
      <c r="I6905" s="101"/>
      <c r="K6905" s="226"/>
      <c r="L6905" s="226"/>
      <c r="M6905" s="101"/>
      <c r="N6905" s="101"/>
    </row>
    <row r="6906" spans="7:14" hidden="1" x14ac:dyDescent="0.3">
      <c r="G6906" s="101"/>
      <c r="H6906" s="101"/>
      <c r="I6906" s="101"/>
      <c r="K6906" s="226"/>
      <c r="L6906" s="226"/>
      <c r="M6906" s="101"/>
      <c r="N6906" s="101"/>
    </row>
    <row r="6907" spans="7:14" hidden="1" x14ac:dyDescent="0.3">
      <c r="G6907" s="101"/>
      <c r="H6907" s="101"/>
      <c r="I6907" s="101"/>
      <c r="K6907" s="226"/>
      <c r="L6907" s="226"/>
      <c r="M6907" s="101"/>
      <c r="N6907" s="101"/>
    </row>
    <row r="6908" spans="7:14" hidden="1" x14ac:dyDescent="0.3">
      <c r="G6908" s="101"/>
      <c r="H6908" s="101"/>
      <c r="I6908" s="101"/>
      <c r="K6908" s="226"/>
      <c r="L6908" s="226"/>
      <c r="M6908" s="101"/>
      <c r="N6908" s="101"/>
    </row>
    <row r="6909" spans="7:14" hidden="1" x14ac:dyDescent="0.3">
      <c r="G6909" s="101"/>
      <c r="H6909" s="101"/>
      <c r="I6909" s="101"/>
      <c r="K6909" s="226"/>
      <c r="L6909" s="226"/>
      <c r="M6909" s="101"/>
      <c r="N6909" s="101"/>
    </row>
    <row r="6910" spans="7:14" hidden="1" x14ac:dyDescent="0.3">
      <c r="G6910" s="101"/>
      <c r="H6910" s="101"/>
      <c r="I6910" s="101"/>
      <c r="K6910" s="226"/>
      <c r="L6910" s="226"/>
      <c r="M6910" s="101"/>
      <c r="N6910" s="101"/>
    </row>
    <row r="6911" spans="7:14" hidden="1" x14ac:dyDescent="0.3">
      <c r="G6911" s="101"/>
      <c r="H6911" s="101"/>
      <c r="I6911" s="101"/>
      <c r="K6911" s="226"/>
      <c r="L6911" s="226"/>
      <c r="M6911" s="101"/>
      <c r="N6911" s="101"/>
    </row>
    <row r="6912" spans="7:14" hidden="1" x14ac:dyDescent="0.3">
      <c r="G6912" s="101"/>
      <c r="H6912" s="101"/>
      <c r="I6912" s="101"/>
      <c r="K6912" s="226"/>
      <c r="L6912" s="226"/>
      <c r="M6912" s="101"/>
      <c r="N6912" s="101"/>
    </row>
    <row r="6913" spans="7:14" hidden="1" x14ac:dyDescent="0.3">
      <c r="G6913" s="101"/>
      <c r="H6913" s="101"/>
      <c r="I6913" s="101"/>
      <c r="K6913" s="226"/>
      <c r="L6913" s="226"/>
      <c r="M6913" s="101"/>
      <c r="N6913" s="101"/>
    </row>
    <row r="6914" spans="7:14" hidden="1" x14ac:dyDescent="0.3">
      <c r="G6914" s="101"/>
      <c r="H6914" s="101"/>
      <c r="I6914" s="101"/>
      <c r="K6914" s="226"/>
      <c r="L6914" s="226"/>
      <c r="M6914" s="101"/>
      <c r="N6914" s="101"/>
    </row>
    <row r="6915" spans="7:14" hidden="1" x14ac:dyDescent="0.3">
      <c r="G6915" s="101"/>
      <c r="H6915" s="101"/>
      <c r="I6915" s="101"/>
      <c r="K6915" s="226"/>
      <c r="L6915" s="226"/>
      <c r="M6915" s="101"/>
      <c r="N6915" s="101"/>
    </row>
    <row r="6916" spans="7:14" hidden="1" x14ac:dyDescent="0.3">
      <c r="G6916" s="101"/>
      <c r="H6916" s="101"/>
      <c r="I6916" s="101"/>
      <c r="K6916" s="226"/>
      <c r="L6916" s="226"/>
      <c r="M6916" s="101"/>
      <c r="N6916" s="101"/>
    </row>
    <row r="6917" spans="7:14" hidden="1" x14ac:dyDescent="0.3">
      <c r="G6917" s="101"/>
      <c r="H6917" s="101"/>
      <c r="I6917" s="101"/>
      <c r="K6917" s="226"/>
      <c r="L6917" s="226"/>
      <c r="M6917" s="101"/>
      <c r="N6917" s="101"/>
    </row>
    <row r="6918" spans="7:14" hidden="1" x14ac:dyDescent="0.3">
      <c r="G6918" s="101"/>
      <c r="H6918" s="101"/>
      <c r="I6918" s="101"/>
      <c r="K6918" s="226"/>
      <c r="L6918" s="226"/>
      <c r="M6918" s="101"/>
      <c r="N6918" s="101"/>
    </row>
    <row r="6919" spans="7:14" hidden="1" x14ac:dyDescent="0.3">
      <c r="G6919" s="101"/>
      <c r="H6919" s="101"/>
      <c r="I6919" s="101"/>
      <c r="K6919" s="226"/>
      <c r="L6919" s="226"/>
      <c r="M6919" s="101"/>
      <c r="N6919" s="101"/>
    </row>
    <row r="6920" spans="7:14" hidden="1" x14ac:dyDescent="0.3">
      <c r="G6920" s="101"/>
      <c r="H6920" s="101"/>
      <c r="I6920" s="101"/>
      <c r="K6920" s="226"/>
      <c r="L6920" s="226"/>
      <c r="M6920" s="101"/>
      <c r="N6920" s="101"/>
    </row>
    <row r="6921" spans="7:14" hidden="1" x14ac:dyDescent="0.3">
      <c r="G6921" s="101"/>
      <c r="H6921" s="101"/>
      <c r="I6921" s="101"/>
      <c r="K6921" s="226"/>
      <c r="L6921" s="226"/>
      <c r="M6921" s="101"/>
      <c r="N6921" s="101"/>
    </row>
    <row r="6922" spans="7:14" hidden="1" x14ac:dyDescent="0.3">
      <c r="G6922" s="101"/>
      <c r="H6922" s="101"/>
      <c r="I6922" s="101"/>
      <c r="K6922" s="226"/>
      <c r="L6922" s="226"/>
      <c r="M6922" s="101"/>
      <c r="N6922" s="101"/>
    </row>
    <row r="6923" spans="7:14" hidden="1" x14ac:dyDescent="0.3">
      <c r="G6923" s="101"/>
      <c r="H6923" s="101"/>
      <c r="I6923" s="101"/>
      <c r="K6923" s="226"/>
      <c r="L6923" s="226"/>
      <c r="M6923" s="101"/>
      <c r="N6923" s="101"/>
    </row>
    <row r="6924" spans="7:14" hidden="1" x14ac:dyDescent="0.3">
      <c r="G6924" s="101"/>
      <c r="H6924" s="101"/>
      <c r="I6924" s="101"/>
      <c r="K6924" s="226"/>
      <c r="L6924" s="226"/>
      <c r="M6924" s="101"/>
      <c r="N6924" s="101"/>
    </row>
    <row r="6925" spans="7:14" hidden="1" x14ac:dyDescent="0.3">
      <c r="G6925" s="101"/>
      <c r="H6925" s="101"/>
      <c r="I6925" s="101"/>
      <c r="K6925" s="226"/>
      <c r="L6925" s="226"/>
      <c r="M6925" s="101"/>
      <c r="N6925" s="101"/>
    </row>
    <row r="6926" spans="7:14" hidden="1" x14ac:dyDescent="0.3">
      <c r="G6926" s="101"/>
      <c r="H6926" s="101"/>
      <c r="I6926" s="101"/>
      <c r="K6926" s="226"/>
      <c r="L6926" s="226"/>
      <c r="M6926" s="101"/>
      <c r="N6926" s="101"/>
    </row>
    <row r="6927" spans="7:14" hidden="1" x14ac:dyDescent="0.3">
      <c r="G6927" s="101"/>
      <c r="H6927" s="101"/>
      <c r="I6927" s="101"/>
      <c r="K6927" s="226"/>
      <c r="L6927" s="226"/>
      <c r="M6927" s="101"/>
      <c r="N6927" s="101"/>
    </row>
    <row r="6928" spans="7:14" hidden="1" x14ac:dyDescent="0.3">
      <c r="G6928" s="101"/>
      <c r="H6928" s="101"/>
      <c r="I6928" s="101"/>
      <c r="K6928" s="226"/>
      <c r="L6928" s="226"/>
      <c r="M6928" s="101"/>
      <c r="N6928" s="101"/>
    </row>
    <row r="6929" spans="7:14" hidden="1" x14ac:dyDescent="0.3">
      <c r="G6929" s="101"/>
      <c r="H6929" s="101"/>
      <c r="I6929" s="101"/>
      <c r="K6929" s="226"/>
      <c r="L6929" s="226"/>
      <c r="M6929" s="101"/>
      <c r="N6929" s="101"/>
    </row>
    <row r="6930" spans="7:14" hidden="1" x14ac:dyDescent="0.3">
      <c r="G6930" s="101"/>
      <c r="H6930" s="101"/>
      <c r="I6930" s="101"/>
      <c r="K6930" s="226"/>
      <c r="L6930" s="226"/>
      <c r="M6930" s="101"/>
      <c r="N6930" s="101"/>
    </row>
    <row r="6931" spans="7:14" hidden="1" x14ac:dyDescent="0.3">
      <c r="G6931" s="101"/>
      <c r="H6931" s="101"/>
      <c r="I6931" s="101"/>
      <c r="K6931" s="226"/>
      <c r="L6931" s="226"/>
      <c r="M6931" s="101"/>
      <c r="N6931" s="101"/>
    </row>
    <row r="6932" spans="7:14" hidden="1" x14ac:dyDescent="0.3">
      <c r="G6932" s="101"/>
      <c r="H6932" s="101"/>
      <c r="I6932" s="101"/>
      <c r="K6932" s="226"/>
      <c r="L6932" s="226"/>
      <c r="M6932" s="101"/>
      <c r="N6932" s="101"/>
    </row>
    <row r="6933" spans="7:14" hidden="1" x14ac:dyDescent="0.3">
      <c r="G6933" s="101"/>
      <c r="H6933" s="101"/>
      <c r="I6933" s="101"/>
      <c r="K6933" s="226"/>
      <c r="L6933" s="226"/>
      <c r="M6933" s="101"/>
      <c r="N6933" s="101"/>
    </row>
    <row r="6934" spans="7:14" hidden="1" x14ac:dyDescent="0.3">
      <c r="G6934" s="101"/>
      <c r="H6934" s="101"/>
      <c r="I6934" s="101"/>
      <c r="K6934" s="226"/>
      <c r="L6934" s="226"/>
      <c r="M6934" s="101"/>
      <c r="N6934" s="101"/>
    </row>
    <row r="6935" spans="7:14" hidden="1" x14ac:dyDescent="0.3">
      <c r="G6935" s="101"/>
      <c r="H6935" s="101"/>
      <c r="I6935" s="101"/>
      <c r="K6935" s="226"/>
      <c r="L6935" s="226"/>
      <c r="M6935" s="101"/>
      <c r="N6935" s="101"/>
    </row>
    <row r="6936" spans="7:14" hidden="1" x14ac:dyDescent="0.3">
      <c r="G6936" s="101"/>
      <c r="H6936" s="101"/>
      <c r="I6936" s="101"/>
      <c r="K6936" s="226"/>
      <c r="L6936" s="226"/>
      <c r="M6936" s="101"/>
      <c r="N6936" s="101"/>
    </row>
    <row r="6937" spans="7:14" hidden="1" x14ac:dyDescent="0.3">
      <c r="G6937" s="101"/>
      <c r="H6937" s="101"/>
      <c r="I6937" s="101"/>
      <c r="K6937" s="226"/>
      <c r="L6937" s="226"/>
      <c r="M6937" s="101"/>
      <c r="N6937" s="101"/>
    </row>
    <row r="6938" spans="7:14" hidden="1" x14ac:dyDescent="0.3">
      <c r="G6938" s="101"/>
      <c r="H6938" s="101"/>
      <c r="I6938" s="101"/>
      <c r="K6938" s="226"/>
      <c r="L6938" s="226"/>
      <c r="M6938" s="101"/>
      <c r="N6938" s="101"/>
    </row>
    <row r="6939" spans="7:14" hidden="1" x14ac:dyDescent="0.3">
      <c r="G6939" s="101"/>
      <c r="H6939" s="101"/>
      <c r="I6939" s="101"/>
      <c r="K6939" s="226"/>
      <c r="L6939" s="226"/>
      <c r="M6939" s="101"/>
      <c r="N6939" s="101"/>
    </row>
    <row r="6940" spans="7:14" hidden="1" x14ac:dyDescent="0.3">
      <c r="G6940" s="101"/>
      <c r="H6940" s="101"/>
      <c r="I6940" s="101"/>
      <c r="K6940" s="226"/>
      <c r="L6940" s="226"/>
      <c r="M6940" s="101"/>
      <c r="N6940" s="101"/>
    </row>
    <row r="6941" spans="7:14" hidden="1" x14ac:dyDescent="0.3">
      <c r="G6941" s="101"/>
      <c r="H6941" s="101"/>
      <c r="I6941" s="101"/>
      <c r="K6941" s="226"/>
      <c r="L6941" s="226"/>
      <c r="M6941" s="101"/>
      <c r="N6941" s="101"/>
    </row>
    <row r="6942" spans="7:14" hidden="1" x14ac:dyDescent="0.3">
      <c r="G6942" s="101"/>
      <c r="H6942" s="101"/>
      <c r="I6942" s="101"/>
      <c r="K6942" s="226"/>
      <c r="L6942" s="226"/>
      <c r="M6942" s="101"/>
      <c r="N6942" s="101"/>
    </row>
    <row r="6943" spans="7:14" hidden="1" x14ac:dyDescent="0.3">
      <c r="G6943" s="101"/>
      <c r="H6943" s="101"/>
      <c r="I6943" s="101"/>
      <c r="K6943" s="226"/>
      <c r="L6943" s="226"/>
      <c r="M6943" s="101"/>
      <c r="N6943" s="101"/>
    </row>
    <row r="6944" spans="7:14" hidden="1" x14ac:dyDescent="0.3">
      <c r="G6944" s="101"/>
      <c r="H6944" s="101"/>
      <c r="I6944" s="101"/>
      <c r="K6944" s="226"/>
      <c r="L6944" s="226"/>
      <c r="M6944" s="101"/>
      <c r="N6944" s="101"/>
    </row>
    <row r="6945" spans="7:14" hidden="1" x14ac:dyDescent="0.3">
      <c r="G6945" s="101"/>
      <c r="H6945" s="101"/>
      <c r="I6945" s="101"/>
      <c r="K6945" s="226"/>
      <c r="L6945" s="226"/>
      <c r="M6945" s="101"/>
      <c r="N6945" s="101"/>
    </row>
    <row r="6946" spans="7:14" hidden="1" x14ac:dyDescent="0.3">
      <c r="G6946" s="101"/>
      <c r="H6946" s="101"/>
      <c r="I6946" s="101"/>
      <c r="K6946" s="226"/>
      <c r="L6946" s="226"/>
      <c r="M6946" s="101"/>
      <c r="N6946" s="101"/>
    </row>
    <row r="6947" spans="7:14" hidden="1" x14ac:dyDescent="0.3">
      <c r="G6947" s="101"/>
      <c r="H6947" s="101"/>
      <c r="I6947" s="101"/>
      <c r="K6947" s="226"/>
      <c r="L6947" s="226"/>
      <c r="M6947" s="101"/>
      <c r="N6947" s="101"/>
    </row>
    <row r="6948" spans="7:14" hidden="1" x14ac:dyDescent="0.3">
      <c r="G6948" s="101"/>
      <c r="H6948" s="101"/>
      <c r="I6948" s="101"/>
      <c r="K6948" s="226"/>
      <c r="L6948" s="226"/>
      <c r="M6948" s="101"/>
      <c r="N6948" s="101"/>
    </row>
    <row r="6949" spans="7:14" hidden="1" x14ac:dyDescent="0.3">
      <c r="G6949" s="101"/>
      <c r="H6949" s="101"/>
      <c r="I6949" s="101"/>
      <c r="K6949" s="226"/>
      <c r="L6949" s="226"/>
      <c r="M6949" s="101"/>
      <c r="N6949" s="101"/>
    </row>
    <row r="6950" spans="7:14" hidden="1" x14ac:dyDescent="0.3">
      <c r="G6950" s="101"/>
      <c r="H6950" s="101"/>
      <c r="I6950" s="101"/>
      <c r="K6950" s="226"/>
      <c r="L6950" s="226"/>
      <c r="M6950" s="101"/>
      <c r="N6950" s="101"/>
    </row>
    <row r="6951" spans="7:14" hidden="1" x14ac:dyDescent="0.3">
      <c r="G6951" s="101"/>
      <c r="H6951" s="101"/>
      <c r="I6951" s="101"/>
      <c r="K6951" s="226"/>
      <c r="L6951" s="226"/>
      <c r="M6951" s="101"/>
      <c r="N6951" s="101"/>
    </row>
    <row r="6952" spans="7:14" hidden="1" x14ac:dyDescent="0.3">
      <c r="G6952" s="101"/>
      <c r="H6952" s="101"/>
      <c r="I6952" s="101"/>
      <c r="K6952" s="226"/>
      <c r="L6952" s="226"/>
      <c r="M6952" s="101"/>
      <c r="N6952" s="101"/>
    </row>
    <row r="6953" spans="7:14" hidden="1" x14ac:dyDescent="0.3">
      <c r="G6953" s="101"/>
      <c r="H6953" s="101"/>
      <c r="I6953" s="101"/>
      <c r="K6953" s="226"/>
      <c r="L6953" s="226"/>
      <c r="M6953" s="101"/>
      <c r="N6953" s="101"/>
    </row>
    <row r="6954" spans="7:14" hidden="1" x14ac:dyDescent="0.3">
      <c r="G6954" s="101"/>
      <c r="H6954" s="101"/>
      <c r="I6954" s="101"/>
      <c r="K6954" s="226"/>
      <c r="L6954" s="226"/>
      <c r="M6954" s="101"/>
      <c r="N6954" s="101"/>
    </row>
    <row r="6955" spans="7:14" hidden="1" x14ac:dyDescent="0.3">
      <c r="G6955" s="101"/>
      <c r="H6955" s="101"/>
      <c r="I6955" s="101"/>
      <c r="K6955" s="226"/>
      <c r="L6955" s="226"/>
      <c r="M6955" s="101"/>
      <c r="N6955" s="101"/>
    </row>
    <row r="6956" spans="7:14" hidden="1" x14ac:dyDescent="0.3">
      <c r="G6956" s="101"/>
      <c r="H6956" s="101"/>
      <c r="I6956" s="101"/>
      <c r="K6956" s="226"/>
      <c r="L6956" s="226"/>
      <c r="M6956" s="101"/>
      <c r="N6956" s="101"/>
    </row>
    <row r="6957" spans="7:14" hidden="1" x14ac:dyDescent="0.3">
      <c r="G6957" s="101"/>
      <c r="H6957" s="101"/>
      <c r="I6957" s="101"/>
      <c r="K6957" s="226"/>
      <c r="L6957" s="226"/>
      <c r="M6957" s="101"/>
      <c r="N6957" s="101"/>
    </row>
    <row r="6958" spans="7:14" hidden="1" x14ac:dyDescent="0.3">
      <c r="G6958" s="101"/>
      <c r="H6958" s="101"/>
      <c r="I6958" s="101"/>
      <c r="K6958" s="226"/>
      <c r="L6958" s="226"/>
      <c r="M6958" s="101"/>
      <c r="N6958" s="101"/>
    </row>
    <row r="6959" spans="7:14" hidden="1" x14ac:dyDescent="0.3">
      <c r="G6959" s="101"/>
      <c r="H6959" s="101"/>
      <c r="I6959" s="101"/>
      <c r="K6959" s="226"/>
      <c r="L6959" s="226"/>
      <c r="M6959" s="101"/>
      <c r="N6959" s="101"/>
    </row>
    <row r="6960" spans="7:14" hidden="1" x14ac:dyDescent="0.3">
      <c r="G6960" s="101"/>
      <c r="H6960" s="101"/>
      <c r="I6960" s="101"/>
      <c r="K6960" s="226"/>
      <c r="L6960" s="226"/>
      <c r="M6960" s="101"/>
      <c r="N6960" s="101"/>
    </row>
    <row r="6961" spans="7:14" hidden="1" x14ac:dyDescent="0.3">
      <c r="G6961" s="101"/>
      <c r="H6961" s="101"/>
      <c r="I6961" s="101"/>
      <c r="K6961" s="226"/>
      <c r="L6961" s="226"/>
      <c r="M6961" s="101"/>
      <c r="N6961" s="101"/>
    </row>
    <row r="6962" spans="7:14" hidden="1" x14ac:dyDescent="0.3">
      <c r="G6962" s="101"/>
      <c r="H6962" s="101"/>
      <c r="I6962" s="101"/>
      <c r="K6962" s="226"/>
      <c r="L6962" s="226"/>
      <c r="M6962" s="101"/>
      <c r="N6962" s="101"/>
    </row>
    <row r="6963" spans="7:14" hidden="1" x14ac:dyDescent="0.3">
      <c r="G6963" s="101"/>
      <c r="H6963" s="101"/>
      <c r="I6963" s="101"/>
      <c r="K6963" s="226"/>
      <c r="L6963" s="226"/>
      <c r="M6963" s="101"/>
      <c r="N6963" s="101"/>
    </row>
    <row r="6964" spans="7:14" hidden="1" x14ac:dyDescent="0.3">
      <c r="G6964" s="101"/>
      <c r="H6964" s="101"/>
      <c r="I6964" s="101"/>
      <c r="K6964" s="226"/>
      <c r="L6964" s="226"/>
      <c r="M6964" s="101"/>
      <c r="N6964" s="101"/>
    </row>
    <row r="6965" spans="7:14" hidden="1" x14ac:dyDescent="0.3">
      <c r="G6965" s="101"/>
      <c r="H6965" s="101"/>
      <c r="I6965" s="101"/>
      <c r="K6965" s="226"/>
      <c r="L6965" s="226"/>
      <c r="M6965" s="101"/>
      <c r="N6965" s="101"/>
    </row>
    <row r="6966" spans="7:14" hidden="1" x14ac:dyDescent="0.3">
      <c r="G6966" s="101"/>
      <c r="H6966" s="101"/>
      <c r="I6966" s="101"/>
      <c r="K6966" s="226"/>
      <c r="L6966" s="226"/>
      <c r="M6966" s="101"/>
      <c r="N6966" s="101"/>
    </row>
    <row r="6967" spans="7:14" hidden="1" x14ac:dyDescent="0.3">
      <c r="G6967" s="101"/>
      <c r="H6967" s="101"/>
      <c r="I6967" s="101"/>
      <c r="K6967" s="226"/>
      <c r="L6967" s="226"/>
      <c r="M6967" s="101"/>
      <c r="N6967" s="101"/>
    </row>
    <row r="6968" spans="7:14" hidden="1" x14ac:dyDescent="0.3">
      <c r="G6968" s="101"/>
      <c r="H6968" s="101"/>
      <c r="I6968" s="101"/>
      <c r="K6968" s="226"/>
      <c r="L6968" s="226"/>
      <c r="M6968" s="101"/>
      <c r="N6968" s="101"/>
    </row>
    <row r="6969" spans="7:14" hidden="1" x14ac:dyDescent="0.3">
      <c r="G6969" s="101"/>
      <c r="H6969" s="101"/>
      <c r="I6969" s="101"/>
      <c r="K6969" s="226"/>
      <c r="L6969" s="226"/>
      <c r="M6969" s="101"/>
      <c r="N6969" s="101"/>
    </row>
    <row r="6970" spans="7:14" hidden="1" x14ac:dyDescent="0.3">
      <c r="G6970" s="101"/>
      <c r="H6970" s="101"/>
      <c r="I6970" s="101"/>
      <c r="K6970" s="226"/>
      <c r="L6970" s="226"/>
      <c r="M6970" s="101"/>
      <c r="N6970" s="101"/>
    </row>
    <row r="6971" spans="7:14" hidden="1" x14ac:dyDescent="0.3">
      <c r="G6971" s="101"/>
      <c r="H6971" s="101"/>
      <c r="I6971" s="101"/>
      <c r="K6971" s="226"/>
      <c r="L6971" s="226"/>
      <c r="M6971" s="101"/>
      <c r="N6971" s="101"/>
    </row>
    <row r="6972" spans="7:14" hidden="1" x14ac:dyDescent="0.3">
      <c r="G6972" s="101"/>
      <c r="H6972" s="101"/>
      <c r="I6972" s="101"/>
      <c r="K6972" s="226"/>
      <c r="L6972" s="226"/>
      <c r="M6972" s="101"/>
      <c r="N6972" s="101"/>
    </row>
    <row r="6973" spans="7:14" hidden="1" x14ac:dyDescent="0.3">
      <c r="G6973" s="101"/>
      <c r="H6973" s="101"/>
      <c r="I6973" s="101"/>
      <c r="K6973" s="226"/>
      <c r="L6973" s="226"/>
      <c r="M6973" s="101"/>
      <c r="N6973" s="101"/>
    </row>
    <row r="6974" spans="7:14" hidden="1" x14ac:dyDescent="0.3">
      <c r="G6974" s="101"/>
      <c r="H6974" s="101"/>
      <c r="I6974" s="101"/>
      <c r="K6974" s="226"/>
      <c r="L6974" s="226"/>
      <c r="M6974" s="101"/>
      <c r="N6974" s="101"/>
    </row>
    <row r="6975" spans="7:14" hidden="1" x14ac:dyDescent="0.3">
      <c r="G6975" s="101"/>
      <c r="H6975" s="101"/>
      <c r="I6975" s="101"/>
      <c r="K6975" s="226"/>
      <c r="L6975" s="226"/>
      <c r="M6975" s="101"/>
      <c r="N6975" s="101"/>
    </row>
    <row r="6976" spans="7:14" hidden="1" x14ac:dyDescent="0.3">
      <c r="G6976" s="101"/>
      <c r="H6976" s="101"/>
      <c r="I6976" s="101"/>
      <c r="K6976" s="226"/>
      <c r="L6976" s="226"/>
      <c r="M6976" s="101"/>
      <c r="N6976" s="101"/>
    </row>
    <row r="6977" spans="7:14" hidden="1" x14ac:dyDescent="0.3">
      <c r="G6977" s="101"/>
      <c r="H6977" s="101"/>
      <c r="I6977" s="101"/>
      <c r="K6977" s="226"/>
      <c r="L6977" s="226"/>
      <c r="M6977" s="101"/>
      <c r="N6977" s="101"/>
    </row>
    <row r="6978" spans="7:14" hidden="1" x14ac:dyDescent="0.3">
      <c r="G6978" s="101"/>
      <c r="H6978" s="101"/>
      <c r="I6978" s="101"/>
      <c r="K6978" s="226"/>
      <c r="L6978" s="226"/>
      <c r="M6978" s="101"/>
      <c r="N6978" s="101"/>
    </row>
    <row r="6979" spans="7:14" hidden="1" x14ac:dyDescent="0.3">
      <c r="G6979" s="101"/>
      <c r="H6979" s="101"/>
      <c r="I6979" s="101"/>
      <c r="K6979" s="226"/>
      <c r="L6979" s="226"/>
      <c r="M6979" s="101"/>
      <c r="N6979" s="101"/>
    </row>
    <row r="6980" spans="7:14" hidden="1" x14ac:dyDescent="0.3">
      <c r="G6980" s="101"/>
      <c r="H6980" s="101"/>
      <c r="I6980" s="101"/>
      <c r="K6980" s="226"/>
      <c r="L6980" s="226"/>
      <c r="M6980" s="101"/>
      <c r="N6980" s="101"/>
    </row>
    <row r="6981" spans="7:14" hidden="1" x14ac:dyDescent="0.3">
      <c r="G6981" s="101"/>
      <c r="H6981" s="101"/>
      <c r="I6981" s="101"/>
      <c r="K6981" s="226"/>
      <c r="L6981" s="226"/>
      <c r="M6981" s="101"/>
      <c r="N6981" s="101"/>
    </row>
    <row r="6982" spans="7:14" hidden="1" x14ac:dyDescent="0.3">
      <c r="G6982" s="101"/>
      <c r="H6982" s="101"/>
      <c r="I6982" s="101"/>
      <c r="K6982" s="226"/>
      <c r="L6982" s="226"/>
      <c r="M6982" s="101"/>
      <c r="N6982" s="101"/>
    </row>
    <row r="6983" spans="7:14" hidden="1" x14ac:dyDescent="0.3">
      <c r="G6983" s="101"/>
      <c r="H6983" s="101"/>
      <c r="I6983" s="101"/>
      <c r="K6983" s="226"/>
      <c r="L6983" s="226"/>
      <c r="M6983" s="101"/>
      <c r="N6983" s="101"/>
    </row>
    <row r="6984" spans="7:14" hidden="1" x14ac:dyDescent="0.3">
      <c r="G6984" s="101"/>
      <c r="H6984" s="101"/>
      <c r="I6984" s="101"/>
      <c r="K6984" s="226"/>
      <c r="L6984" s="226"/>
      <c r="M6984" s="101"/>
      <c r="N6984" s="101"/>
    </row>
    <row r="6985" spans="7:14" hidden="1" x14ac:dyDescent="0.3">
      <c r="G6985" s="101"/>
      <c r="H6985" s="101"/>
      <c r="I6985" s="101"/>
      <c r="K6985" s="226"/>
      <c r="L6985" s="226"/>
      <c r="M6985" s="101"/>
      <c r="N6985" s="101"/>
    </row>
    <row r="6986" spans="7:14" hidden="1" x14ac:dyDescent="0.3">
      <c r="G6986" s="101"/>
      <c r="H6986" s="101"/>
      <c r="I6986" s="101"/>
      <c r="K6986" s="226"/>
      <c r="L6986" s="226"/>
      <c r="M6986" s="101"/>
      <c r="N6986" s="101"/>
    </row>
    <row r="6987" spans="7:14" hidden="1" x14ac:dyDescent="0.3">
      <c r="G6987" s="101"/>
      <c r="H6987" s="101"/>
      <c r="I6987" s="101"/>
      <c r="K6987" s="226"/>
      <c r="L6987" s="226"/>
      <c r="M6987" s="101"/>
      <c r="N6987" s="101"/>
    </row>
    <row r="6988" spans="7:14" hidden="1" x14ac:dyDescent="0.3">
      <c r="G6988" s="101"/>
      <c r="H6988" s="101"/>
      <c r="I6988" s="101"/>
      <c r="K6988" s="226"/>
      <c r="L6988" s="226"/>
      <c r="M6988" s="101"/>
      <c r="N6988" s="101"/>
    </row>
    <row r="6989" spans="7:14" hidden="1" x14ac:dyDescent="0.3">
      <c r="G6989" s="101"/>
      <c r="H6989" s="101"/>
      <c r="I6989" s="101"/>
      <c r="K6989" s="226"/>
      <c r="L6989" s="226"/>
      <c r="M6989" s="101"/>
      <c r="N6989" s="101"/>
    </row>
    <row r="6990" spans="7:14" hidden="1" x14ac:dyDescent="0.3">
      <c r="G6990" s="101"/>
      <c r="H6990" s="101"/>
      <c r="I6990" s="101"/>
      <c r="K6990" s="226"/>
      <c r="L6990" s="226"/>
      <c r="M6990" s="101"/>
      <c r="N6990" s="101"/>
    </row>
    <row r="6991" spans="7:14" hidden="1" x14ac:dyDescent="0.3">
      <c r="G6991" s="101"/>
      <c r="H6991" s="101"/>
      <c r="I6991" s="101"/>
      <c r="K6991" s="226"/>
      <c r="L6991" s="226"/>
      <c r="M6991" s="101"/>
      <c r="N6991" s="101"/>
    </row>
    <row r="6992" spans="7:14" hidden="1" x14ac:dyDescent="0.3">
      <c r="G6992" s="101"/>
      <c r="H6992" s="101"/>
      <c r="I6992" s="101"/>
      <c r="K6992" s="226"/>
      <c r="L6992" s="226"/>
      <c r="M6992" s="101"/>
      <c r="N6992" s="101"/>
    </row>
    <row r="6993" spans="7:14" hidden="1" x14ac:dyDescent="0.3">
      <c r="G6993" s="101"/>
      <c r="H6993" s="101"/>
      <c r="I6993" s="101"/>
      <c r="K6993" s="226"/>
      <c r="L6993" s="226"/>
      <c r="M6993" s="101"/>
      <c r="N6993" s="101"/>
    </row>
    <row r="6994" spans="7:14" hidden="1" x14ac:dyDescent="0.3">
      <c r="G6994" s="101"/>
      <c r="H6994" s="101"/>
      <c r="I6994" s="101"/>
      <c r="K6994" s="226"/>
      <c r="L6994" s="226"/>
      <c r="M6994" s="101"/>
      <c r="N6994" s="101"/>
    </row>
    <row r="6995" spans="7:14" hidden="1" x14ac:dyDescent="0.3">
      <c r="G6995" s="101"/>
      <c r="H6995" s="101"/>
      <c r="I6995" s="101"/>
      <c r="K6995" s="226"/>
      <c r="L6995" s="226"/>
      <c r="M6995" s="101"/>
      <c r="N6995" s="101"/>
    </row>
    <row r="6996" spans="7:14" hidden="1" x14ac:dyDescent="0.3">
      <c r="G6996" s="101"/>
      <c r="H6996" s="101"/>
      <c r="I6996" s="101"/>
      <c r="K6996" s="226"/>
      <c r="L6996" s="226"/>
      <c r="M6996" s="101"/>
      <c r="N6996" s="101"/>
    </row>
    <row r="6997" spans="7:14" hidden="1" x14ac:dyDescent="0.3">
      <c r="G6997" s="101"/>
      <c r="H6997" s="101"/>
      <c r="I6997" s="101"/>
      <c r="K6997" s="226"/>
      <c r="L6997" s="226"/>
      <c r="M6997" s="101"/>
      <c r="N6997" s="101"/>
    </row>
    <row r="6998" spans="7:14" hidden="1" x14ac:dyDescent="0.3">
      <c r="G6998" s="101"/>
      <c r="H6998" s="101"/>
      <c r="I6998" s="101"/>
      <c r="K6998" s="226"/>
      <c r="L6998" s="226"/>
      <c r="M6998" s="101"/>
      <c r="N6998" s="101"/>
    </row>
    <row r="6999" spans="7:14" hidden="1" x14ac:dyDescent="0.3">
      <c r="G6999" s="101"/>
      <c r="H6999" s="101"/>
      <c r="I6999" s="101"/>
      <c r="K6999" s="226"/>
      <c r="L6999" s="226"/>
      <c r="M6999" s="101"/>
      <c r="N6999" s="101"/>
    </row>
    <row r="7000" spans="7:14" hidden="1" x14ac:dyDescent="0.3">
      <c r="G7000" s="101"/>
      <c r="H7000" s="101"/>
      <c r="I7000" s="101"/>
      <c r="K7000" s="226"/>
      <c r="L7000" s="226"/>
      <c r="M7000" s="101"/>
      <c r="N7000" s="101"/>
    </row>
    <row r="7001" spans="7:14" hidden="1" x14ac:dyDescent="0.3">
      <c r="G7001" s="101"/>
      <c r="H7001" s="101"/>
      <c r="I7001" s="101"/>
      <c r="K7001" s="226"/>
      <c r="L7001" s="226"/>
      <c r="M7001" s="101"/>
      <c r="N7001" s="101"/>
    </row>
    <row r="7002" spans="7:14" hidden="1" x14ac:dyDescent="0.3">
      <c r="G7002" s="101"/>
      <c r="H7002" s="101"/>
      <c r="I7002" s="101"/>
      <c r="K7002" s="226"/>
      <c r="L7002" s="226"/>
      <c r="M7002" s="101"/>
      <c r="N7002" s="101"/>
    </row>
    <row r="7003" spans="7:14" hidden="1" x14ac:dyDescent="0.3">
      <c r="G7003" s="101"/>
      <c r="H7003" s="101"/>
      <c r="I7003" s="101"/>
      <c r="K7003" s="226"/>
      <c r="L7003" s="226"/>
      <c r="M7003" s="101"/>
      <c r="N7003" s="101"/>
    </row>
    <row r="7004" spans="7:14" hidden="1" x14ac:dyDescent="0.3">
      <c r="G7004" s="101"/>
      <c r="H7004" s="101"/>
      <c r="I7004" s="101"/>
      <c r="K7004" s="226"/>
      <c r="L7004" s="226"/>
      <c r="M7004" s="101"/>
      <c r="N7004" s="101"/>
    </row>
    <row r="7005" spans="7:14" hidden="1" x14ac:dyDescent="0.3">
      <c r="G7005" s="101"/>
      <c r="H7005" s="101"/>
      <c r="I7005" s="101"/>
      <c r="K7005" s="226"/>
      <c r="L7005" s="226"/>
      <c r="M7005" s="101"/>
      <c r="N7005" s="101"/>
    </row>
    <row r="7006" spans="7:14" hidden="1" x14ac:dyDescent="0.3">
      <c r="G7006" s="101"/>
      <c r="H7006" s="101"/>
      <c r="I7006" s="101"/>
      <c r="K7006" s="226"/>
      <c r="L7006" s="226"/>
      <c r="M7006" s="101"/>
      <c r="N7006" s="101"/>
    </row>
    <row r="7007" spans="7:14" hidden="1" x14ac:dyDescent="0.3">
      <c r="G7007" s="101"/>
      <c r="H7007" s="101"/>
      <c r="I7007" s="101"/>
      <c r="K7007" s="226"/>
      <c r="L7007" s="226"/>
      <c r="M7007" s="101"/>
      <c r="N7007" s="101"/>
    </row>
    <row r="7008" spans="7:14" hidden="1" x14ac:dyDescent="0.3">
      <c r="G7008" s="101"/>
      <c r="H7008" s="101"/>
      <c r="I7008" s="101"/>
      <c r="K7008" s="226"/>
      <c r="L7008" s="226"/>
      <c r="M7008" s="101"/>
      <c r="N7008" s="101"/>
    </row>
    <row r="7009" spans="7:14" hidden="1" x14ac:dyDescent="0.3">
      <c r="G7009" s="101"/>
      <c r="H7009" s="101"/>
      <c r="I7009" s="101"/>
      <c r="K7009" s="226"/>
      <c r="L7009" s="226"/>
      <c r="M7009" s="101"/>
      <c r="N7009" s="101"/>
    </row>
    <row r="7010" spans="7:14" hidden="1" x14ac:dyDescent="0.3">
      <c r="G7010" s="101"/>
      <c r="H7010" s="101"/>
      <c r="I7010" s="101"/>
      <c r="K7010" s="226"/>
      <c r="L7010" s="226"/>
      <c r="M7010" s="101"/>
      <c r="N7010" s="101"/>
    </row>
    <row r="7011" spans="7:14" hidden="1" x14ac:dyDescent="0.3">
      <c r="G7011" s="101"/>
      <c r="H7011" s="101"/>
      <c r="I7011" s="101"/>
      <c r="K7011" s="226"/>
      <c r="L7011" s="226"/>
      <c r="M7011" s="101"/>
      <c r="N7011" s="101"/>
    </row>
    <row r="7012" spans="7:14" hidden="1" x14ac:dyDescent="0.3">
      <c r="G7012" s="101"/>
      <c r="H7012" s="101"/>
      <c r="I7012" s="101"/>
      <c r="K7012" s="226"/>
      <c r="L7012" s="226"/>
      <c r="M7012" s="101"/>
      <c r="N7012" s="101"/>
    </row>
    <row r="7013" spans="7:14" hidden="1" x14ac:dyDescent="0.3">
      <c r="G7013" s="101"/>
      <c r="H7013" s="101"/>
      <c r="I7013" s="101"/>
      <c r="K7013" s="226"/>
      <c r="L7013" s="226"/>
      <c r="M7013" s="101"/>
      <c r="N7013" s="101"/>
    </row>
    <row r="7014" spans="7:14" hidden="1" x14ac:dyDescent="0.3">
      <c r="G7014" s="101"/>
      <c r="H7014" s="101"/>
      <c r="I7014" s="101"/>
      <c r="K7014" s="226"/>
      <c r="L7014" s="226"/>
      <c r="M7014" s="101"/>
      <c r="N7014" s="101"/>
    </row>
    <row r="7015" spans="7:14" hidden="1" x14ac:dyDescent="0.3">
      <c r="G7015" s="101"/>
      <c r="H7015" s="101"/>
      <c r="I7015" s="101"/>
      <c r="K7015" s="226"/>
      <c r="L7015" s="226"/>
      <c r="M7015" s="101"/>
      <c r="N7015" s="101"/>
    </row>
    <row r="7016" spans="7:14" hidden="1" x14ac:dyDescent="0.3">
      <c r="G7016" s="101"/>
      <c r="H7016" s="101"/>
      <c r="I7016" s="101"/>
      <c r="K7016" s="226"/>
      <c r="L7016" s="226"/>
      <c r="M7016" s="101"/>
      <c r="N7016" s="101"/>
    </row>
    <row r="7017" spans="7:14" hidden="1" x14ac:dyDescent="0.3">
      <c r="G7017" s="101"/>
      <c r="H7017" s="101"/>
      <c r="I7017" s="101"/>
      <c r="K7017" s="226"/>
      <c r="L7017" s="226"/>
      <c r="M7017" s="101"/>
      <c r="N7017" s="101"/>
    </row>
    <row r="7018" spans="7:14" hidden="1" x14ac:dyDescent="0.3">
      <c r="G7018" s="101"/>
      <c r="H7018" s="101"/>
      <c r="I7018" s="101"/>
      <c r="K7018" s="226"/>
      <c r="L7018" s="226"/>
      <c r="M7018" s="101"/>
      <c r="N7018" s="101"/>
    </row>
    <row r="7019" spans="7:14" hidden="1" x14ac:dyDescent="0.3">
      <c r="G7019" s="101"/>
      <c r="H7019" s="101"/>
      <c r="I7019" s="101"/>
      <c r="K7019" s="226"/>
      <c r="L7019" s="226"/>
      <c r="M7019" s="101"/>
      <c r="N7019" s="101"/>
    </row>
    <row r="7020" spans="7:14" hidden="1" x14ac:dyDescent="0.3">
      <c r="G7020" s="101"/>
      <c r="H7020" s="101"/>
      <c r="I7020" s="101"/>
      <c r="K7020" s="226"/>
      <c r="L7020" s="226"/>
      <c r="M7020" s="101"/>
      <c r="N7020" s="101"/>
    </row>
    <row r="7021" spans="7:14" hidden="1" x14ac:dyDescent="0.3">
      <c r="G7021" s="101"/>
      <c r="H7021" s="101"/>
      <c r="I7021" s="101"/>
      <c r="K7021" s="226"/>
      <c r="L7021" s="226"/>
      <c r="M7021" s="101"/>
      <c r="N7021" s="101"/>
    </row>
    <row r="7022" spans="7:14" hidden="1" x14ac:dyDescent="0.3">
      <c r="G7022" s="101"/>
      <c r="H7022" s="101"/>
      <c r="I7022" s="101"/>
      <c r="K7022" s="226"/>
      <c r="L7022" s="226"/>
      <c r="M7022" s="101"/>
      <c r="N7022" s="101"/>
    </row>
    <row r="7023" spans="7:14" hidden="1" x14ac:dyDescent="0.3">
      <c r="G7023" s="101"/>
      <c r="H7023" s="101"/>
      <c r="I7023" s="101"/>
      <c r="K7023" s="226"/>
      <c r="L7023" s="226"/>
      <c r="M7023" s="101"/>
      <c r="N7023" s="101"/>
    </row>
    <row r="7024" spans="7:14" hidden="1" x14ac:dyDescent="0.3">
      <c r="G7024" s="101"/>
      <c r="H7024" s="101"/>
      <c r="I7024" s="101"/>
      <c r="K7024" s="226"/>
      <c r="L7024" s="226"/>
      <c r="M7024" s="101"/>
      <c r="N7024" s="101"/>
    </row>
    <row r="7025" spans="7:14" hidden="1" x14ac:dyDescent="0.3">
      <c r="G7025" s="101"/>
      <c r="H7025" s="101"/>
      <c r="I7025" s="101"/>
      <c r="K7025" s="226"/>
      <c r="L7025" s="226"/>
      <c r="M7025" s="101"/>
      <c r="N7025" s="101"/>
    </row>
    <row r="7026" spans="7:14" hidden="1" x14ac:dyDescent="0.3">
      <c r="G7026" s="101"/>
      <c r="H7026" s="101"/>
      <c r="I7026" s="101"/>
      <c r="K7026" s="226"/>
      <c r="L7026" s="226"/>
      <c r="M7026" s="101"/>
      <c r="N7026" s="101"/>
    </row>
    <row r="7027" spans="7:14" hidden="1" x14ac:dyDescent="0.3">
      <c r="G7027" s="101"/>
      <c r="H7027" s="101"/>
      <c r="I7027" s="101"/>
      <c r="K7027" s="226"/>
      <c r="L7027" s="226"/>
      <c r="M7027" s="101"/>
      <c r="N7027" s="101"/>
    </row>
    <row r="7028" spans="7:14" hidden="1" x14ac:dyDescent="0.3">
      <c r="G7028" s="101"/>
      <c r="H7028" s="101"/>
      <c r="I7028" s="101"/>
      <c r="K7028" s="226"/>
      <c r="L7028" s="226"/>
      <c r="M7028" s="101"/>
      <c r="N7028" s="101"/>
    </row>
    <row r="7029" spans="7:14" hidden="1" x14ac:dyDescent="0.3">
      <c r="G7029" s="101"/>
      <c r="H7029" s="101"/>
      <c r="I7029" s="101"/>
      <c r="K7029" s="226"/>
      <c r="L7029" s="226"/>
      <c r="M7029" s="101"/>
      <c r="N7029" s="101"/>
    </row>
    <row r="7030" spans="7:14" hidden="1" x14ac:dyDescent="0.3">
      <c r="G7030" s="101"/>
      <c r="H7030" s="101"/>
      <c r="I7030" s="101"/>
      <c r="K7030" s="226"/>
      <c r="L7030" s="226"/>
      <c r="M7030" s="101"/>
      <c r="N7030" s="101"/>
    </row>
    <row r="7031" spans="7:14" hidden="1" x14ac:dyDescent="0.3">
      <c r="G7031" s="101"/>
      <c r="H7031" s="101"/>
      <c r="I7031" s="101"/>
      <c r="K7031" s="226"/>
      <c r="L7031" s="226"/>
      <c r="M7031" s="101"/>
      <c r="N7031" s="101"/>
    </row>
    <row r="7032" spans="7:14" hidden="1" x14ac:dyDescent="0.3">
      <c r="G7032" s="101"/>
      <c r="H7032" s="101"/>
      <c r="I7032" s="101"/>
      <c r="K7032" s="226"/>
      <c r="L7032" s="226"/>
      <c r="M7032" s="101"/>
      <c r="N7032" s="101"/>
    </row>
    <row r="7033" spans="7:14" hidden="1" x14ac:dyDescent="0.3">
      <c r="G7033" s="101"/>
      <c r="H7033" s="101"/>
      <c r="I7033" s="101"/>
      <c r="K7033" s="226"/>
      <c r="L7033" s="226"/>
      <c r="M7033" s="101"/>
      <c r="N7033" s="101"/>
    </row>
    <row r="7034" spans="7:14" hidden="1" x14ac:dyDescent="0.3">
      <c r="G7034" s="101"/>
      <c r="H7034" s="101"/>
      <c r="I7034" s="101"/>
      <c r="K7034" s="226"/>
      <c r="L7034" s="226"/>
      <c r="M7034" s="101"/>
      <c r="N7034" s="101"/>
    </row>
    <row r="7035" spans="7:14" hidden="1" x14ac:dyDescent="0.3">
      <c r="G7035" s="101"/>
      <c r="H7035" s="101"/>
      <c r="I7035" s="101"/>
      <c r="K7035" s="226"/>
      <c r="L7035" s="226"/>
      <c r="M7035" s="101"/>
      <c r="N7035" s="101"/>
    </row>
    <row r="7036" spans="7:14" hidden="1" x14ac:dyDescent="0.3">
      <c r="G7036" s="101"/>
      <c r="H7036" s="101"/>
      <c r="I7036" s="101"/>
      <c r="K7036" s="226"/>
      <c r="L7036" s="226"/>
      <c r="M7036" s="101"/>
      <c r="N7036" s="101"/>
    </row>
    <row r="7037" spans="7:14" hidden="1" x14ac:dyDescent="0.3">
      <c r="G7037" s="101"/>
      <c r="H7037" s="101"/>
      <c r="I7037" s="101"/>
      <c r="K7037" s="226"/>
      <c r="L7037" s="226"/>
      <c r="M7037" s="101"/>
      <c r="N7037" s="101"/>
    </row>
    <row r="7038" spans="7:14" hidden="1" x14ac:dyDescent="0.3">
      <c r="G7038" s="101"/>
      <c r="H7038" s="101"/>
      <c r="I7038" s="101"/>
      <c r="K7038" s="226"/>
      <c r="L7038" s="226"/>
      <c r="M7038" s="101"/>
      <c r="N7038" s="101"/>
    </row>
    <row r="7039" spans="7:14" hidden="1" x14ac:dyDescent="0.3">
      <c r="G7039" s="101"/>
      <c r="H7039" s="101"/>
      <c r="I7039" s="101"/>
      <c r="K7039" s="226"/>
      <c r="L7039" s="226"/>
      <c r="M7039" s="101"/>
      <c r="N7039" s="101"/>
    </row>
    <row r="7040" spans="7:14" hidden="1" x14ac:dyDescent="0.3">
      <c r="G7040" s="101"/>
      <c r="H7040" s="101"/>
      <c r="I7040" s="101"/>
      <c r="K7040" s="226"/>
      <c r="L7040" s="226"/>
      <c r="M7040" s="101"/>
      <c r="N7040" s="101"/>
    </row>
    <row r="7041" spans="7:14" hidden="1" x14ac:dyDescent="0.3">
      <c r="G7041" s="101"/>
      <c r="H7041" s="101"/>
      <c r="I7041" s="101"/>
      <c r="K7041" s="226"/>
      <c r="L7041" s="226"/>
      <c r="M7041" s="101"/>
      <c r="N7041" s="101"/>
    </row>
    <row r="7042" spans="7:14" hidden="1" x14ac:dyDescent="0.3">
      <c r="G7042" s="101"/>
      <c r="H7042" s="101"/>
      <c r="I7042" s="101"/>
      <c r="K7042" s="226"/>
      <c r="L7042" s="226"/>
      <c r="M7042" s="101"/>
      <c r="N7042" s="101"/>
    </row>
    <row r="7043" spans="7:14" hidden="1" x14ac:dyDescent="0.3">
      <c r="G7043" s="101"/>
      <c r="H7043" s="101"/>
      <c r="I7043" s="101"/>
      <c r="K7043" s="226"/>
      <c r="L7043" s="226"/>
      <c r="M7043" s="101"/>
      <c r="N7043" s="101"/>
    </row>
    <row r="7044" spans="7:14" hidden="1" x14ac:dyDescent="0.3">
      <c r="G7044" s="101"/>
      <c r="H7044" s="101"/>
      <c r="I7044" s="101"/>
      <c r="K7044" s="226"/>
      <c r="L7044" s="226"/>
      <c r="M7044" s="101"/>
      <c r="N7044" s="101"/>
    </row>
    <row r="7045" spans="7:14" hidden="1" x14ac:dyDescent="0.3">
      <c r="G7045" s="101"/>
      <c r="H7045" s="101"/>
      <c r="I7045" s="101"/>
      <c r="K7045" s="226"/>
      <c r="L7045" s="226"/>
      <c r="M7045" s="101"/>
      <c r="N7045" s="101"/>
    </row>
    <row r="7046" spans="7:14" hidden="1" x14ac:dyDescent="0.3">
      <c r="G7046" s="101"/>
      <c r="H7046" s="101"/>
      <c r="I7046" s="101"/>
      <c r="K7046" s="226"/>
      <c r="L7046" s="226"/>
      <c r="M7046" s="101"/>
      <c r="N7046" s="101"/>
    </row>
    <row r="7047" spans="7:14" hidden="1" x14ac:dyDescent="0.3">
      <c r="G7047" s="101"/>
      <c r="H7047" s="101"/>
      <c r="I7047" s="101"/>
      <c r="K7047" s="226"/>
      <c r="L7047" s="226"/>
      <c r="M7047" s="101"/>
      <c r="N7047" s="101"/>
    </row>
    <row r="7048" spans="7:14" hidden="1" x14ac:dyDescent="0.3">
      <c r="G7048" s="101"/>
      <c r="H7048" s="101"/>
      <c r="I7048" s="101"/>
      <c r="K7048" s="226"/>
      <c r="L7048" s="226"/>
      <c r="M7048" s="101"/>
      <c r="N7048" s="101"/>
    </row>
    <row r="7049" spans="7:14" hidden="1" x14ac:dyDescent="0.3">
      <c r="G7049" s="101"/>
      <c r="H7049" s="101"/>
      <c r="I7049" s="101"/>
      <c r="K7049" s="226"/>
      <c r="L7049" s="226"/>
      <c r="M7049" s="101"/>
      <c r="N7049" s="101"/>
    </row>
    <row r="7050" spans="7:14" hidden="1" x14ac:dyDescent="0.3">
      <c r="G7050" s="101"/>
      <c r="H7050" s="101"/>
      <c r="I7050" s="101"/>
      <c r="K7050" s="226"/>
      <c r="L7050" s="226"/>
      <c r="M7050" s="101"/>
      <c r="N7050" s="101"/>
    </row>
    <row r="7051" spans="7:14" hidden="1" x14ac:dyDescent="0.3">
      <c r="G7051" s="101"/>
      <c r="H7051" s="101"/>
      <c r="I7051" s="101"/>
      <c r="K7051" s="226"/>
      <c r="L7051" s="226"/>
      <c r="M7051" s="101"/>
      <c r="N7051" s="101"/>
    </row>
    <row r="7052" spans="7:14" hidden="1" x14ac:dyDescent="0.3">
      <c r="G7052" s="101"/>
      <c r="H7052" s="101"/>
      <c r="I7052" s="101"/>
      <c r="K7052" s="226"/>
      <c r="L7052" s="226"/>
      <c r="M7052" s="101"/>
      <c r="N7052" s="101"/>
    </row>
    <row r="7053" spans="7:14" hidden="1" x14ac:dyDescent="0.3">
      <c r="G7053" s="101"/>
      <c r="H7053" s="101"/>
      <c r="I7053" s="101"/>
      <c r="K7053" s="226"/>
      <c r="L7053" s="226"/>
      <c r="M7053" s="101"/>
      <c r="N7053" s="101"/>
    </row>
    <row r="7054" spans="7:14" hidden="1" x14ac:dyDescent="0.3">
      <c r="G7054" s="101"/>
      <c r="H7054" s="101"/>
      <c r="I7054" s="101"/>
      <c r="K7054" s="226"/>
      <c r="L7054" s="226"/>
      <c r="M7054" s="101"/>
      <c r="N7054" s="101"/>
    </row>
    <row r="7055" spans="7:14" hidden="1" x14ac:dyDescent="0.3">
      <c r="G7055" s="101"/>
      <c r="H7055" s="101"/>
      <c r="I7055" s="101"/>
      <c r="K7055" s="226"/>
      <c r="L7055" s="226"/>
      <c r="M7055" s="101"/>
      <c r="N7055" s="101"/>
    </row>
    <row r="7056" spans="7:14" hidden="1" x14ac:dyDescent="0.3">
      <c r="G7056" s="101"/>
      <c r="H7056" s="101"/>
      <c r="I7056" s="101"/>
      <c r="K7056" s="226"/>
      <c r="L7056" s="226"/>
      <c r="M7056" s="101"/>
      <c r="N7056" s="101"/>
    </row>
    <row r="7057" spans="7:14" hidden="1" x14ac:dyDescent="0.3">
      <c r="G7057" s="101"/>
      <c r="H7057" s="101"/>
      <c r="I7057" s="101"/>
      <c r="K7057" s="226"/>
      <c r="L7057" s="226"/>
      <c r="M7057" s="101"/>
      <c r="N7057" s="101"/>
    </row>
    <row r="7058" spans="7:14" hidden="1" x14ac:dyDescent="0.3">
      <c r="G7058" s="101"/>
      <c r="H7058" s="101"/>
      <c r="I7058" s="101"/>
      <c r="K7058" s="226"/>
      <c r="L7058" s="226"/>
      <c r="M7058" s="101"/>
      <c r="N7058" s="101"/>
    </row>
    <row r="7059" spans="7:14" hidden="1" x14ac:dyDescent="0.3">
      <c r="G7059" s="101"/>
      <c r="H7059" s="101"/>
      <c r="I7059" s="101"/>
      <c r="K7059" s="226"/>
      <c r="L7059" s="226"/>
      <c r="M7059" s="101"/>
      <c r="N7059" s="101"/>
    </row>
    <row r="7060" spans="7:14" hidden="1" x14ac:dyDescent="0.3">
      <c r="G7060" s="101"/>
      <c r="H7060" s="101"/>
      <c r="I7060" s="101"/>
      <c r="K7060" s="226"/>
      <c r="L7060" s="226"/>
      <c r="M7060" s="101"/>
      <c r="N7060" s="101"/>
    </row>
    <row r="7061" spans="7:14" hidden="1" x14ac:dyDescent="0.3">
      <c r="G7061" s="101"/>
      <c r="H7061" s="101"/>
      <c r="I7061" s="101"/>
      <c r="K7061" s="226"/>
      <c r="L7061" s="226"/>
      <c r="M7061" s="101"/>
      <c r="N7061" s="101"/>
    </row>
    <row r="7062" spans="7:14" hidden="1" x14ac:dyDescent="0.3">
      <c r="G7062" s="101"/>
      <c r="H7062" s="101"/>
      <c r="I7062" s="101"/>
      <c r="K7062" s="226"/>
      <c r="L7062" s="226"/>
      <c r="M7062" s="101"/>
      <c r="N7062" s="101"/>
    </row>
    <row r="7063" spans="7:14" hidden="1" x14ac:dyDescent="0.3">
      <c r="G7063" s="101"/>
      <c r="H7063" s="101"/>
      <c r="I7063" s="101"/>
      <c r="K7063" s="226"/>
      <c r="L7063" s="226"/>
      <c r="M7063" s="101"/>
      <c r="N7063" s="101"/>
    </row>
    <row r="7064" spans="7:14" hidden="1" x14ac:dyDescent="0.3">
      <c r="G7064" s="101"/>
      <c r="H7064" s="101"/>
      <c r="I7064" s="101"/>
      <c r="K7064" s="226"/>
      <c r="L7064" s="226"/>
      <c r="M7064" s="101"/>
      <c r="N7064" s="101"/>
    </row>
    <row r="7065" spans="7:14" hidden="1" x14ac:dyDescent="0.3">
      <c r="G7065" s="101"/>
      <c r="H7065" s="101"/>
      <c r="I7065" s="101"/>
      <c r="K7065" s="226"/>
      <c r="L7065" s="226"/>
      <c r="M7065" s="101"/>
      <c r="N7065" s="101"/>
    </row>
    <row r="7066" spans="7:14" hidden="1" x14ac:dyDescent="0.3">
      <c r="G7066" s="101"/>
      <c r="H7066" s="101"/>
      <c r="I7066" s="101"/>
      <c r="K7066" s="226"/>
      <c r="L7066" s="226"/>
      <c r="M7066" s="101"/>
      <c r="N7066" s="101"/>
    </row>
    <row r="7067" spans="7:14" hidden="1" x14ac:dyDescent="0.3">
      <c r="G7067" s="101"/>
      <c r="H7067" s="101"/>
      <c r="I7067" s="101"/>
      <c r="K7067" s="226"/>
      <c r="L7067" s="226"/>
      <c r="M7067" s="101"/>
      <c r="N7067" s="101"/>
    </row>
    <row r="7068" spans="7:14" hidden="1" x14ac:dyDescent="0.3">
      <c r="G7068" s="101"/>
      <c r="H7068" s="101"/>
      <c r="I7068" s="101"/>
      <c r="K7068" s="226"/>
      <c r="L7068" s="226"/>
      <c r="M7068" s="101"/>
      <c r="N7068" s="101"/>
    </row>
    <row r="7069" spans="7:14" hidden="1" x14ac:dyDescent="0.3">
      <c r="G7069" s="101"/>
      <c r="H7069" s="101"/>
      <c r="I7069" s="101"/>
      <c r="K7069" s="226"/>
      <c r="L7069" s="226"/>
      <c r="M7069" s="101"/>
      <c r="N7069" s="101"/>
    </row>
    <row r="7070" spans="7:14" hidden="1" x14ac:dyDescent="0.3">
      <c r="G7070" s="101"/>
      <c r="H7070" s="101"/>
      <c r="I7070" s="101"/>
      <c r="K7070" s="226"/>
      <c r="L7070" s="226"/>
      <c r="M7070" s="101"/>
      <c r="N7070" s="101"/>
    </row>
    <row r="7071" spans="7:14" hidden="1" x14ac:dyDescent="0.3">
      <c r="G7071" s="101"/>
      <c r="H7071" s="101"/>
      <c r="I7071" s="101"/>
      <c r="K7071" s="226"/>
      <c r="L7071" s="226"/>
      <c r="M7071" s="101"/>
      <c r="N7071" s="101"/>
    </row>
    <row r="7072" spans="7:14" hidden="1" x14ac:dyDescent="0.3">
      <c r="G7072" s="101"/>
      <c r="H7072" s="101"/>
      <c r="I7072" s="101"/>
      <c r="K7072" s="226"/>
      <c r="L7072" s="226"/>
      <c r="M7072" s="101"/>
      <c r="N7072" s="101"/>
    </row>
    <row r="7073" spans="7:14" hidden="1" x14ac:dyDescent="0.3">
      <c r="G7073" s="101"/>
      <c r="H7073" s="101"/>
      <c r="I7073" s="101"/>
      <c r="K7073" s="226"/>
      <c r="L7073" s="226"/>
      <c r="M7073" s="101"/>
      <c r="N7073" s="101"/>
    </row>
    <row r="7074" spans="7:14" hidden="1" x14ac:dyDescent="0.3">
      <c r="G7074" s="101"/>
      <c r="H7074" s="101"/>
      <c r="I7074" s="101"/>
      <c r="K7074" s="226"/>
      <c r="L7074" s="226"/>
      <c r="M7074" s="101"/>
      <c r="N7074" s="101"/>
    </row>
    <row r="7075" spans="7:14" hidden="1" x14ac:dyDescent="0.3">
      <c r="G7075" s="101"/>
      <c r="H7075" s="101"/>
      <c r="I7075" s="101"/>
      <c r="K7075" s="226"/>
      <c r="L7075" s="226"/>
      <c r="M7075" s="101"/>
      <c r="N7075" s="101"/>
    </row>
    <row r="7076" spans="7:14" hidden="1" x14ac:dyDescent="0.3">
      <c r="G7076" s="101"/>
      <c r="H7076" s="101"/>
      <c r="I7076" s="101"/>
      <c r="K7076" s="226"/>
      <c r="L7076" s="226"/>
      <c r="M7076" s="101"/>
      <c r="N7076" s="101"/>
    </row>
    <row r="7077" spans="7:14" hidden="1" x14ac:dyDescent="0.3">
      <c r="G7077" s="101"/>
      <c r="H7077" s="101"/>
      <c r="I7077" s="101"/>
      <c r="K7077" s="226"/>
      <c r="L7077" s="226"/>
      <c r="M7077" s="101"/>
      <c r="N7077" s="101"/>
    </row>
    <row r="7078" spans="7:14" hidden="1" x14ac:dyDescent="0.3">
      <c r="G7078" s="101"/>
      <c r="H7078" s="101"/>
      <c r="I7078" s="101"/>
      <c r="K7078" s="226"/>
      <c r="L7078" s="226"/>
      <c r="M7078" s="101"/>
      <c r="N7078" s="101"/>
    </row>
    <row r="7079" spans="7:14" hidden="1" x14ac:dyDescent="0.3">
      <c r="G7079" s="101"/>
      <c r="H7079" s="101"/>
      <c r="I7079" s="101"/>
      <c r="K7079" s="226"/>
      <c r="L7079" s="226"/>
      <c r="M7079" s="101"/>
      <c r="N7079" s="101"/>
    </row>
    <row r="7080" spans="7:14" hidden="1" x14ac:dyDescent="0.3">
      <c r="G7080" s="101"/>
      <c r="H7080" s="101"/>
      <c r="I7080" s="101"/>
      <c r="K7080" s="226"/>
      <c r="L7080" s="226"/>
      <c r="M7080" s="101"/>
      <c r="N7080" s="101"/>
    </row>
    <row r="7081" spans="7:14" hidden="1" x14ac:dyDescent="0.3">
      <c r="G7081" s="101"/>
      <c r="H7081" s="101"/>
      <c r="I7081" s="101"/>
      <c r="K7081" s="226"/>
      <c r="L7081" s="226"/>
      <c r="M7081" s="101"/>
      <c r="N7081" s="101"/>
    </row>
    <row r="7082" spans="7:14" hidden="1" x14ac:dyDescent="0.3">
      <c r="G7082" s="101"/>
      <c r="H7082" s="101"/>
      <c r="I7082" s="101"/>
      <c r="K7082" s="226"/>
      <c r="L7082" s="226"/>
      <c r="M7082" s="101"/>
      <c r="N7082" s="101"/>
    </row>
    <row r="7083" spans="7:14" hidden="1" x14ac:dyDescent="0.3">
      <c r="G7083" s="101"/>
      <c r="H7083" s="101"/>
      <c r="I7083" s="101"/>
      <c r="K7083" s="226"/>
      <c r="L7083" s="226"/>
      <c r="M7083" s="101"/>
      <c r="N7083" s="101"/>
    </row>
    <row r="7084" spans="7:14" hidden="1" x14ac:dyDescent="0.3">
      <c r="G7084" s="101"/>
      <c r="H7084" s="101"/>
      <c r="I7084" s="101"/>
      <c r="K7084" s="226"/>
      <c r="L7084" s="226"/>
      <c r="M7084" s="101"/>
      <c r="N7084" s="101"/>
    </row>
    <row r="7085" spans="7:14" hidden="1" x14ac:dyDescent="0.3">
      <c r="G7085" s="101"/>
      <c r="H7085" s="101"/>
      <c r="I7085" s="101"/>
      <c r="K7085" s="226"/>
      <c r="L7085" s="226"/>
      <c r="M7085" s="101"/>
      <c r="N7085" s="101"/>
    </row>
    <row r="7086" spans="7:14" hidden="1" x14ac:dyDescent="0.3">
      <c r="G7086" s="101"/>
      <c r="H7086" s="101"/>
      <c r="I7086" s="101"/>
      <c r="K7086" s="226"/>
      <c r="L7086" s="226"/>
      <c r="M7086" s="101"/>
      <c r="N7086" s="101"/>
    </row>
    <row r="7087" spans="7:14" hidden="1" x14ac:dyDescent="0.3">
      <c r="G7087" s="101"/>
      <c r="H7087" s="101"/>
      <c r="I7087" s="101"/>
      <c r="K7087" s="226"/>
      <c r="L7087" s="226"/>
      <c r="M7087" s="101"/>
      <c r="N7087" s="101"/>
    </row>
    <row r="7088" spans="7:14" hidden="1" x14ac:dyDescent="0.3">
      <c r="G7088" s="101"/>
      <c r="H7088" s="101"/>
      <c r="I7088" s="101"/>
      <c r="K7088" s="226"/>
      <c r="L7088" s="226"/>
      <c r="M7088" s="101"/>
      <c r="N7088" s="101"/>
    </row>
    <row r="7089" spans="7:14" hidden="1" x14ac:dyDescent="0.3">
      <c r="G7089" s="101"/>
      <c r="H7089" s="101"/>
      <c r="I7089" s="101"/>
      <c r="K7089" s="226"/>
      <c r="L7089" s="226"/>
      <c r="M7089" s="101"/>
      <c r="N7089" s="101"/>
    </row>
    <row r="7090" spans="7:14" hidden="1" x14ac:dyDescent="0.3">
      <c r="G7090" s="101"/>
      <c r="H7090" s="101"/>
      <c r="I7090" s="101"/>
      <c r="K7090" s="226"/>
      <c r="L7090" s="226"/>
      <c r="M7090" s="101"/>
      <c r="N7090" s="101"/>
    </row>
    <row r="7091" spans="7:14" hidden="1" x14ac:dyDescent="0.3">
      <c r="G7091" s="101"/>
      <c r="H7091" s="101"/>
      <c r="I7091" s="101"/>
      <c r="K7091" s="226"/>
      <c r="L7091" s="226"/>
      <c r="M7091" s="101"/>
      <c r="N7091" s="101"/>
    </row>
    <row r="7092" spans="7:14" hidden="1" x14ac:dyDescent="0.3">
      <c r="G7092" s="101"/>
      <c r="H7092" s="101"/>
      <c r="I7092" s="101"/>
      <c r="K7092" s="226"/>
      <c r="L7092" s="226"/>
      <c r="M7092" s="101"/>
      <c r="N7092" s="101"/>
    </row>
    <row r="7093" spans="7:14" hidden="1" x14ac:dyDescent="0.3">
      <c r="G7093" s="101"/>
      <c r="H7093" s="101"/>
      <c r="I7093" s="101"/>
      <c r="K7093" s="226"/>
      <c r="L7093" s="226"/>
      <c r="M7093" s="101"/>
      <c r="N7093" s="101"/>
    </row>
    <row r="7094" spans="7:14" hidden="1" x14ac:dyDescent="0.3">
      <c r="G7094" s="101"/>
      <c r="H7094" s="101"/>
      <c r="I7094" s="101"/>
      <c r="K7094" s="226"/>
      <c r="L7094" s="226"/>
      <c r="M7094" s="101"/>
      <c r="N7094" s="101"/>
    </row>
    <row r="7095" spans="7:14" hidden="1" x14ac:dyDescent="0.3">
      <c r="G7095" s="101"/>
      <c r="H7095" s="101"/>
      <c r="I7095" s="101"/>
      <c r="K7095" s="226"/>
      <c r="L7095" s="226"/>
      <c r="M7095" s="101"/>
      <c r="N7095" s="101"/>
    </row>
    <row r="7096" spans="7:14" hidden="1" x14ac:dyDescent="0.3">
      <c r="G7096" s="101"/>
      <c r="H7096" s="101"/>
      <c r="I7096" s="101"/>
      <c r="K7096" s="226"/>
      <c r="L7096" s="226"/>
      <c r="M7096" s="101"/>
      <c r="N7096" s="101"/>
    </row>
    <row r="7097" spans="7:14" hidden="1" x14ac:dyDescent="0.3">
      <c r="G7097" s="101"/>
      <c r="H7097" s="101"/>
      <c r="I7097" s="101"/>
      <c r="K7097" s="226"/>
      <c r="L7097" s="226"/>
      <c r="M7097" s="101"/>
      <c r="N7097" s="101"/>
    </row>
    <row r="7098" spans="7:14" hidden="1" x14ac:dyDescent="0.3">
      <c r="G7098" s="101"/>
      <c r="H7098" s="101"/>
      <c r="I7098" s="101"/>
      <c r="K7098" s="226"/>
      <c r="L7098" s="226"/>
      <c r="M7098" s="101"/>
      <c r="N7098" s="101"/>
    </row>
    <row r="7099" spans="7:14" hidden="1" x14ac:dyDescent="0.3">
      <c r="G7099" s="101"/>
      <c r="H7099" s="101"/>
      <c r="I7099" s="101"/>
      <c r="K7099" s="226"/>
      <c r="L7099" s="226"/>
      <c r="M7099" s="101"/>
      <c r="N7099" s="101"/>
    </row>
    <row r="7100" spans="7:14" hidden="1" x14ac:dyDescent="0.3">
      <c r="G7100" s="101"/>
      <c r="H7100" s="101"/>
      <c r="I7100" s="101"/>
      <c r="K7100" s="226"/>
      <c r="L7100" s="226"/>
      <c r="M7100" s="101"/>
      <c r="N7100" s="101"/>
    </row>
    <row r="7101" spans="7:14" hidden="1" x14ac:dyDescent="0.3">
      <c r="G7101" s="101"/>
      <c r="H7101" s="101"/>
      <c r="I7101" s="101"/>
      <c r="K7101" s="226"/>
      <c r="L7101" s="226"/>
      <c r="M7101" s="101"/>
      <c r="N7101" s="101"/>
    </row>
    <row r="7102" spans="7:14" hidden="1" x14ac:dyDescent="0.3">
      <c r="G7102" s="101"/>
      <c r="H7102" s="101"/>
      <c r="I7102" s="101"/>
      <c r="K7102" s="226"/>
      <c r="L7102" s="226"/>
      <c r="M7102" s="101"/>
      <c r="N7102" s="101"/>
    </row>
    <row r="7103" spans="7:14" hidden="1" x14ac:dyDescent="0.3">
      <c r="G7103" s="101"/>
      <c r="H7103" s="101"/>
      <c r="I7103" s="101"/>
      <c r="K7103" s="226"/>
      <c r="L7103" s="226"/>
      <c r="M7103" s="101"/>
      <c r="N7103" s="101"/>
    </row>
    <row r="7104" spans="7:14" hidden="1" x14ac:dyDescent="0.3">
      <c r="G7104" s="101"/>
      <c r="H7104" s="101"/>
      <c r="I7104" s="101"/>
      <c r="K7104" s="226"/>
      <c r="L7104" s="226"/>
      <c r="M7104" s="101"/>
      <c r="N7104" s="101"/>
    </row>
    <row r="7105" spans="7:14" hidden="1" x14ac:dyDescent="0.3">
      <c r="G7105" s="101"/>
      <c r="H7105" s="101"/>
      <c r="I7105" s="101"/>
      <c r="K7105" s="226"/>
      <c r="L7105" s="226"/>
      <c r="M7105" s="101"/>
      <c r="N7105" s="101"/>
    </row>
    <row r="7106" spans="7:14" hidden="1" x14ac:dyDescent="0.3">
      <c r="G7106" s="101"/>
      <c r="H7106" s="101"/>
      <c r="I7106" s="101"/>
      <c r="K7106" s="226"/>
      <c r="L7106" s="226"/>
      <c r="M7106" s="101"/>
      <c r="N7106" s="101"/>
    </row>
    <row r="7107" spans="7:14" hidden="1" x14ac:dyDescent="0.3">
      <c r="G7107" s="101"/>
      <c r="H7107" s="101"/>
      <c r="I7107" s="101"/>
      <c r="K7107" s="226"/>
      <c r="L7107" s="226"/>
      <c r="M7107" s="101"/>
      <c r="N7107" s="101"/>
    </row>
    <row r="7108" spans="7:14" hidden="1" x14ac:dyDescent="0.3">
      <c r="G7108" s="101"/>
      <c r="H7108" s="101"/>
      <c r="I7108" s="101"/>
      <c r="K7108" s="226"/>
      <c r="L7108" s="226"/>
      <c r="M7108" s="101"/>
      <c r="N7108" s="101"/>
    </row>
    <row r="7109" spans="7:14" hidden="1" x14ac:dyDescent="0.3">
      <c r="G7109" s="101"/>
      <c r="H7109" s="101"/>
      <c r="I7109" s="101"/>
      <c r="K7109" s="226"/>
      <c r="L7109" s="226"/>
      <c r="M7109" s="101"/>
      <c r="N7109" s="101"/>
    </row>
    <row r="7110" spans="7:14" hidden="1" x14ac:dyDescent="0.3">
      <c r="G7110" s="101"/>
      <c r="H7110" s="101"/>
      <c r="I7110" s="101"/>
      <c r="K7110" s="226"/>
      <c r="L7110" s="226"/>
      <c r="M7110" s="101"/>
      <c r="N7110" s="101"/>
    </row>
    <row r="7111" spans="7:14" hidden="1" x14ac:dyDescent="0.3">
      <c r="G7111" s="101"/>
      <c r="H7111" s="101"/>
      <c r="I7111" s="101"/>
      <c r="K7111" s="226"/>
      <c r="L7111" s="226"/>
      <c r="M7111" s="101"/>
      <c r="N7111" s="101"/>
    </row>
    <row r="7112" spans="7:14" hidden="1" x14ac:dyDescent="0.3">
      <c r="G7112" s="101"/>
      <c r="H7112" s="101"/>
      <c r="I7112" s="101"/>
      <c r="K7112" s="226"/>
      <c r="L7112" s="226"/>
      <c r="M7112" s="101"/>
      <c r="N7112" s="101"/>
    </row>
    <row r="7113" spans="7:14" hidden="1" x14ac:dyDescent="0.3">
      <c r="G7113" s="101"/>
      <c r="H7113" s="101"/>
      <c r="I7113" s="101"/>
      <c r="K7113" s="226"/>
      <c r="L7113" s="226"/>
      <c r="M7113" s="101"/>
      <c r="N7113" s="101"/>
    </row>
    <row r="7114" spans="7:14" hidden="1" x14ac:dyDescent="0.3">
      <c r="G7114" s="101"/>
      <c r="H7114" s="101"/>
      <c r="I7114" s="101"/>
      <c r="K7114" s="226"/>
      <c r="L7114" s="226"/>
      <c r="M7114" s="101"/>
      <c r="N7114" s="101"/>
    </row>
    <row r="7115" spans="7:14" hidden="1" x14ac:dyDescent="0.3">
      <c r="G7115" s="101"/>
      <c r="H7115" s="101"/>
      <c r="I7115" s="101"/>
      <c r="K7115" s="226"/>
      <c r="L7115" s="226"/>
      <c r="M7115" s="101"/>
      <c r="N7115" s="101"/>
    </row>
    <row r="7116" spans="7:14" hidden="1" x14ac:dyDescent="0.3">
      <c r="G7116" s="101"/>
      <c r="H7116" s="101"/>
      <c r="I7116" s="101"/>
      <c r="K7116" s="226"/>
      <c r="L7116" s="226"/>
      <c r="M7116" s="101"/>
      <c r="N7116" s="101"/>
    </row>
    <row r="7117" spans="7:14" hidden="1" x14ac:dyDescent="0.3">
      <c r="G7117" s="101"/>
      <c r="H7117" s="101"/>
      <c r="I7117" s="101"/>
      <c r="K7117" s="226"/>
      <c r="L7117" s="226"/>
      <c r="M7117" s="101"/>
      <c r="N7117" s="101"/>
    </row>
    <row r="7118" spans="7:14" hidden="1" x14ac:dyDescent="0.3">
      <c r="G7118" s="101"/>
      <c r="H7118" s="101"/>
      <c r="I7118" s="101"/>
      <c r="K7118" s="226"/>
      <c r="L7118" s="226"/>
      <c r="M7118" s="101"/>
      <c r="N7118" s="101"/>
    </row>
    <row r="7119" spans="7:14" hidden="1" x14ac:dyDescent="0.3">
      <c r="G7119" s="101"/>
      <c r="H7119" s="101"/>
      <c r="I7119" s="101"/>
      <c r="K7119" s="226"/>
      <c r="L7119" s="226"/>
      <c r="M7119" s="101"/>
      <c r="N7119" s="101"/>
    </row>
    <row r="7120" spans="7:14" hidden="1" x14ac:dyDescent="0.3">
      <c r="G7120" s="101"/>
      <c r="H7120" s="101"/>
      <c r="I7120" s="101"/>
      <c r="K7120" s="226"/>
      <c r="L7120" s="226"/>
      <c r="M7120" s="101"/>
      <c r="N7120" s="101"/>
    </row>
    <row r="7121" spans="7:14" hidden="1" x14ac:dyDescent="0.3">
      <c r="G7121" s="101"/>
      <c r="H7121" s="101"/>
      <c r="I7121" s="101"/>
      <c r="K7121" s="226"/>
      <c r="L7121" s="226"/>
      <c r="M7121" s="101"/>
      <c r="N7121" s="101"/>
    </row>
    <row r="7122" spans="7:14" hidden="1" x14ac:dyDescent="0.3">
      <c r="G7122" s="101"/>
      <c r="H7122" s="101"/>
      <c r="I7122" s="101"/>
      <c r="K7122" s="226"/>
      <c r="L7122" s="226"/>
      <c r="M7122" s="101"/>
      <c r="N7122" s="101"/>
    </row>
    <row r="7123" spans="7:14" hidden="1" x14ac:dyDescent="0.3">
      <c r="G7123" s="101"/>
      <c r="H7123" s="101"/>
      <c r="I7123" s="101"/>
      <c r="K7123" s="226"/>
      <c r="L7123" s="226"/>
      <c r="M7123" s="101"/>
      <c r="N7123" s="101"/>
    </row>
    <row r="7124" spans="7:14" hidden="1" x14ac:dyDescent="0.3">
      <c r="G7124" s="101"/>
      <c r="H7124" s="101"/>
      <c r="I7124" s="101"/>
      <c r="K7124" s="226"/>
      <c r="L7124" s="226"/>
      <c r="M7124" s="101"/>
      <c r="N7124" s="101"/>
    </row>
    <row r="7125" spans="7:14" hidden="1" x14ac:dyDescent="0.3">
      <c r="G7125" s="101"/>
      <c r="H7125" s="101"/>
      <c r="I7125" s="101"/>
      <c r="K7125" s="226"/>
      <c r="L7125" s="226"/>
      <c r="M7125" s="101"/>
      <c r="N7125" s="101"/>
    </row>
    <row r="7126" spans="7:14" hidden="1" x14ac:dyDescent="0.3">
      <c r="G7126" s="101"/>
      <c r="H7126" s="101"/>
      <c r="I7126" s="101"/>
      <c r="K7126" s="226"/>
      <c r="L7126" s="226"/>
      <c r="M7126" s="101"/>
      <c r="N7126" s="101"/>
    </row>
    <row r="7127" spans="7:14" hidden="1" x14ac:dyDescent="0.3">
      <c r="G7127" s="101"/>
      <c r="H7127" s="101"/>
      <c r="I7127" s="101"/>
      <c r="K7127" s="226"/>
      <c r="L7127" s="226"/>
      <c r="M7127" s="101"/>
      <c r="N7127" s="101"/>
    </row>
    <row r="7128" spans="7:14" hidden="1" x14ac:dyDescent="0.3">
      <c r="G7128" s="101"/>
      <c r="H7128" s="101"/>
      <c r="I7128" s="101"/>
      <c r="K7128" s="226"/>
      <c r="L7128" s="226"/>
      <c r="M7128" s="101"/>
      <c r="N7128" s="101"/>
    </row>
    <row r="7129" spans="7:14" hidden="1" x14ac:dyDescent="0.3">
      <c r="G7129" s="101"/>
      <c r="H7129" s="101"/>
      <c r="I7129" s="101"/>
      <c r="K7129" s="226"/>
      <c r="L7129" s="226"/>
      <c r="M7129" s="101"/>
      <c r="N7129" s="101"/>
    </row>
    <row r="7130" spans="7:14" hidden="1" x14ac:dyDescent="0.3">
      <c r="G7130" s="101"/>
      <c r="H7130" s="101"/>
      <c r="I7130" s="101"/>
      <c r="K7130" s="226"/>
      <c r="L7130" s="226"/>
      <c r="M7130" s="101"/>
      <c r="N7130" s="101"/>
    </row>
    <row r="7131" spans="7:14" hidden="1" x14ac:dyDescent="0.3">
      <c r="G7131" s="101"/>
      <c r="H7131" s="101"/>
      <c r="I7131" s="101"/>
      <c r="K7131" s="226"/>
      <c r="L7131" s="226"/>
      <c r="M7131" s="101"/>
      <c r="N7131" s="101"/>
    </row>
    <row r="7132" spans="7:14" hidden="1" x14ac:dyDescent="0.3">
      <c r="G7132" s="101"/>
      <c r="H7132" s="101"/>
      <c r="I7132" s="101"/>
      <c r="K7132" s="226"/>
      <c r="L7132" s="226"/>
      <c r="M7132" s="101"/>
      <c r="N7132" s="101"/>
    </row>
    <row r="7133" spans="7:14" hidden="1" x14ac:dyDescent="0.3">
      <c r="G7133" s="101"/>
      <c r="H7133" s="101"/>
      <c r="I7133" s="101"/>
      <c r="K7133" s="226"/>
      <c r="L7133" s="226"/>
      <c r="M7133" s="101"/>
      <c r="N7133" s="101"/>
    </row>
    <row r="7134" spans="7:14" hidden="1" x14ac:dyDescent="0.3">
      <c r="G7134" s="101"/>
      <c r="H7134" s="101"/>
      <c r="I7134" s="101"/>
      <c r="K7134" s="226"/>
      <c r="L7134" s="226"/>
      <c r="M7134" s="101"/>
      <c r="N7134" s="101"/>
    </row>
    <row r="7135" spans="7:14" hidden="1" x14ac:dyDescent="0.3">
      <c r="G7135" s="101"/>
      <c r="H7135" s="101"/>
      <c r="I7135" s="101"/>
      <c r="K7135" s="226"/>
      <c r="L7135" s="226"/>
      <c r="M7135" s="101"/>
      <c r="N7135" s="101"/>
    </row>
    <row r="7136" spans="7:14" hidden="1" x14ac:dyDescent="0.3">
      <c r="G7136" s="101"/>
      <c r="H7136" s="101"/>
      <c r="I7136" s="101"/>
      <c r="K7136" s="226"/>
      <c r="L7136" s="226"/>
      <c r="M7136" s="101"/>
      <c r="N7136" s="101"/>
    </row>
    <row r="7137" spans="7:14" hidden="1" x14ac:dyDescent="0.3">
      <c r="G7137" s="101"/>
      <c r="H7137" s="101"/>
      <c r="I7137" s="101"/>
      <c r="K7137" s="226"/>
      <c r="L7137" s="226"/>
      <c r="M7137" s="101"/>
      <c r="N7137" s="101"/>
    </row>
    <row r="7138" spans="7:14" hidden="1" x14ac:dyDescent="0.3">
      <c r="G7138" s="101"/>
      <c r="H7138" s="101"/>
      <c r="I7138" s="101"/>
      <c r="K7138" s="226"/>
      <c r="L7138" s="226"/>
      <c r="M7138" s="101"/>
      <c r="N7138" s="101"/>
    </row>
    <row r="7139" spans="7:14" hidden="1" x14ac:dyDescent="0.3">
      <c r="G7139" s="101"/>
      <c r="H7139" s="101"/>
      <c r="I7139" s="101"/>
      <c r="K7139" s="226"/>
      <c r="L7139" s="226"/>
      <c r="M7139" s="101"/>
      <c r="N7139" s="101"/>
    </row>
    <row r="7140" spans="7:14" hidden="1" x14ac:dyDescent="0.3">
      <c r="G7140" s="101"/>
      <c r="H7140" s="101"/>
      <c r="I7140" s="101"/>
      <c r="K7140" s="226"/>
      <c r="L7140" s="226"/>
      <c r="M7140" s="101"/>
      <c r="N7140" s="101"/>
    </row>
    <row r="7141" spans="7:14" hidden="1" x14ac:dyDescent="0.3">
      <c r="G7141" s="101"/>
      <c r="H7141" s="101"/>
      <c r="I7141" s="101"/>
      <c r="K7141" s="226"/>
      <c r="L7141" s="226"/>
      <c r="M7141" s="101"/>
      <c r="N7141" s="101"/>
    </row>
    <row r="7142" spans="7:14" hidden="1" x14ac:dyDescent="0.3">
      <c r="G7142" s="101"/>
      <c r="H7142" s="101"/>
      <c r="I7142" s="101"/>
      <c r="K7142" s="226"/>
      <c r="L7142" s="226"/>
      <c r="M7142" s="101"/>
      <c r="N7142" s="101"/>
    </row>
    <row r="7143" spans="7:14" hidden="1" x14ac:dyDescent="0.3">
      <c r="G7143" s="101"/>
      <c r="H7143" s="101"/>
      <c r="I7143" s="101"/>
      <c r="K7143" s="226"/>
      <c r="L7143" s="226"/>
      <c r="M7143" s="101"/>
      <c r="N7143" s="101"/>
    </row>
    <row r="7144" spans="7:14" hidden="1" x14ac:dyDescent="0.3">
      <c r="G7144" s="101"/>
      <c r="H7144" s="101"/>
      <c r="I7144" s="101"/>
      <c r="K7144" s="226"/>
      <c r="L7144" s="226"/>
      <c r="M7144" s="101"/>
      <c r="N7144" s="101"/>
    </row>
    <row r="7145" spans="7:14" hidden="1" x14ac:dyDescent="0.3">
      <c r="G7145" s="101"/>
      <c r="H7145" s="101"/>
      <c r="I7145" s="101"/>
      <c r="K7145" s="226"/>
      <c r="L7145" s="226"/>
      <c r="M7145" s="101"/>
      <c r="N7145" s="101"/>
    </row>
    <row r="7146" spans="7:14" hidden="1" x14ac:dyDescent="0.3">
      <c r="G7146" s="101"/>
      <c r="H7146" s="101"/>
      <c r="I7146" s="101"/>
      <c r="K7146" s="226"/>
      <c r="L7146" s="226"/>
      <c r="M7146" s="101"/>
      <c r="N7146" s="101"/>
    </row>
    <row r="7147" spans="7:14" hidden="1" x14ac:dyDescent="0.3">
      <c r="G7147" s="101"/>
      <c r="H7147" s="101"/>
      <c r="I7147" s="101"/>
      <c r="K7147" s="226"/>
      <c r="L7147" s="226"/>
      <c r="M7147" s="101"/>
      <c r="N7147" s="101"/>
    </row>
    <row r="7148" spans="7:14" hidden="1" x14ac:dyDescent="0.3">
      <c r="G7148" s="101"/>
      <c r="H7148" s="101"/>
      <c r="I7148" s="101"/>
      <c r="K7148" s="226"/>
      <c r="L7148" s="226"/>
      <c r="M7148" s="101"/>
      <c r="N7148" s="101"/>
    </row>
    <row r="7149" spans="7:14" hidden="1" x14ac:dyDescent="0.3">
      <c r="G7149" s="101"/>
      <c r="H7149" s="101"/>
      <c r="I7149" s="101"/>
      <c r="K7149" s="226"/>
      <c r="L7149" s="226"/>
      <c r="M7149" s="101"/>
      <c r="N7149" s="101"/>
    </row>
    <row r="7150" spans="7:14" hidden="1" x14ac:dyDescent="0.3">
      <c r="G7150" s="101"/>
      <c r="H7150" s="101"/>
      <c r="I7150" s="101"/>
      <c r="K7150" s="226"/>
      <c r="L7150" s="226"/>
      <c r="M7150" s="101"/>
      <c r="N7150" s="101"/>
    </row>
    <row r="7151" spans="7:14" hidden="1" x14ac:dyDescent="0.3">
      <c r="G7151" s="101"/>
      <c r="H7151" s="101"/>
      <c r="I7151" s="101"/>
      <c r="K7151" s="226"/>
      <c r="L7151" s="226"/>
      <c r="M7151" s="101"/>
      <c r="N7151" s="101"/>
    </row>
    <row r="7152" spans="7:14" hidden="1" x14ac:dyDescent="0.3">
      <c r="G7152" s="101"/>
      <c r="H7152" s="101"/>
      <c r="I7152" s="101"/>
      <c r="K7152" s="226"/>
      <c r="L7152" s="226"/>
      <c r="M7152" s="101"/>
      <c r="N7152" s="101"/>
    </row>
    <row r="7153" spans="7:14" hidden="1" x14ac:dyDescent="0.3">
      <c r="G7153" s="101"/>
      <c r="H7153" s="101"/>
      <c r="I7153" s="101"/>
      <c r="K7153" s="226"/>
      <c r="L7153" s="226"/>
      <c r="M7153" s="101"/>
      <c r="N7153" s="101"/>
    </row>
    <row r="7154" spans="7:14" hidden="1" x14ac:dyDescent="0.3">
      <c r="G7154" s="101"/>
      <c r="H7154" s="101"/>
      <c r="I7154" s="101"/>
      <c r="K7154" s="226"/>
      <c r="L7154" s="226"/>
      <c r="M7154" s="101"/>
      <c r="N7154" s="101"/>
    </row>
    <row r="7155" spans="7:14" hidden="1" x14ac:dyDescent="0.3">
      <c r="G7155" s="101"/>
      <c r="H7155" s="101"/>
      <c r="I7155" s="101"/>
      <c r="K7155" s="226"/>
      <c r="L7155" s="226"/>
      <c r="M7155" s="101"/>
      <c r="N7155" s="101"/>
    </row>
    <row r="7156" spans="7:14" hidden="1" x14ac:dyDescent="0.3">
      <c r="G7156" s="101"/>
      <c r="H7156" s="101"/>
      <c r="I7156" s="101"/>
      <c r="K7156" s="226"/>
      <c r="L7156" s="226"/>
      <c r="M7156" s="101"/>
      <c r="N7156" s="101"/>
    </row>
    <row r="7157" spans="7:14" hidden="1" x14ac:dyDescent="0.3">
      <c r="G7157" s="101"/>
      <c r="H7157" s="101"/>
      <c r="I7157" s="101"/>
      <c r="K7157" s="226"/>
      <c r="L7157" s="226"/>
      <c r="M7157" s="101"/>
      <c r="N7157" s="101"/>
    </row>
    <row r="7158" spans="7:14" hidden="1" x14ac:dyDescent="0.3">
      <c r="G7158" s="101"/>
      <c r="H7158" s="101"/>
      <c r="I7158" s="101"/>
      <c r="K7158" s="226"/>
      <c r="L7158" s="226"/>
      <c r="M7158" s="101"/>
      <c r="N7158" s="101"/>
    </row>
    <row r="7159" spans="7:14" hidden="1" x14ac:dyDescent="0.3">
      <c r="G7159" s="101"/>
      <c r="H7159" s="101"/>
      <c r="I7159" s="101"/>
      <c r="K7159" s="226"/>
      <c r="L7159" s="226"/>
      <c r="M7159" s="101"/>
      <c r="N7159" s="101"/>
    </row>
    <row r="7160" spans="7:14" hidden="1" x14ac:dyDescent="0.3">
      <c r="G7160" s="101"/>
      <c r="H7160" s="101"/>
      <c r="I7160" s="101"/>
      <c r="K7160" s="226"/>
      <c r="L7160" s="226"/>
      <c r="M7160" s="101"/>
      <c r="N7160" s="101"/>
    </row>
    <row r="7161" spans="7:14" hidden="1" x14ac:dyDescent="0.3">
      <c r="G7161" s="101"/>
      <c r="H7161" s="101"/>
      <c r="I7161" s="101"/>
      <c r="K7161" s="226"/>
      <c r="L7161" s="226"/>
      <c r="M7161" s="101"/>
      <c r="N7161" s="101"/>
    </row>
    <row r="7162" spans="7:14" hidden="1" x14ac:dyDescent="0.3">
      <c r="G7162" s="101"/>
      <c r="H7162" s="101"/>
      <c r="I7162" s="101"/>
      <c r="K7162" s="226"/>
      <c r="L7162" s="226"/>
      <c r="M7162" s="101"/>
      <c r="N7162" s="101"/>
    </row>
    <row r="7163" spans="7:14" hidden="1" x14ac:dyDescent="0.3">
      <c r="G7163" s="101"/>
      <c r="H7163" s="101"/>
      <c r="I7163" s="101"/>
      <c r="K7163" s="226"/>
      <c r="L7163" s="226"/>
      <c r="M7163" s="101"/>
      <c r="N7163" s="101"/>
    </row>
    <row r="7164" spans="7:14" hidden="1" x14ac:dyDescent="0.3">
      <c r="G7164" s="101"/>
      <c r="H7164" s="101"/>
      <c r="I7164" s="101"/>
      <c r="K7164" s="226"/>
      <c r="L7164" s="226"/>
      <c r="M7164" s="101"/>
      <c r="N7164" s="101"/>
    </row>
    <row r="7165" spans="7:14" hidden="1" x14ac:dyDescent="0.3">
      <c r="G7165" s="101"/>
      <c r="H7165" s="101"/>
      <c r="I7165" s="101"/>
      <c r="K7165" s="226"/>
      <c r="L7165" s="226"/>
      <c r="M7165" s="101"/>
      <c r="N7165" s="101"/>
    </row>
    <row r="7166" spans="7:14" hidden="1" x14ac:dyDescent="0.3">
      <c r="G7166" s="101"/>
      <c r="H7166" s="101"/>
      <c r="I7166" s="101"/>
      <c r="K7166" s="226"/>
      <c r="L7166" s="226"/>
      <c r="M7166" s="101"/>
      <c r="N7166" s="101"/>
    </row>
    <row r="7167" spans="7:14" hidden="1" x14ac:dyDescent="0.3">
      <c r="G7167" s="101"/>
      <c r="H7167" s="101"/>
      <c r="I7167" s="101"/>
      <c r="K7167" s="226"/>
      <c r="L7167" s="226"/>
      <c r="M7167" s="101"/>
      <c r="N7167" s="101"/>
    </row>
    <row r="7168" spans="7:14" hidden="1" x14ac:dyDescent="0.3">
      <c r="G7168" s="101"/>
      <c r="H7168" s="101"/>
      <c r="I7168" s="101"/>
      <c r="K7168" s="226"/>
      <c r="L7168" s="226"/>
      <c r="M7168" s="101"/>
      <c r="N7168" s="101"/>
    </row>
    <row r="7169" spans="7:14" hidden="1" x14ac:dyDescent="0.3">
      <c r="G7169" s="101"/>
      <c r="H7169" s="101"/>
      <c r="I7169" s="101"/>
      <c r="K7169" s="226"/>
      <c r="L7169" s="226"/>
      <c r="M7169" s="101"/>
      <c r="N7169" s="101"/>
    </row>
    <row r="7170" spans="7:14" hidden="1" x14ac:dyDescent="0.3">
      <c r="G7170" s="101"/>
      <c r="H7170" s="101"/>
      <c r="I7170" s="101"/>
      <c r="K7170" s="226"/>
      <c r="L7170" s="226"/>
      <c r="M7170" s="101"/>
      <c r="N7170" s="101"/>
    </row>
    <row r="7171" spans="7:14" hidden="1" x14ac:dyDescent="0.3">
      <c r="G7171" s="101"/>
      <c r="H7171" s="101"/>
      <c r="I7171" s="101"/>
      <c r="K7171" s="226"/>
      <c r="L7171" s="226"/>
      <c r="M7171" s="101"/>
      <c r="N7171" s="101"/>
    </row>
    <row r="7172" spans="7:14" hidden="1" x14ac:dyDescent="0.3">
      <c r="G7172" s="101"/>
      <c r="H7172" s="101"/>
      <c r="I7172" s="101"/>
      <c r="K7172" s="226"/>
      <c r="L7172" s="226"/>
      <c r="M7172" s="101"/>
      <c r="N7172" s="101"/>
    </row>
    <row r="7173" spans="7:14" hidden="1" x14ac:dyDescent="0.3">
      <c r="G7173" s="101"/>
      <c r="H7173" s="101"/>
      <c r="I7173" s="101"/>
      <c r="K7173" s="226"/>
      <c r="L7173" s="226"/>
      <c r="M7173" s="101"/>
      <c r="N7173" s="101"/>
    </row>
    <row r="7174" spans="7:14" hidden="1" x14ac:dyDescent="0.3">
      <c r="G7174" s="101"/>
      <c r="H7174" s="101"/>
      <c r="I7174" s="101"/>
      <c r="K7174" s="226"/>
      <c r="L7174" s="226"/>
      <c r="M7174" s="101"/>
      <c r="N7174" s="101"/>
    </row>
    <row r="7175" spans="7:14" hidden="1" x14ac:dyDescent="0.3">
      <c r="G7175" s="101"/>
      <c r="H7175" s="101"/>
      <c r="I7175" s="101"/>
      <c r="K7175" s="226"/>
      <c r="L7175" s="226"/>
      <c r="M7175" s="101"/>
      <c r="N7175" s="101"/>
    </row>
    <row r="7176" spans="7:14" hidden="1" x14ac:dyDescent="0.3">
      <c r="G7176" s="101"/>
      <c r="H7176" s="101"/>
      <c r="I7176" s="101"/>
      <c r="K7176" s="226"/>
      <c r="L7176" s="226"/>
      <c r="M7176" s="101"/>
      <c r="N7176" s="101"/>
    </row>
    <row r="7177" spans="7:14" hidden="1" x14ac:dyDescent="0.3">
      <c r="G7177" s="101"/>
      <c r="H7177" s="101"/>
      <c r="I7177" s="101"/>
      <c r="K7177" s="226"/>
      <c r="L7177" s="226"/>
      <c r="M7177" s="101"/>
      <c r="N7177" s="101"/>
    </row>
    <row r="7178" spans="7:14" hidden="1" x14ac:dyDescent="0.3">
      <c r="G7178" s="101"/>
      <c r="H7178" s="101"/>
      <c r="I7178" s="101"/>
      <c r="K7178" s="226"/>
      <c r="L7178" s="226"/>
      <c r="M7178" s="101"/>
      <c r="N7178" s="101"/>
    </row>
    <row r="7179" spans="7:14" hidden="1" x14ac:dyDescent="0.3">
      <c r="G7179" s="101"/>
      <c r="H7179" s="101"/>
      <c r="I7179" s="101"/>
      <c r="K7179" s="226"/>
      <c r="L7179" s="226"/>
      <c r="M7179" s="101"/>
      <c r="N7179" s="101"/>
    </row>
    <row r="7180" spans="7:14" hidden="1" x14ac:dyDescent="0.3">
      <c r="G7180" s="101"/>
      <c r="H7180" s="101"/>
      <c r="I7180" s="101"/>
      <c r="K7180" s="226"/>
      <c r="L7180" s="226"/>
      <c r="M7180" s="101"/>
      <c r="N7180" s="101"/>
    </row>
    <row r="7181" spans="7:14" hidden="1" x14ac:dyDescent="0.3">
      <c r="G7181" s="101"/>
      <c r="H7181" s="101"/>
      <c r="I7181" s="101"/>
      <c r="K7181" s="226"/>
      <c r="L7181" s="226"/>
      <c r="M7181" s="101"/>
      <c r="N7181" s="101"/>
    </row>
    <row r="7182" spans="7:14" hidden="1" x14ac:dyDescent="0.3">
      <c r="G7182" s="101"/>
      <c r="H7182" s="101"/>
      <c r="I7182" s="101"/>
      <c r="K7182" s="226"/>
      <c r="L7182" s="226"/>
      <c r="M7182" s="101"/>
      <c r="N7182" s="101"/>
    </row>
    <row r="7183" spans="7:14" hidden="1" x14ac:dyDescent="0.3">
      <c r="G7183" s="101"/>
      <c r="H7183" s="101"/>
      <c r="I7183" s="101"/>
      <c r="K7183" s="226"/>
      <c r="L7183" s="226"/>
      <c r="M7183" s="101"/>
      <c r="N7183" s="101"/>
    </row>
    <row r="7184" spans="7:14" hidden="1" x14ac:dyDescent="0.3">
      <c r="G7184" s="101"/>
      <c r="H7184" s="101"/>
      <c r="I7184" s="101"/>
      <c r="K7184" s="226"/>
      <c r="L7184" s="226"/>
      <c r="M7184" s="101"/>
      <c r="N7184" s="101"/>
    </row>
    <row r="7185" spans="7:14" hidden="1" x14ac:dyDescent="0.3">
      <c r="G7185" s="101"/>
      <c r="H7185" s="101"/>
      <c r="I7185" s="101"/>
      <c r="K7185" s="226"/>
      <c r="L7185" s="226"/>
      <c r="M7185" s="101"/>
      <c r="N7185" s="101"/>
    </row>
    <row r="7186" spans="7:14" hidden="1" x14ac:dyDescent="0.3">
      <c r="G7186" s="101"/>
      <c r="H7186" s="101"/>
      <c r="I7186" s="101"/>
      <c r="K7186" s="226"/>
      <c r="L7186" s="226"/>
      <c r="M7186" s="101"/>
      <c r="N7186" s="101"/>
    </row>
    <row r="7187" spans="7:14" hidden="1" x14ac:dyDescent="0.3">
      <c r="G7187" s="101"/>
      <c r="H7187" s="101"/>
      <c r="I7187" s="101"/>
      <c r="K7187" s="226"/>
      <c r="L7187" s="226"/>
      <c r="M7187" s="101"/>
      <c r="N7187" s="101"/>
    </row>
    <row r="7188" spans="7:14" hidden="1" x14ac:dyDescent="0.3">
      <c r="G7188" s="101"/>
      <c r="H7188" s="101"/>
      <c r="I7188" s="101"/>
      <c r="K7188" s="226"/>
      <c r="L7188" s="226"/>
      <c r="M7188" s="101"/>
      <c r="N7188" s="101"/>
    </row>
    <row r="7189" spans="7:14" hidden="1" x14ac:dyDescent="0.3">
      <c r="G7189" s="101"/>
      <c r="H7189" s="101"/>
      <c r="I7189" s="101"/>
      <c r="K7189" s="226"/>
      <c r="L7189" s="226"/>
      <c r="M7189" s="101"/>
      <c r="N7189" s="101"/>
    </row>
    <row r="7190" spans="7:14" hidden="1" x14ac:dyDescent="0.3">
      <c r="G7190" s="101"/>
      <c r="H7190" s="101"/>
      <c r="I7190" s="101"/>
      <c r="K7190" s="226"/>
      <c r="L7190" s="226"/>
      <c r="M7190" s="101"/>
      <c r="N7190" s="101"/>
    </row>
    <row r="7191" spans="7:14" hidden="1" x14ac:dyDescent="0.3">
      <c r="G7191" s="101"/>
      <c r="H7191" s="101"/>
      <c r="I7191" s="101"/>
      <c r="K7191" s="226"/>
      <c r="L7191" s="226"/>
      <c r="M7191" s="101"/>
      <c r="N7191" s="101"/>
    </row>
    <row r="7192" spans="7:14" hidden="1" x14ac:dyDescent="0.3">
      <c r="G7192" s="101"/>
      <c r="H7192" s="101"/>
      <c r="I7192" s="101"/>
      <c r="K7192" s="226"/>
      <c r="L7192" s="226"/>
      <c r="M7192" s="101"/>
      <c r="N7192" s="101"/>
    </row>
    <row r="7193" spans="7:14" hidden="1" x14ac:dyDescent="0.3">
      <c r="G7193" s="101"/>
      <c r="H7193" s="101"/>
      <c r="I7193" s="101"/>
      <c r="K7193" s="226"/>
      <c r="L7193" s="226"/>
      <c r="M7193" s="101"/>
      <c r="N7193" s="101"/>
    </row>
    <row r="7194" spans="7:14" hidden="1" x14ac:dyDescent="0.3">
      <c r="G7194" s="101"/>
      <c r="H7194" s="101"/>
      <c r="I7194" s="101"/>
      <c r="K7194" s="226"/>
      <c r="L7194" s="226"/>
      <c r="M7194" s="101"/>
      <c r="N7194" s="101"/>
    </row>
    <row r="7195" spans="7:14" hidden="1" x14ac:dyDescent="0.3">
      <c r="G7195" s="101"/>
      <c r="H7195" s="101"/>
      <c r="I7195" s="101"/>
      <c r="K7195" s="226"/>
      <c r="L7195" s="226"/>
      <c r="M7195" s="101"/>
      <c r="N7195" s="101"/>
    </row>
    <row r="7196" spans="7:14" hidden="1" x14ac:dyDescent="0.3">
      <c r="G7196" s="101"/>
      <c r="H7196" s="101"/>
      <c r="I7196" s="101"/>
      <c r="K7196" s="226"/>
      <c r="L7196" s="226"/>
      <c r="M7196" s="101"/>
      <c r="N7196" s="101"/>
    </row>
    <row r="7197" spans="7:14" hidden="1" x14ac:dyDescent="0.3">
      <c r="G7197" s="101"/>
      <c r="H7197" s="101"/>
      <c r="I7197" s="101"/>
      <c r="K7197" s="226"/>
      <c r="L7197" s="226"/>
      <c r="M7197" s="101"/>
      <c r="N7197" s="101"/>
    </row>
    <row r="7198" spans="7:14" hidden="1" x14ac:dyDescent="0.3">
      <c r="G7198" s="101"/>
      <c r="H7198" s="101"/>
      <c r="I7198" s="101"/>
      <c r="K7198" s="226"/>
      <c r="L7198" s="226"/>
      <c r="M7198" s="101"/>
      <c r="N7198" s="101"/>
    </row>
    <row r="7199" spans="7:14" hidden="1" x14ac:dyDescent="0.3">
      <c r="G7199" s="101"/>
      <c r="H7199" s="101"/>
      <c r="I7199" s="101"/>
      <c r="K7199" s="226"/>
      <c r="L7199" s="226"/>
      <c r="M7199" s="101"/>
      <c r="N7199" s="101"/>
    </row>
    <row r="7200" spans="7:14" hidden="1" x14ac:dyDescent="0.3">
      <c r="G7200" s="101"/>
      <c r="H7200" s="101"/>
      <c r="I7200" s="101"/>
      <c r="K7200" s="226"/>
      <c r="L7200" s="226"/>
      <c r="M7200" s="101"/>
      <c r="N7200" s="101"/>
    </row>
    <row r="7201" spans="7:14" hidden="1" x14ac:dyDescent="0.3">
      <c r="G7201" s="101"/>
      <c r="H7201" s="101"/>
      <c r="I7201" s="101"/>
      <c r="K7201" s="226"/>
      <c r="L7201" s="226"/>
      <c r="M7201" s="101"/>
      <c r="N7201" s="101"/>
    </row>
    <row r="7202" spans="7:14" hidden="1" x14ac:dyDescent="0.3">
      <c r="G7202" s="101"/>
      <c r="H7202" s="101"/>
      <c r="I7202" s="101"/>
      <c r="K7202" s="226"/>
      <c r="L7202" s="226"/>
      <c r="M7202" s="101"/>
      <c r="N7202" s="101"/>
    </row>
    <row r="7203" spans="7:14" hidden="1" x14ac:dyDescent="0.3">
      <c r="G7203" s="101"/>
      <c r="H7203" s="101"/>
      <c r="I7203" s="101"/>
      <c r="K7203" s="226"/>
      <c r="L7203" s="226"/>
      <c r="M7203" s="101"/>
      <c r="N7203" s="101"/>
    </row>
    <row r="7204" spans="7:14" hidden="1" x14ac:dyDescent="0.3">
      <c r="G7204" s="101"/>
      <c r="H7204" s="101"/>
      <c r="I7204" s="101"/>
      <c r="K7204" s="226"/>
      <c r="L7204" s="226"/>
      <c r="M7204" s="101"/>
      <c r="N7204" s="101"/>
    </row>
    <row r="7205" spans="7:14" hidden="1" x14ac:dyDescent="0.3">
      <c r="G7205" s="101"/>
      <c r="H7205" s="101"/>
      <c r="I7205" s="101"/>
      <c r="K7205" s="226"/>
      <c r="L7205" s="226"/>
      <c r="M7205" s="101"/>
      <c r="N7205" s="101"/>
    </row>
    <row r="7206" spans="7:14" hidden="1" x14ac:dyDescent="0.3">
      <c r="G7206" s="101"/>
      <c r="H7206" s="101"/>
      <c r="I7206" s="101"/>
      <c r="K7206" s="226"/>
      <c r="L7206" s="226"/>
      <c r="M7206" s="101"/>
      <c r="N7206" s="101"/>
    </row>
    <row r="7207" spans="7:14" hidden="1" x14ac:dyDescent="0.3">
      <c r="G7207" s="101"/>
      <c r="H7207" s="101"/>
      <c r="I7207" s="101"/>
      <c r="K7207" s="226"/>
      <c r="L7207" s="226"/>
      <c r="M7207" s="101"/>
      <c r="N7207" s="101"/>
    </row>
    <row r="7208" spans="7:14" hidden="1" x14ac:dyDescent="0.3">
      <c r="G7208" s="101"/>
      <c r="H7208" s="101"/>
      <c r="I7208" s="101"/>
      <c r="K7208" s="226"/>
      <c r="L7208" s="226"/>
      <c r="M7208" s="101"/>
      <c r="N7208" s="101"/>
    </row>
    <row r="7209" spans="7:14" hidden="1" x14ac:dyDescent="0.3">
      <c r="G7209" s="101"/>
      <c r="H7209" s="101"/>
      <c r="I7209" s="101"/>
      <c r="K7209" s="226"/>
      <c r="L7209" s="226"/>
      <c r="M7209" s="101"/>
      <c r="N7209" s="101"/>
    </row>
    <row r="7210" spans="7:14" hidden="1" x14ac:dyDescent="0.3">
      <c r="G7210" s="101"/>
      <c r="H7210" s="101"/>
      <c r="I7210" s="101"/>
      <c r="K7210" s="226"/>
      <c r="L7210" s="226"/>
      <c r="M7210" s="101"/>
      <c r="N7210" s="101"/>
    </row>
    <row r="7211" spans="7:14" hidden="1" x14ac:dyDescent="0.3">
      <c r="G7211" s="101"/>
      <c r="H7211" s="101"/>
      <c r="I7211" s="101"/>
      <c r="K7211" s="226"/>
      <c r="L7211" s="226"/>
      <c r="M7211" s="101"/>
      <c r="N7211" s="101"/>
    </row>
    <row r="7212" spans="7:14" hidden="1" x14ac:dyDescent="0.3">
      <c r="G7212" s="101"/>
      <c r="H7212" s="101"/>
      <c r="I7212" s="101"/>
      <c r="K7212" s="226"/>
      <c r="L7212" s="226"/>
      <c r="M7212" s="101"/>
      <c r="N7212" s="101"/>
    </row>
    <row r="7213" spans="7:14" hidden="1" x14ac:dyDescent="0.3">
      <c r="G7213" s="101"/>
      <c r="H7213" s="101"/>
      <c r="I7213" s="101"/>
      <c r="K7213" s="226"/>
      <c r="L7213" s="226"/>
      <c r="M7213" s="101"/>
      <c r="N7213" s="101"/>
    </row>
    <row r="7214" spans="7:14" hidden="1" x14ac:dyDescent="0.3">
      <c r="G7214" s="101"/>
      <c r="H7214" s="101"/>
      <c r="I7214" s="101"/>
      <c r="K7214" s="226"/>
      <c r="L7214" s="226"/>
      <c r="M7214" s="101"/>
      <c r="N7214" s="101"/>
    </row>
    <row r="7215" spans="7:14" hidden="1" x14ac:dyDescent="0.3">
      <c r="G7215" s="101"/>
      <c r="H7215" s="101"/>
      <c r="I7215" s="101"/>
      <c r="K7215" s="226"/>
      <c r="L7215" s="226"/>
      <c r="M7215" s="101"/>
      <c r="N7215" s="101"/>
    </row>
    <row r="7216" spans="7:14" hidden="1" x14ac:dyDescent="0.3">
      <c r="G7216" s="101"/>
      <c r="H7216" s="101"/>
      <c r="I7216" s="101"/>
      <c r="K7216" s="226"/>
      <c r="L7216" s="226"/>
      <c r="M7216" s="101"/>
      <c r="N7216" s="101"/>
    </row>
    <row r="7217" spans="7:14" hidden="1" x14ac:dyDescent="0.3">
      <c r="G7217" s="101"/>
      <c r="H7217" s="101"/>
      <c r="I7217" s="101"/>
      <c r="K7217" s="226"/>
      <c r="L7217" s="226"/>
      <c r="M7217" s="101"/>
      <c r="N7217" s="101"/>
    </row>
    <row r="7218" spans="7:14" hidden="1" x14ac:dyDescent="0.3">
      <c r="G7218" s="101"/>
      <c r="H7218" s="101"/>
      <c r="I7218" s="101"/>
      <c r="K7218" s="226"/>
      <c r="L7218" s="226"/>
      <c r="M7218" s="101"/>
      <c r="N7218" s="101"/>
    </row>
    <row r="7219" spans="7:14" hidden="1" x14ac:dyDescent="0.3">
      <c r="G7219" s="101"/>
      <c r="H7219" s="101"/>
      <c r="I7219" s="101"/>
      <c r="K7219" s="226"/>
      <c r="L7219" s="226"/>
      <c r="M7219" s="101"/>
      <c r="N7219" s="101"/>
    </row>
    <row r="7220" spans="7:14" hidden="1" x14ac:dyDescent="0.3">
      <c r="G7220" s="101"/>
      <c r="H7220" s="101"/>
      <c r="I7220" s="101"/>
      <c r="K7220" s="226"/>
      <c r="L7220" s="226"/>
      <c r="M7220" s="101"/>
      <c r="N7220" s="101"/>
    </row>
    <row r="7221" spans="7:14" hidden="1" x14ac:dyDescent="0.3">
      <c r="G7221" s="101"/>
      <c r="H7221" s="101"/>
      <c r="I7221" s="101"/>
      <c r="K7221" s="226"/>
      <c r="L7221" s="226"/>
      <c r="M7221" s="101"/>
      <c r="N7221" s="101"/>
    </row>
    <row r="7222" spans="7:14" hidden="1" x14ac:dyDescent="0.3">
      <c r="G7222" s="101"/>
      <c r="H7222" s="101"/>
      <c r="I7222" s="101"/>
      <c r="K7222" s="226"/>
      <c r="L7222" s="226"/>
      <c r="M7222" s="101"/>
      <c r="N7222" s="101"/>
    </row>
    <row r="7223" spans="7:14" hidden="1" x14ac:dyDescent="0.3">
      <c r="G7223" s="101"/>
      <c r="H7223" s="101"/>
      <c r="I7223" s="101"/>
      <c r="K7223" s="226"/>
      <c r="L7223" s="226"/>
      <c r="M7223" s="101"/>
      <c r="N7223" s="101"/>
    </row>
    <row r="7224" spans="7:14" hidden="1" x14ac:dyDescent="0.3">
      <c r="G7224" s="101"/>
      <c r="H7224" s="101"/>
      <c r="I7224" s="101"/>
      <c r="K7224" s="226"/>
      <c r="L7224" s="226"/>
      <c r="M7224" s="101"/>
      <c r="N7224" s="101"/>
    </row>
    <row r="7225" spans="7:14" hidden="1" x14ac:dyDescent="0.3">
      <c r="G7225" s="101"/>
      <c r="H7225" s="101"/>
      <c r="I7225" s="101"/>
      <c r="K7225" s="226"/>
      <c r="L7225" s="226"/>
      <c r="M7225" s="101"/>
      <c r="N7225" s="101"/>
    </row>
    <row r="7226" spans="7:14" hidden="1" x14ac:dyDescent="0.3">
      <c r="G7226" s="101"/>
      <c r="H7226" s="101"/>
      <c r="I7226" s="101"/>
      <c r="K7226" s="226"/>
      <c r="L7226" s="226"/>
      <c r="M7226" s="101"/>
      <c r="N7226" s="101"/>
    </row>
    <row r="7227" spans="7:14" hidden="1" x14ac:dyDescent="0.3">
      <c r="G7227" s="101"/>
      <c r="H7227" s="101"/>
      <c r="I7227" s="101"/>
      <c r="K7227" s="226"/>
      <c r="L7227" s="226"/>
      <c r="M7227" s="101"/>
      <c r="N7227" s="101"/>
    </row>
    <row r="7228" spans="7:14" hidden="1" x14ac:dyDescent="0.3">
      <c r="G7228" s="101"/>
      <c r="H7228" s="101"/>
      <c r="I7228" s="101"/>
      <c r="K7228" s="226"/>
      <c r="L7228" s="226"/>
      <c r="M7228" s="101"/>
      <c r="N7228" s="101"/>
    </row>
    <row r="7229" spans="7:14" hidden="1" x14ac:dyDescent="0.3">
      <c r="G7229" s="101"/>
      <c r="H7229" s="101"/>
      <c r="I7229" s="101"/>
      <c r="K7229" s="226"/>
      <c r="L7229" s="226"/>
      <c r="M7229" s="101"/>
      <c r="N7229" s="101"/>
    </row>
    <row r="7230" spans="7:14" hidden="1" x14ac:dyDescent="0.3">
      <c r="G7230" s="101"/>
      <c r="H7230" s="101"/>
      <c r="I7230" s="101"/>
      <c r="K7230" s="226"/>
      <c r="L7230" s="226"/>
      <c r="M7230" s="101"/>
      <c r="N7230" s="101"/>
    </row>
    <row r="7231" spans="7:14" hidden="1" x14ac:dyDescent="0.3">
      <c r="G7231" s="101"/>
      <c r="H7231" s="101"/>
      <c r="I7231" s="101"/>
      <c r="K7231" s="226"/>
      <c r="L7231" s="226"/>
      <c r="M7231" s="101"/>
      <c r="N7231" s="101"/>
    </row>
    <row r="7232" spans="7:14" hidden="1" x14ac:dyDescent="0.3">
      <c r="G7232" s="101"/>
      <c r="H7232" s="101"/>
      <c r="I7232" s="101"/>
      <c r="K7232" s="226"/>
      <c r="L7232" s="226"/>
      <c r="M7232" s="101"/>
      <c r="N7232" s="101"/>
    </row>
    <row r="7233" spans="7:14" hidden="1" x14ac:dyDescent="0.3">
      <c r="G7233" s="101"/>
      <c r="H7233" s="101"/>
      <c r="I7233" s="101"/>
      <c r="K7233" s="226"/>
      <c r="L7233" s="226"/>
      <c r="M7233" s="101"/>
      <c r="N7233" s="101"/>
    </row>
    <row r="7234" spans="7:14" hidden="1" x14ac:dyDescent="0.3">
      <c r="G7234" s="101"/>
      <c r="H7234" s="101"/>
      <c r="I7234" s="101"/>
      <c r="K7234" s="226"/>
      <c r="L7234" s="226"/>
      <c r="M7234" s="101"/>
      <c r="N7234" s="101"/>
    </row>
    <row r="7235" spans="7:14" hidden="1" x14ac:dyDescent="0.3">
      <c r="G7235" s="101"/>
      <c r="H7235" s="101"/>
      <c r="I7235" s="101"/>
      <c r="K7235" s="226"/>
      <c r="L7235" s="226"/>
      <c r="M7235" s="101"/>
      <c r="N7235" s="101"/>
    </row>
    <row r="7236" spans="7:14" hidden="1" x14ac:dyDescent="0.3">
      <c r="G7236" s="101"/>
      <c r="H7236" s="101"/>
      <c r="I7236" s="101"/>
      <c r="K7236" s="226"/>
      <c r="L7236" s="226"/>
      <c r="M7236" s="101"/>
      <c r="N7236" s="101"/>
    </row>
    <row r="7237" spans="7:14" hidden="1" x14ac:dyDescent="0.3">
      <c r="G7237" s="101"/>
      <c r="H7237" s="101"/>
      <c r="I7237" s="101"/>
      <c r="K7237" s="226"/>
      <c r="L7237" s="226"/>
      <c r="M7237" s="101"/>
      <c r="N7237" s="101"/>
    </row>
    <row r="7238" spans="7:14" hidden="1" x14ac:dyDescent="0.3">
      <c r="G7238" s="101"/>
      <c r="H7238" s="101"/>
      <c r="I7238" s="101"/>
      <c r="K7238" s="226"/>
      <c r="L7238" s="226"/>
      <c r="M7238" s="101"/>
      <c r="N7238" s="101"/>
    </row>
    <row r="7239" spans="7:14" hidden="1" x14ac:dyDescent="0.3">
      <c r="G7239" s="101"/>
      <c r="H7239" s="101"/>
      <c r="I7239" s="101"/>
      <c r="K7239" s="226"/>
      <c r="L7239" s="226"/>
      <c r="M7239" s="101"/>
      <c r="N7239" s="101"/>
    </row>
    <row r="7240" spans="7:14" hidden="1" x14ac:dyDescent="0.3">
      <c r="G7240" s="101"/>
      <c r="H7240" s="101"/>
      <c r="I7240" s="101"/>
      <c r="K7240" s="226"/>
      <c r="L7240" s="226"/>
      <c r="M7240" s="101"/>
      <c r="N7240" s="101"/>
    </row>
    <row r="7241" spans="7:14" hidden="1" x14ac:dyDescent="0.3">
      <c r="G7241" s="101"/>
      <c r="H7241" s="101"/>
      <c r="I7241" s="101"/>
      <c r="K7241" s="226"/>
      <c r="L7241" s="226"/>
      <c r="M7241" s="101"/>
      <c r="N7241" s="101"/>
    </row>
    <row r="7242" spans="7:14" hidden="1" x14ac:dyDescent="0.3">
      <c r="G7242" s="101"/>
      <c r="H7242" s="101"/>
      <c r="I7242" s="101"/>
      <c r="K7242" s="226"/>
      <c r="L7242" s="226"/>
      <c r="M7242" s="101"/>
      <c r="N7242" s="101"/>
    </row>
    <row r="7243" spans="7:14" hidden="1" x14ac:dyDescent="0.3">
      <c r="G7243" s="101"/>
      <c r="H7243" s="101"/>
      <c r="I7243" s="101"/>
      <c r="K7243" s="226"/>
      <c r="L7243" s="226"/>
      <c r="M7243" s="101"/>
      <c r="N7243" s="101"/>
    </row>
    <row r="7244" spans="7:14" hidden="1" x14ac:dyDescent="0.3">
      <c r="G7244" s="101"/>
      <c r="H7244" s="101"/>
      <c r="I7244" s="101"/>
      <c r="K7244" s="226"/>
      <c r="L7244" s="226"/>
      <c r="M7244" s="101"/>
      <c r="N7244" s="101"/>
    </row>
    <row r="7245" spans="7:14" hidden="1" x14ac:dyDescent="0.3">
      <c r="G7245" s="101"/>
      <c r="H7245" s="101"/>
      <c r="I7245" s="101"/>
      <c r="K7245" s="226"/>
      <c r="L7245" s="226"/>
      <c r="M7245" s="101"/>
      <c r="N7245" s="101"/>
    </row>
    <row r="7246" spans="7:14" hidden="1" x14ac:dyDescent="0.3">
      <c r="G7246" s="101"/>
      <c r="H7246" s="101"/>
      <c r="I7246" s="101"/>
      <c r="K7246" s="226"/>
      <c r="L7246" s="226"/>
      <c r="M7246" s="101"/>
      <c r="N7246" s="101"/>
    </row>
    <row r="7247" spans="7:14" hidden="1" x14ac:dyDescent="0.3">
      <c r="G7247" s="101"/>
      <c r="H7247" s="101"/>
      <c r="I7247" s="101"/>
      <c r="K7247" s="226"/>
      <c r="L7247" s="226"/>
      <c r="M7247" s="101"/>
      <c r="N7247" s="101"/>
    </row>
    <row r="7248" spans="7:14" hidden="1" x14ac:dyDescent="0.3">
      <c r="G7248" s="101"/>
      <c r="H7248" s="101"/>
      <c r="I7248" s="101"/>
      <c r="K7248" s="226"/>
      <c r="L7248" s="226"/>
      <c r="M7248" s="101"/>
      <c r="N7248" s="101"/>
    </row>
    <row r="7249" spans="7:14" hidden="1" x14ac:dyDescent="0.3">
      <c r="G7249" s="101"/>
      <c r="H7249" s="101"/>
      <c r="I7249" s="101"/>
      <c r="K7249" s="226"/>
      <c r="L7249" s="226"/>
      <c r="M7249" s="101"/>
      <c r="N7249" s="101"/>
    </row>
    <row r="7250" spans="7:14" hidden="1" x14ac:dyDescent="0.3">
      <c r="G7250" s="101"/>
      <c r="H7250" s="101"/>
      <c r="I7250" s="101"/>
      <c r="K7250" s="226"/>
      <c r="L7250" s="226"/>
      <c r="M7250" s="101"/>
      <c r="N7250" s="101"/>
    </row>
    <row r="7251" spans="7:14" hidden="1" x14ac:dyDescent="0.3">
      <c r="G7251" s="101"/>
      <c r="H7251" s="101"/>
      <c r="I7251" s="101"/>
      <c r="K7251" s="226"/>
      <c r="L7251" s="226"/>
      <c r="M7251" s="101"/>
      <c r="N7251" s="101"/>
    </row>
    <row r="7252" spans="7:14" hidden="1" x14ac:dyDescent="0.3">
      <c r="G7252" s="101"/>
      <c r="H7252" s="101"/>
      <c r="I7252" s="101"/>
      <c r="K7252" s="226"/>
      <c r="L7252" s="226"/>
      <c r="M7252" s="101"/>
      <c r="N7252" s="101"/>
    </row>
    <row r="7253" spans="7:14" hidden="1" x14ac:dyDescent="0.3">
      <c r="G7253" s="101"/>
      <c r="H7253" s="101"/>
      <c r="I7253" s="101"/>
      <c r="K7253" s="226"/>
      <c r="L7253" s="226"/>
      <c r="M7253" s="101"/>
      <c r="N7253" s="101"/>
    </row>
    <row r="7254" spans="7:14" hidden="1" x14ac:dyDescent="0.3">
      <c r="G7254" s="101"/>
      <c r="H7254" s="101"/>
      <c r="I7254" s="101"/>
      <c r="K7254" s="226"/>
      <c r="L7254" s="226"/>
      <c r="M7254" s="101"/>
      <c r="N7254" s="101"/>
    </row>
    <row r="7255" spans="7:14" hidden="1" x14ac:dyDescent="0.3">
      <c r="G7255" s="101"/>
      <c r="H7255" s="101"/>
      <c r="I7255" s="101"/>
      <c r="K7255" s="226"/>
      <c r="L7255" s="226"/>
      <c r="M7255" s="101"/>
      <c r="N7255" s="101"/>
    </row>
    <row r="7256" spans="7:14" hidden="1" x14ac:dyDescent="0.3">
      <c r="G7256" s="101"/>
      <c r="H7256" s="101"/>
      <c r="I7256" s="101"/>
      <c r="K7256" s="226"/>
      <c r="L7256" s="226"/>
      <c r="M7256" s="101"/>
      <c r="N7256" s="101"/>
    </row>
    <row r="7257" spans="7:14" hidden="1" x14ac:dyDescent="0.3">
      <c r="G7257" s="101"/>
      <c r="H7257" s="101"/>
      <c r="I7257" s="101"/>
      <c r="K7257" s="226"/>
      <c r="L7257" s="226"/>
      <c r="M7257" s="101"/>
      <c r="N7257" s="101"/>
    </row>
    <row r="7258" spans="7:14" hidden="1" x14ac:dyDescent="0.3">
      <c r="G7258" s="101"/>
      <c r="H7258" s="101"/>
      <c r="I7258" s="101"/>
      <c r="K7258" s="226"/>
      <c r="L7258" s="226"/>
      <c r="M7258" s="101"/>
      <c r="N7258" s="101"/>
    </row>
    <row r="7259" spans="7:14" hidden="1" x14ac:dyDescent="0.3">
      <c r="G7259" s="101"/>
      <c r="H7259" s="101"/>
      <c r="I7259" s="101"/>
      <c r="K7259" s="226"/>
      <c r="L7259" s="226"/>
      <c r="M7259" s="101"/>
      <c r="N7259" s="101"/>
    </row>
    <row r="7260" spans="7:14" hidden="1" x14ac:dyDescent="0.3">
      <c r="G7260" s="101"/>
      <c r="H7260" s="101"/>
      <c r="I7260" s="101"/>
      <c r="K7260" s="226"/>
      <c r="L7260" s="226"/>
      <c r="M7260" s="101"/>
      <c r="N7260" s="101"/>
    </row>
    <row r="7261" spans="7:14" hidden="1" x14ac:dyDescent="0.3">
      <c r="G7261" s="101"/>
      <c r="H7261" s="101"/>
      <c r="I7261" s="101"/>
      <c r="K7261" s="226"/>
      <c r="L7261" s="226"/>
      <c r="M7261" s="101"/>
      <c r="N7261" s="101"/>
    </row>
    <row r="7262" spans="7:14" hidden="1" x14ac:dyDescent="0.3">
      <c r="G7262" s="101"/>
      <c r="H7262" s="101"/>
      <c r="I7262" s="101"/>
      <c r="K7262" s="226"/>
      <c r="L7262" s="226"/>
      <c r="M7262" s="101"/>
      <c r="N7262" s="101"/>
    </row>
    <row r="7263" spans="7:14" hidden="1" x14ac:dyDescent="0.3">
      <c r="G7263" s="101"/>
      <c r="H7263" s="101"/>
      <c r="I7263" s="101"/>
      <c r="K7263" s="226"/>
      <c r="L7263" s="226"/>
      <c r="M7263" s="101"/>
      <c r="N7263" s="101"/>
    </row>
    <row r="7264" spans="7:14" hidden="1" x14ac:dyDescent="0.3">
      <c r="G7264" s="101"/>
      <c r="H7264" s="101"/>
      <c r="I7264" s="101"/>
      <c r="K7264" s="226"/>
      <c r="L7264" s="226"/>
      <c r="M7264" s="101"/>
      <c r="N7264" s="101"/>
    </row>
    <row r="7265" spans="7:14" hidden="1" x14ac:dyDescent="0.3">
      <c r="G7265" s="101"/>
      <c r="H7265" s="101"/>
      <c r="I7265" s="101"/>
      <c r="K7265" s="226"/>
      <c r="L7265" s="226"/>
      <c r="M7265" s="101"/>
      <c r="N7265" s="101"/>
    </row>
    <row r="7266" spans="7:14" hidden="1" x14ac:dyDescent="0.3">
      <c r="G7266" s="101"/>
      <c r="H7266" s="101"/>
      <c r="I7266" s="101"/>
      <c r="K7266" s="226"/>
      <c r="L7266" s="226"/>
      <c r="M7266" s="101"/>
      <c r="N7266" s="101"/>
    </row>
    <row r="7267" spans="7:14" hidden="1" x14ac:dyDescent="0.3">
      <c r="G7267" s="101"/>
      <c r="H7267" s="101"/>
      <c r="I7267" s="101"/>
      <c r="K7267" s="226"/>
      <c r="L7267" s="226"/>
      <c r="M7267" s="101"/>
      <c r="N7267" s="101"/>
    </row>
    <row r="7268" spans="7:14" hidden="1" x14ac:dyDescent="0.3">
      <c r="G7268" s="101"/>
      <c r="H7268" s="101"/>
      <c r="I7268" s="101"/>
      <c r="K7268" s="226"/>
      <c r="L7268" s="226"/>
      <c r="M7268" s="101"/>
      <c r="N7268" s="101"/>
    </row>
    <row r="7269" spans="7:14" hidden="1" x14ac:dyDescent="0.3">
      <c r="G7269" s="101"/>
      <c r="H7269" s="101"/>
      <c r="I7269" s="101"/>
      <c r="K7269" s="226"/>
      <c r="L7269" s="226"/>
      <c r="M7269" s="101"/>
      <c r="N7269" s="101"/>
    </row>
    <row r="7270" spans="7:14" hidden="1" x14ac:dyDescent="0.3">
      <c r="G7270" s="101"/>
      <c r="H7270" s="101"/>
      <c r="I7270" s="101"/>
      <c r="K7270" s="226"/>
      <c r="L7270" s="226"/>
      <c r="M7270" s="101"/>
      <c r="N7270" s="101"/>
    </row>
    <row r="7271" spans="7:14" hidden="1" x14ac:dyDescent="0.3">
      <c r="G7271" s="101"/>
      <c r="H7271" s="101"/>
      <c r="I7271" s="101"/>
      <c r="K7271" s="226"/>
      <c r="L7271" s="226"/>
      <c r="M7271" s="101"/>
      <c r="N7271" s="101"/>
    </row>
    <row r="7272" spans="7:14" hidden="1" x14ac:dyDescent="0.3">
      <c r="G7272" s="101"/>
      <c r="H7272" s="101"/>
      <c r="I7272" s="101"/>
      <c r="K7272" s="226"/>
      <c r="L7272" s="226"/>
      <c r="M7272" s="101"/>
      <c r="N7272" s="101"/>
    </row>
    <row r="7273" spans="7:14" hidden="1" x14ac:dyDescent="0.3">
      <c r="G7273" s="101"/>
      <c r="H7273" s="101"/>
      <c r="I7273" s="101"/>
      <c r="K7273" s="226"/>
      <c r="L7273" s="226"/>
      <c r="M7273" s="101"/>
      <c r="N7273" s="101"/>
    </row>
    <row r="7274" spans="7:14" hidden="1" x14ac:dyDescent="0.3">
      <c r="G7274" s="101"/>
      <c r="H7274" s="101"/>
      <c r="I7274" s="101"/>
      <c r="K7274" s="226"/>
      <c r="L7274" s="226"/>
      <c r="M7274" s="101"/>
      <c r="N7274" s="101"/>
    </row>
    <row r="7275" spans="7:14" hidden="1" x14ac:dyDescent="0.3">
      <c r="G7275" s="101"/>
      <c r="H7275" s="101"/>
      <c r="I7275" s="101"/>
      <c r="K7275" s="226"/>
      <c r="L7275" s="226"/>
      <c r="M7275" s="101"/>
      <c r="N7275" s="101"/>
    </row>
    <row r="7276" spans="7:14" hidden="1" x14ac:dyDescent="0.3">
      <c r="G7276" s="101"/>
      <c r="H7276" s="101"/>
      <c r="I7276" s="101"/>
      <c r="K7276" s="226"/>
      <c r="L7276" s="226"/>
      <c r="M7276" s="101"/>
      <c r="N7276" s="101"/>
    </row>
    <row r="7277" spans="7:14" hidden="1" x14ac:dyDescent="0.3">
      <c r="G7277" s="101"/>
      <c r="H7277" s="101"/>
      <c r="I7277" s="101"/>
      <c r="K7277" s="226"/>
      <c r="L7277" s="226"/>
      <c r="M7277" s="101"/>
      <c r="N7277" s="101"/>
    </row>
    <row r="7278" spans="7:14" hidden="1" x14ac:dyDescent="0.3">
      <c r="G7278" s="101"/>
      <c r="H7278" s="101"/>
      <c r="I7278" s="101"/>
      <c r="K7278" s="226"/>
      <c r="L7278" s="226"/>
      <c r="M7278" s="101"/>
      <c r="N7278" s="101"/>
    </row>
    <row r="7279" spans="7:14" hidden="1" x14ac:dyDescent="0.3">
      <c r="G7279" s="101"/>
      <c r="H7279" s="101"/>
      <c r="I7279" s="101"/>
      <c r="K7279" s="226"/>
      <c r="L7279" s="226"/>
      <c r="M7279" s="101"/>
      <c r="N7279" s="101"/>
    </row>
    <row r="7280" spans="7:14" hidden="1" x14ac:dyDescent="0.3">
      <c r="G7280" s="101"/>
      <c r="H7280" s="101"/>
      <c r="I7280" s="101"/>
      <c r="K7280" s="226"/>
      <c r="L7280" s="226"/>
      <c r="M7280" s="101"/>
      <c r="N7280" s="101"/>
    </row>
    <row r="7281" spans="7:14" hidden="1" x14ac:dyDescent="0.3">
      <c r="G7281" s="101"/>
      <c r="H7281" s="101"/>
      <c r="I7281" s="101"/>
      <c r="K7281" s="226"/>
      <c r="L7281" s="226"/>
      <c r="M7281" s="101"/>
      <c r="N7281" s="101"/>
    </row>
    <row r="7282" spans="7:14" hidden="1" x14ac:dyDescent="0.3">
      <c r="G7282" s="101"/>
      <c r="H7282" s="101"/>
      <c r="I7282" s="101"/>
      <c r="K7282" s="226"/>
      <c r="L7282" s="226"/>
      <c r="M7282" s="101"/>
      <c r="N7282" s="101"/>
    </row>
    <row r="7283" spans="7:14" hidden="1" x14ac:dyDescent="0.3">
      <c r="G7283" s="101"/>
      <c r="H7283" s="101"/>
      <c r="I7283" s="101"/>
      <c r="K7283" s="226"/>
      <c r="L7283" s="226"/>
      <c r="M7283" s="101"/>
      <c r="N7283" s="101"/>
    </row>
    <row r="7284" spans="7:14" hidden="1" x14ac:dyDescent="0.3">
      <c r="G7284" s="101"/>
      <c r="H7284" s="101"/>
      <c r="I7284" s="101"/>
      <c r="K7284" s="226"/>
      <c r="L7284" s="226"/>
      <c r="M7284" s="101"/>
      <c r="N7284" s="101"/>
    </row>
    <row r="7285" spans="7:14" hidden="1" x14ac:dyDescent="0.3">
      <c r="G7285" s="101"/>
      <c r="H7285" s="101"/>
      <c r="I7285" s="101"/>
      <c r="K7285" s="226"/>
      <c r="L7285" s="226"/>
      <c r="M7285" s="101"/>
      <c r="N7285" s="101"/>
    </row>
    <row r="7286" spans="7:14" hidden="1" x14ac:dyDescent="0.3">
      <c r="G7286" s="101"/>
      <c r="H7286" s="101"/>
      <c r="I7286" s="101"/>
      <c r="K7286" s="226"/>
      <c r="L7286" s="226"/>
      <c r="M7286" s="101"/>
      <c r="N7286" s="101"/>
    </row>
    <row r="7287" spans="7:14" hidden="1" x14ac:dyDescent="0.3">
      <c r="G7287" s="101"/>
      <c r="H7287" s="101"/>
      <c r="I7287" s="101"/>
      <c r="K7287" s="226"/>
      <c r="L7287" s="226"/>
      <c r="M7287" s="101"/>
      <c r="N7287" s="101"/>
    </row>
    <row r="7288" spans="7:14" hidden="1" x14ac:dyDescent="0.3">
      <c r="G7288" s="101"/>
      <c r="H7288" s="101"/>
      <c r="I7288" s="101"/>
      <c r="K7288" s="226"/>
      <c r="L7288" s="226"/>
      <c r="M7288" s="101"/>
      <c r="N7288" s="101"/>
    </row>
    <row r="7289" spans="7:14" hidden="1" x14ac:dyDescent="0.3">
      <c r="G7289" s="101"/>
      <c r="H7289" s="101"/>
      <c r="I7289" s="101"/>
      <c r="K7289" s="226"/>
      <c r="L7289" s="226"/>
      <c r="M7289" s="101"/>
      <c r="N7289" s="101"/>
    </row>
    <row r="7290" spans="7:14" hidden="1" x14ac:dyDescent="0.3">
      <c r="G7290" s="101"/>
      <c r="H7290" s="101"/>
      <c r="I7290" s="101"/>
      <c r="K7290" s="226"/>
      <c r="L7290" s="226"/>
      <c r="M7290" s="101"/>
      <c r="N7290" s="101"/>
    </row>
    <row r="7291" spans="7:14" hidden="1" x14ac:dyDescent="0.3">
      <c r="G7291" s="101"/>
      <c r="H7291" s="101"/>
      <c r="I7291" s="101"/>
      <c r="K7291" s="226"/>
      <c r="L7291" s="226"/>
      <c r="M7291" s="101"/>
      <c r="N7291" s="101"/>
    </row>
    <row r="7292" spans="7:14" hidden="1" x14ac:dyDescent="0.3">
      <c r="G7292" s="101"/>
      <c r="H7292" s="101"/>
      <c r="I7292" s="101"/>
      <c r="K7292" s="226"/>
      <c r="L7292" s="226"/>
      <c r="M7292" s="101"/>
      <c r="N7292" s="101"/>
    </row>
    <row r="7293" spans="7:14" hidden="1" x14ac:dyDescent="0.3">
      <c r="G7293" s="101"/>
      <c r="H7293" s="101"/>
      <c r="I7293" s="101"/>
      <c r="K7293" s="226"/>
      <c r="L7293" s="226"/>
      <c r="M7293" s="101"/>
      <c r="N7293" s="101"/>
    </row>
    <row r="7294" spans="7:14" hidden="1" x14ac:dyDescent="0.3">
      <c r="G7294" s="101"/>
      <c r="H7294" s="101"/>
      <c r="I7294" s="101"/>
      <c r="K7294" s="226"/>
      <c r="L7294" s="226"/>
      <c r="M7294" s="101"/>
      <c r="N7294" s="101"/>
    </row>
    <row r="7295" spans="7:14" hidden="1" x14ac:dyDescent="0.3">
      <c r="G7295" s="101"/>
      <c r="H7295" s="101"/>
      <c r="I7295" s="101"/>
      <c r="K7295" s="226"/>
      <c r="L7295" s="226"/>
      <c r="M7295" s="101"/>
      <c r="N7295" s="101"/>
    </row>
    <row r="7296" spans="7:14" hidden="1" x14ac:dyDescent="0.3">
      <c r="G7296" s="101"/>
      <c r="H7296" s="101"/>
      <c r="I7296" s="101"/>
      <c r="K7296" s="226"/>
      <c r="L7296" s="226"/>
      <c r="M7296" s="101"/>
      <c r="N7296" s="101"/>
    </row>
    <row r="7297" spans="7:14" hidden="1" x14ac:dyDescent="0.3">
      <c r="G7297" s="101"/>
      <c r="H7297" s="101"/>
      <c r="I7297" s="101"/>
      <c r="K7297" s="226"/>
      <c r="L7297" s="226"/>
      <c r="M7297" s="101"/>
      <c r="N7297" s="101"/>
    </row>
    <row r="7298" spans="7:14" hidden="1" x14ac:dyDescent="0.3">
      <c r="G7298" s="101"/>
      <c r="H7298" s="101"/>
      <c r="I7298" s="101"/>
      <c r="K7298" s="226"/>
      <c r="L7298" s="226"/>
      <c r="M7298" s="101"/>
      <c r="N7298" s="101"/>
    </row>
    <row r="7299" spans="7:14" hidden="1" x14ac:dyDescent="0.3">
      <c r="G7299" s="101"/>
      <c r="H7299" s="101"/>
      <c r="I7299" s="101"/>
      <c r="K7299" s="226"/>
      <c r="L7299" s="226"/>
      <c r="M7299" s="101"/>
      <c r="N7299" s="101"/>
    </row>
    <row r="7300" spans="7:14" hidden="1" x14ac:dyDescent="0.3">
      <c r="G7300" s="101"/>
      <c r="H7300" s="101"/>
      <c r="I7300" s="101"/>
      <c r="K7300" s="226"/>
      <c r="L7300" s="226"/>
      <c r="M7300" s="101"/>
      <c r="N7300" s="101"/>
    </row>
    <row r="7301" spans="7:14" hidden="1" x14ac:dyDescent="0.3">
      <c r="G7301" s="101"/>
      <c r="H7301" s="101"/>
      <c r="I7301" s="101"/>
      <c r="K7301" s="226"/>
      <c r="L7301" s="226"/>
      <c r="M7301" s="101"/>
      <c r="N7301" s="101"/>
    </row>
    <row r="7302" spans="7:14" hidden="1" x14ac:dyDescent="0.3">
      <c r="G7302" s="101"/>
      <c r="H7302" s="101"/>
      <c r="I7302" s="101"/>
      <c r="K7302" s="226"/>
      <c r="L7302" s="226"/>
      <c r="M7302" s="101"/>
      <c r="N7302" s="101"/>
    </row>
    <row r="7303" spans="7:14" hidden="1" x14ac:dyDescent="0.3">
      <c r="G7303" s="101"/>
      <c r="H7303" s="101"/>
      <c r="I7303" s="101"/>
      <c r="K7303" s="226"/>
      <c r="L7303" s="226"/>
      <c r="M7303" s="101"/>
      <c r="N7303" s="101"/>
    </row>
    <row r="7304" spans="7:14" hidden="1" x14ac:dyDescent="0.3">
      <c r="G7304" s="101"/>
      <c r="H7304" s="101"/>
      <c r="I7304" s="101"/>
      <c r="K7304" s="226"/>
      <c r="L7304" s="226"/>
      <c r="M7304" s="101"/>
      <c r="N7304" s="101"/>
    </row>
    <row r="7305" spans="7:14" hidden="1" x14ac:dyDescent="0.3">
      <c r="G7305" s="101"/>
      <c r="H7305" s="101"/>
      <c r="I7305" s="101"/>
      <c r="K7305" s="226"/>
      <c r="L7305" s="226"/>
      <c r="M7305" s="101"/>
      <c r="N7305" s="101"/>
    </row>
    <row r="7306" spans="7:14" hidden="1" x14ac:dyDescent="0.3">
      <c r="G7306" s="101"/>
      <c r="H7306" s="101"/>
      <c r="I7306" s="101"/>
      <c r="K7306" s="226"/>
      <c r="L7306" s="226"/>
      <c r="M7306" s="101"/>
      <c r="N7306" s="101"/>
    </row>
    <row r="7307" spans="7:14" hidden="1" x14ac:dyDescent="0.3">
      <c r="G7307" s="101"/>
      <c r="H7307" s="101"/>
      <c r="I7307" s="101"/>
      <c r="K7307" s="226"/>
      <c r="L7307" s="226"/>
      <c r="M7307" s="101"/>
      <c r="N7307" s="101"/>
    </row>
    <row r="7308" spans="7:14" hidden="1" x14ac:dyDescent="0.3">
      <c r="G7308" s="101"/>
      <c r="H7308" s="101"/>
      <c r="I7308" s="101"/>
      <c r="K7308" s="226"/>
      <c r="L7308" s="226"/>
      <c r="M7308" s="101"/>
      <c r="N7308" s="101"/>
    </row>
    <row r="7309" spans="7:14" hidden="1" x14ac:dyDescent="0.3">
      <c r="G7309" s="101"/>
      <c r="H7309" s="101"/>
      <c r="I7309" s="101"/>
      <c r="K7309" s="226"/>
      <c r="L7309" s="226"/>
      <c r="M7309" s="101"/>
      <c r="N7309" s="101"/>
    </row>
    <row r="7310" spans="7:14" hidden="1" x14ac:dyDescent="0.3">
      <c r="G7310" s="101"/>
      <c r="H7310" s="101"/>
      <c r="I7310" s="101"/>
      <c r="K7310" s="226"/>
      <c r="L7310" s="226"/>
      <c r="M7310" s="101"/>
      <c r="N7310" s="101"/>
    </row>
    <row r="7311" spans="7:14" hidden="1" x14ac:dyDescent="0.3">
      <c r="G7311" s="101"/>
      <c r="H7311" s="101"/>
      <c r="I7311" s="101"/>
      <c r="K7311" s="226"/>
      <c r="L7311" s="226"/>
      <c r="M7311" s="101"/>
      <c r="N7311" s="101"/>
    </row>
    <row r="7312" spans="7:14" hidden="1" x14ac:dyDescent="0.3">
      <c r="G7312" s="101"/>
      <c r="H7312" s="101"/>
      <c r="I7312" s="101"/>
      <c r="K7312" s="226"/>
      <c r="L7312" s="226"/>
      <c r="M7312" s="101"/>
      <c r="N7312" s="101"/>
    </row>
    <row r="7313" spans="7:14" hidden="1" x14ac:dyDescent="0.3">
      <c r="G7313" s="101"/>
      <c r="H7313" s="101"/>
      <c r="I7313" s="101"/>
      <c r="K7313" s="226"/>
      <c r="L7313" s="226"/>
      <c r="M7313" s="101"/>
      <c r="N7313" s="101"/>
    </row>
    <row r="7314" spans="7:14" hidden="1" x14ac:dyDescent="0.3">
      <c r="G7314" s="101"/>
      <c r="H7314" s="101"/>
      <c r="I7314" s="101"/>
      <c r="K7314" s="226"/>
      <c r="L7314" s="226"/>
      <c r="M7314" s="101"/>
      <c r="N7314" s="101"/>
    </row>
    <row r="7315" spans="7:14" hidden="1" x14ac:dyDescent="0.3">
      <c r="G7315" s="101"/>
      <c r="H7315" s="101"/>
      <c r="I7315" s="101"/>
      <c r="K7315" s="226"/>
      <c r="L7315" s="226"/>
      <c r="M7315" s="101"/>
      <c r="N7315" s="101"/>
    </row>
    <row r="7316" spans="7:14" hidden="1" x14ac:dyDescent="0.3">
      <c r="G7316" s="101"/>
      <c r="H7316" s="101"/>
      <c r="I7316" s="101"/>
      <c r="K7316" s="226"/>
      <c r="L7316" s="226"/>
      <c r="M7316" s="101"/>
      <c r="N7316" s="101"/>
    </row>
    <row r="7317" spans="7:14" hidden="1" x14ac:dyDescent="0.3">
      <c r="G7317" s="101"/>
      <c r="H7317" s="101"/>
      <c r="I7317" s="101"/>
      <c r="K7317" s="226"/>
      <c r="L7317" s="226"/>
      <c r="M7317" s="101"/>
      <c r="N7317" s="101"/>
    </row>
    <row r="7318" spans="7:14" hidden="1" x14ac:dyDescent="0.3">
      <c r="G7318" s="101"/>
      <c r="H7318" s="101"/>
      <c r="I7318" s="101"/>
      <c r="K7318" s="226"/>
      <c r="L7318" s="226"/>
      <c r="M7318" s="101"/>
      <c r="N7318" s="101"/>
    </row>
    <row r="7319" spans="7:14" hidden="1" x14ac:dyDescent="0.3">
      <c r="G7319" s="101"/>
      <c r="H7319" s="101"/>
      <c r="I7319" s="101"/>
      <c r="K7319" s="226"/>
      <c r="L7319" s="226"/>
      <c r="M7319" s="101"/>
      <c r="N7319" s="101"/>
    </row>
    <row r="7320" spans="7:14" hidden="1" x14ac:dyDescent="0.3">
      <c r="G7320" s="101"/>
      <c r="H7320" s="101"/>
      <c r="I7320" s="101"/>
      <c r="K7320" s="226"/>
      <c r="L7320" s="226"/>
      <c r="M7320" s="101"/>
      <c r="N7320" s="101"/>
    </row>
    <row r="7321" spans="7:14" hidden="1" x14ac:dyDescent="0.3">
      <c r="G7321" s="101"/>
      <c r="H7321" s="101"/>
      <c r="I7321" s="101"/>
      <c r="K7321" s="226"/>
      <c r="L7321" s="226"/>
      <c r="M7321" s="101"/>
      <c r="N7321" s="101"/>
    </row>
    <row r="7322" spans="7:14" hidden="1" x14ac:dyDescent="0.3">
      <c r="G7322" s="101"/>
      <c r="H7322" s="101"/>
      <c r="I7322" s="101"/>
      <c r="K7322" s="226"/>
      <c r="L7322" s="226"/>
      <c r="M7322" s="101"/>
      <c r="N7322" s="101"/>
    </row>
    <row r="7323" spans="7:14" hidden="1" x14ac:dyDescent="0.3">
      <c r="G7323" s="101"/>
      <c r="H7323" s="101"/>
      <c r="I7323" s="101"/>
      <c r="K7323" s="226"/>
      <c r="L7323" s="226"/>
      <c r="M7323" s="101"/>
      <c r="N7323" s="101"/>
    </row>
    <row r="7324" spans="7:14" hidden="1" x14ac:dyDescent="0.3">
      <c r="G7324" s="101"/>
      <c r="H7324" s="101"/>
      <c r="I7324" s="101"/>
      <c r="K7324" s="226"/>
      <c r="L7324" s="226"/>
      <c r="M7324" s="101"/>
      <c r="N7324" s="101"/>
    </row>
    <row r="7325" spans="7:14" hidden="1" x14ac:dyDescent="0.3">
      <c r="G7325" s="101"/>
      <c r="H7325" s="101"/>
      <c r="I7325" s="101"/>
      <c r="K7325" s="226"/>
      <c r="L7325" s="226"/>
      <c r="M7325" s="101"/>
      <c r="N7325" s="101"/>
    </row>
    <row r="7326" spans="7:14" hidden="1" x14ac:dyDescent="0.3">
      <c r="G7326" s="101"/>
      <c r="H7326" s="101"/>
      <c r="I7326" s="101"/>
      <c r="K7326" s="226"/>
      <c r="L7326" s="226"/>
      <c r="M7326" s="101"/>
      <c r="N7326" s="101"/>
    </row>
    <row r="7327" spans="7:14" hidden="1" x14ac:dyDescent="0.3">
      <c r="G7327" s="101"/>
      <c r="H7327" s="101"/>
      <c r="I7327" s="101"/>
      <c r="K7327" s="226"/>
      <c r="L7327" s="226"/>
      <c r="M7327" s="101"/>
      <c r="N7327" s="101"/>
    </row>
    <row r="7328" spans="7:14" hidden="1" x14ac:dyDescent="0.3">
      <c r="G7328" s="101"/>
      <c r="H7328" s="101"/>
      <c r="I7328" s="101"/>
      <c r="K7328" s="226"/>
      <c r="L7328" s="226"/>
      <c r="M7328" s="101"/>
      <c r="N7328" s="101"/>
    </row>
    <row r="7329" spans="7:14" hidden="1" x14ac:dyDescent="0.3">
      <c r="G7329" s="101"/>
      <c r="H7329" s="101"/>
      <c r="I7329" s="101"/>
      <c r="K7329" s="226"/>
      <c r="L7329" s="226"/>
      <c r="M7329" s="101"/>
      <c r="N7329" s="101"/>
    </row>
    <row r="7330" spans="7:14" hidden="1" x14ac:dyDescent="0.3">
      <c r="G7330" s="101"/>
      <c r="H7330" s="101"/>
      <c r="I7330" s="101"/>
      <c r="K7330" s="226"/>
      <c r="L7330" s="226"/>
      <c r="M7330" s="101"/>
      <c r="N7330" s="101"/>
    </row>
    <row r="7331" spans="7:14" hidden="1" x14ac:dyDescent="0.3">
      <c r="G7331" s="101"/>
      <c r="H7331" s="101"/>
      <c r="I7331" s="101"/>
      <c r="K7331" s="226"/>
      <c r="L7331" s="226"/>
      <c r="M7331" s="101"/>
      <c r="N7331" s="101"/>
    </row>
    <row r="7332" spans="7:14" hidden="1" x14ac:dyDescent="0.3">
      <c r="G7332" s="101"/>
      <c r="H7332" s="101"/>
      <c r="I7332" s="101"/>
      <c r="K7332" s="226"/>
      <c r="L7332" s="226"/>
      <c r="M7332" s="101"/>
      <c r="N7332" s="101"/>
    </row>
    <row r="7333" spans="7:14" hidden="1" x14ac:dyDescent="0.3">
      <c r="G7333" s="101"/>
      <c r="H7333" s="101"/>
      <c r="I7333" s="101"/>
      <c r="K7333" s="226"/>
      <c r="L7333" s="226"/>
      <c r="M7333" s="101"/>
      <c r="N7333" s="101"/>
    </row>
    <row r="7334" spans="7:14" hidden="1" x14ac:dyDescent="0.3">
      <c r="G7334" s="101"/>
      <c r="H7334" s="101"/>
      <c r="I7334" s="101"/>
      <c r="K7334" s="226"/>
      <c r="L7334" s="226"/>
      <c r="M7334" s="101"/>
      <c r="N7334" s="101"/>
    </row>
    <row r="7335" spans="7:14" hidden="1" x14ac:dyDescent="0.3">
      <c r="G7335" s="101"/>
      <c r="H7335" s="101"/>
      <c r="I7335" s="101"/>
      <c r="K7335" s="226"/>
      <c r="L7335" s="226"/>
      <c r="M7335" s="101"/>
      <c r="N7335" s="101"/>
    </row>
    <row r="7336" spans="7:14" hidden="1" x14ac:dyDescent="0.3">
      <c r="G7336" s="101"/>
      <c r="H7336" s="101"/>
      <c r="I7336" s="101"/>
      <c r="K7336" s="226"/>
      <c r="L7336" s="226"/>
      <c r="M7336" s="101"/>
      <c r="N7336" s="101"/>
    </row>
    <row r="7337" spans="7:14" hidden="1" x14ac:dyDescent="0.3">
      <c r="G7337" s="101"/>
      <c r="H7337" s="101"/>
      <c r="I7337" s="101"/>
      <c r="K7337" s="226"/>
      <c r="L7337" s="226"/>
      <c r="M7337" s="101"/>
      <c r="N7337" s="101"/>
    </row>
    <row r="7338" spans="7:14" hidden="1" x14ac:dyDescent="0.3">
      <c r="G7338" s="101"/>
      <c r="H7338" s="101"/>
      <c r="I7338" s="101"/>
      <c r="K7338" s="226"/>
      <c r="L7338" s="226"/>
      <c r="M7338" s="101"/>
      <c r="N7338" s="101"/>
    </row>
    <row r="7339" spans="7:14" hidden="1" x14ac:dyDescent="0.3">
      <c r="G7339" s="101"/>
      <c r="H7339" s="101"/>
      <c r="I7339" s="101"/>
      <c r="K7339" s="226"/>
      <c r="L7339" s="226"/>
      <c r="M7339" s="101"/>
      <c r="N7339" s="101"/>
    </row>
    <row r="7340" spans="7:14" hidden="1" x14ac:dyDescent="0.3">
      <c r="G7340" s="101"/>
      <c r="H7340" s="101"/>
      <c r="I7340" s="101"/>
      <c r="K7340" s="226"/>
      <c r="L7340" s="226"/>
      <c r="M7340" s="101"/>
      <c r="N7340" s="101"/>
    </row>
    <row r="7341" spans="7:14" hidden="1" x14ac:dyDescent="0.3">
      <c r="G7341" s="101"/>
      <c r="H7341" s="101"/>
      <c r="I7341" s="101"/>
      <c r="K7341" s="226"/>
      <c r="L7341" s="226"/>
      <c r="M7341" s="101"/>
      <c r="N7341" s="101"/>
    </row>
    <row r="7342" spans="7:14" hidden="1" x14ac:dyDescent="0.3">
      <c r="G7342" s="101"/>
      <c r="H7342" s="101"/>
      <c r="I7342" s="101"/>
      <c r="K7342" s="226"/>
      <c r="L7342" s="226"/>
      <c r="M7342" s="101"/>
      <c r="N7342" s="101"/>
    </row>
    <row r="7343" spans="7:14" hidden="1" x14ac:dyDescent="0.3">
      <c r="G7343" s="101"/>
      <c r="H7343" s="101"/>
      <c r="I7343" s="101"/>
      <c r="K7343" s="226"/>
      <c r="L7343" s="226"/>
      <c r="M7343" s="101"/>
      <c r="N7343" s="101"/>
    </row>
    <row r="7344" spans="7:14" hidden="1" x14ac:dyDescent="0.3">
      <c r="G7344" s="101"/>
      <c r="H7344" s="101"/>
      <c r="I7344" s="101"/>
      <c r="K7344" s="226"/>
      <c r="L7344" s="226"/>
      <c r="M7344" s="101"/>
      <c r="N7344" s="101"/>
    </row>
    <row r="7345" spans="7:14" hidden="1" x14ac:dyDescent="0.3">
      <c r="G7345" s="101"/>
      <c r="H7345" s="101"/>
      <c r="I7345" s="101"/>
      <c r="K7345" s="226"/>
      <c r="L7345" s="226"/>
      <c r="M7345" s="101"/>
      <c r="N7345" s="101"/>
    </row>
    <row r="7346" spans="7:14" hidden="1" x14ac:dyDescent="0.3">
      <c r="G7346" s="101"/>
      <c r="H7346" s="101"/>
      <c r="I7346" s="101"/>
      <c r="K7346" s="226"/>
      <c r="L7346" s="226"/>
      <c r="M7346" s="101"/>
      <c r="N7346" s="101"/>
    </row>
    <row r="7347" spans="7:14" hidden="1" x14ac:dyDescent="0.3">
      <c r="G7347" s="101"/>
      <c r="H7347" s="101"/>
      <c r="I7347" s="101"/>
      <c r="K7347" s="226"/>
      <c r="L7347" s="226"/>
      <c r="M7347" s="101"/>
      <c r="N7347" s="101"/>
    </row>
    <row r="7348" spans="7:14" hidden="1" x14ac:dyDescent="0.3">
      <c r="G7348" s="101"/>
      <c r="H7348" s="101"/>
      <c r="I7348" s="101"/>
      <c r="K7348" s="226"/>
      <c r="L7348" s="226"/>
      <c r="M7348" s="101"/>
      <c r="N7348" s="101"/>
    </row>
    <row r="7349" spans="7:14" hidden="1" x14ac:dyDescent="0.3">
      <c r="G7349" s="101"/>
      <c r="H7349" s="101"/>
      <c r="I7349" s="101"/>
      <c r="K7349" s="226"/>
      <c r="L7349" s="226"/>
      <c r="M7349" s="101"/>
      <c r="N7349" s="101"/>
    </row>
    <row r="7350" spans="7:14" hidden="1" x14ac:dyDescent="0.3">
      <c r="G7350" s="101"/>
      <c r="H7350" s="101"/>
      <c r="I7350" s="101"/>
      <c r="K7350" s="226"/>
      <c r="L7350" s="226"/>
      <c r="M7350" s="101"/>
      <c r="N7350" s="101"/>
    </row>
    <row r="7351" spans="7:14" hidden="1" x14ac:dyDescent="0.3">
      <c r="G7351" s="101"/>
      <c r="H7351" s="101"/>
      <c r="I7351" s="101"/>
      <c r="K7351" s="226"/>
      <c r="L7351" s="226"/>
      <c r="M7351" s="101"/>
      <c r="N7351" s="101"/>
    </row>
    <row r="7352" spans="7:14" hidden="1" x14ac:dyDescent="0.3">
      <c r="G7352" s="101"/>
      <c r="H7352" s="101"/>
      <c r="I7352" s="101"/>
      <c r="K7352" s="226"/>
      <c r="L7352" s="226"/>
      <c r="M7352" s="101"/>
      <c r="N7352" s="101"/>
    </row>
    <row r="7353" spans="7:14" hidden="1" x14ac:dyDescent="0.3">
      <c r="G7353" s="101"/>
      <c r="H7353" s="101"/>
      <c r="I7353" s="101"/>
      <c r="K7353" s="226"/>
      <c r="L7353" s="226"/>
      <c r="M7353" s="101"/>
      <c r="N7353" s="101"/>
    </row>
    <row r="7354" spans="7:14" hidden="1" x14ac:dyDescent="0.3">
      <c r="G7354" s="101"/>
      <c r="H7354" s="101"/>
      <c r="I7354" s="101"/>
      <c r="K7354" s="226"/>
      <c r="L7354" s="226"/>
      <c r="M7354" s="101"/>
      <c r="N7354" s="101"/>
    </row>
    <row r="7355" spans="7:14" hidden="1" x14ac:dyDescent="0.3">
      <c r="G7355" s="101"/>
      <c r="H7355" s="101"/>
      <c r="I7355" s="101"/>
      <c r="K7355" s="226"/>
      <c r="L7355" s="226"/>
      <c r="M7355" s="101"/>
      <c r="N7355" s="101"/>
    </row>
    <row r="7356" spans="7:14" hidden="1" x14ac:dyDescent="0.3">
      <c r="G7356" s="101"/>
      <c r="H7356" s="101"/>
      <c r="I7356" s="101"/>
      <c r="K7356" s="226"/>
      <c r="L7356" s="226"/>
      <c r="M7356" s="101"/>
      <c r="N7356" s="101"/>
    </row>
    <row r="7357" spans="7:14" hidden="1" x14ac:dyDescent="0.3">
      <c r="G7357" s="101"/>
      <c r="H7357" s="101"/>
      <c r="I7357" s="101"/>
      <c r="K7357" s="226"/>
      <c r="L7357" s="226"/>
      <c r="M7357" s="101"/>
      <c r="N7357" s="101"/>
    </row>
    <row r="7358" spans="7:14" hidden="1" x14ac:dyDescent="0.3">
      <c r="G7358" s="101"/>
      <c r="H7358" s="101"/>
      <c r="I7358" s="101"/>
      <c r="K7358" s="226"/>
      <c r="L7358" s="226"/>
      <c r="M7358" s="101"/>
      <c r="N7358" s="101"/>
    </row>
    <row r="7359" spans="7:14" hidden="1" x14ac:dyDescent="0.3">
      <c r="G7359" s="101"/>
      <c r="H7359" s="101"/>
      <c r="I7359" s="101"/>
      <c r="K7359" s="226"/>
      <c r="L7359" s="226"/>
      <c r="M7359" s="101"/>
      <c r="N7359" s="101"/>
    </row>
    <row r="7360" spans="7:14" hidden="1" x14ac:dyDescent="0.3">
      <c r="G7360" s="101"/>
      <c r="H7360" s="101"/>
      <c r="I7360" s="101"/>
      <c r="K7360" s="226"/>
      <c r="L7360" s="226"/>
      <c r="M7360" s="101"/>
      <c r="N7360" s="101"/>
    </row>
    <row r="7361" spans="7:14" hidden="1" x14ac:dyDescent="0.3">
      <c r="G7361" s="101"/>
      <c r="H7361" s="101"/>
      <c r="I7361" s="101"/>
      <c r="K7361" s="226"/>
      <c r="L7361" s="226"/>
      <c r="M7361" s="101"/>
      <c r="N7361" s="101"/>
    </row>
    <row r="7362" spans="7:14" hidden="1" x14ac:dyDescent="0.3">
      <c r="G7362" s="101"/>
      <c r="H7362" s="101"/>
      <c r="I7362" s="101"/>
      <c r="K7362" s="226"/>
      <c r="L7362" s="226"/>
      <c r="M7362" s="101"/>
      <c r="N7362" s="101"/>
    </row>
    <row r="7363" spans="7:14" hidden="1" x14ac:dyDescent="0.3">
      <c r="G7363" s="101"/>
      <c r="H7363" s="101"/>
      <c r="I7363" s="101"/>
      <c r="K7363" s="226"/>
      <c r="L7363" s="226"/>
      <c r="M7363" s="101"/>
      <c r="N7363" s="101"/>
    </row>
    <row r="7364" spans="7:14" hidden="1" x14ac:dyDescent="0.3">
      <c r="G7364" s="101"/>
      <c r="H7364" s="101"/>
      <c r="I7364" s="101"/>
      <c r="K7364" s="226"/>
      <c r="L7364" s="226"/>
      <c r="M7364" s="101"/>
      <c r="N7364" s="101"/>
    </row>
    <row r="7365" spans="7:14" hidden="1" x14ac:dyDescent="0.3">
      <c r="G7365" s="101"/>
      <c r="H7365" s="101"/>
      <c r="I7365" s="101"/>
      <c r="K7365" s="226"/>
      <c r="L7365" s="226"/>
      <c r="M7365" s="101"/>
      <c r="N7365" s="101"/>
    </row>
    <row r="7366" spans="7:14" hidden="1" x14ac:dyDescent="0.3">
      <c r="G7366" s="101"/>
      <c r="H7366" s="101"/>
      <c r="I7366" s="101"/>
      <c r="K7366" s="226"/>
      <c r="L7366" s="226"/>
      <c r="M7366" s="101"/>
      <c r="N7366" s="101"/>
    </row>
    <row r="7367" spans="7:14" hidden="1" x14ac:dyDescent="0.3">
      <c r="G7367" s="101"/>
      <c r="H7367" s="101"/>
      <c r="I7367" s="101"/>
      <c r="K7367" s="226"/>
      <c r="L7367" s="226"/>
      <c r="M7367" s="101"/>
      <c r="N7367" s="101"/>
    </row>
    <row r="7368" spans="7:14" hidden="1" x14ac:dyDescent="0.3">
      <c r="G7368" s="101"/>
      <c r="H7368" s="101"/>
      <c r="I7368" s="101"/>
      <c r="K7368" s="226"/>
      <c r="L7368" s="226"/>
      <c r="M7368" s="101"/>
      <c r="N7368" s="101"/>
    </row>
    <row r="7369" spans="7:14" hidden="1" x14ac:dyDescent="0.3">
      <c r="G7369" s="101"/>
      <c r="H7369" s="101"/>
      <c r="I7369" s="101"/>
      <c r="K7369" s="226"/>
      <c r="L7369" s="226"/>
      <c r="M7369" s="101"/>
      <c r="N7369" s="101"/>
    </row>
    <row r="7370" spans="7:14" hidden="1" x14ac:dyDescent="0.3">
      <c r="G7370" s="101"/>
      <c r="H7370" s="101"/>
      <c r="I7370" s="101"/>
      <c r="K7370" s="226"/>
      <c r="L7370" s="226"/>
      <c r="M7370" s="101"/>
      <c r="N7370" s="101"/>
    </row>
    <row r="7371" spans="7:14" hidden="1" x14ac:dyDescent="0.3">
      <c r="G7371" s="101"/>
      <c r="H7371" s="101"/>
      <c r="I7371" s="101"/>
      <c r="K7371" s="226"/>
      <c r="L7371" s="226"/>
      <c r="M7371" s="101"/>
      <c r="N7371" s="101"/>
    </row>
    <row r="7372" spans="7:14" hidden="1" x14ac:dyDescent="0.3">
      <c r="G7372" s="101"/>
      <c r="H7372" s="101"/>
      <c r="I7372" s="101"/>
      <c r="K7372" s="226"/>
      <c r="L7372" s="226"/>
      <c r="M7372" s="101"/>
      <c r="N7372" s="101"/>
    </row>
    <row r="7373" spans="7:14" hidden="1" x14ac:dyDescent="0.3">
      <c r="G7373" s="101"/>
      <c r="H7373" s="101"/>
      <c r="I7373" s="101"/>
      <c r="K7373" s="226"/>
      <c r="L7373" s="226"/>
      <c r="M7373" s="101"/>
      <c r="N7373" s="101"/>
    </row>
    <row r="7374" spans="7:14" hidden="1" x14ac:dyDescent="0.3">
      <c r="G7374" s="101"/>
      <c r="H7374" s="101"/>
      <c r="I7374" s="101"/>
      <c r="K7374" s="226"/>
      <c r="L7374" s="226"/>
      <c r="M7374" s="101"/>
      <c r="N7374" s="101"/>
    </row>
    <row r="7375" spans="7:14" hidden="1" x14ac:dyDescent="0.3">
      <c r="G7375" s="101"/>
      <c r="H7375" s="101"/>
      <c r="I7375" s="101"/>
      <c r="K7375" s="226"/>
      <c r="L7375" s="226"/>
      <c r="M7375" s="101"/>
      <c r="N7375" s="101"/>
    </row>
    <row r="7376" spans="7:14" hidden="1" x14ac:dyDescent="0.3">
      <c r="G7376" s="101"/>
      <c r="H7376" s="101"/>
      <c r="I7376" s="101"/>
      <c r="K7376" s="226"/>
      <c r="L7376" s="226"/>
      <c r="M7376" s="101"/>
      <c r="N7376" s="101"/>
    </row>
    <row r="7377" spans="7:14" hidden="1" x14ac:dyDescent="0.3">
      <c r="G7377" s="101"/>
      <c r="H7377" s="101"/>
      <c r="I7377" s="101"/>
      <c r="K7377" s="226"/>
      <c r="L7377" s="226"/>
      <c r="M7377" s="101"/>
      <c r="N7377" s="101"/>
    </row>
    <row r="7378" spans="7:14" hidden="1" x14ac:dyDescent="0.3">
      <c r="G7378" s="101"/>
      <c r="H7378" s="101"/>
      <c r="I7378" s="101"/>
      <c r="K7378" s="226"/>
      <c r="L7378" s="226"/>
      <c r="M7378" s="101"/>
      <c r="N7378" s="101"/>
    </row>
    <row r="7379" spans="7:14" hidden="1" x14ac:dyDescent="0.3">
      <c r="G7379" s="101"/>
      <c r="H7379" s="101"/>
      <c r="I7379" s="101"/>
      <c r="K7379" s="226"/>
      <c r="L7379" s="226"/>
      <c r="M7379" s="101"/>
      <c r="N7379" s="101"/>
    </row>
    <row r="7380" spans="7:14" hidden="1" x14ac:dyDescent="0.3">
      <c r="G7380" s="101"/>
      <c r="H7380" s="101"/>
      <c r="I7380" s="101"/>
      <c r="K7380" s="226"/>
      <c r="L7380" s="226"/>
      <c r="M7380" s="101"/>
      <c r="N7380" s="101"/>
    </row>
    <row r="7381" spans="7:14" hidden="1" x14ac:dyDescent="0.3">
      <c r="G7381" s="101"/>
      <c r="H7381" s="101"/>
      <c r="I7381" s="101"/>
      <c r="K7381" s="226"/>
      <c r="L7381" s="226"/>
      <c r="M7381" s="101"/>
      <c r="N7381" s="101"/>
    </row>
    <row r="7382" spans="7:14" hidden="1" x14ac:dyDescent="0.3">
      <c r="G7382" s="101"/>
      <c r="H7382" s="101"/>
      <c r="I7382" s="101"/>
      <c r="K7382" s="226"/>
      <c r="L7382" s="226"/>
      <c r="M7382" s="101"/>
      <c r="N7382" s="101"/>
    </row>
    <row r="7383" spans="7:14" hidden="1" x14ac:dyDescent="0.3">
      <c r="G7383" s="101"/>
      <c r="H7383" s="101"/>
      <c r="I7383" s="101"/>
      <c r="K7383" s="226"/>
      <c r="L7383" s="226"/>
      <c r="M7383" s="101"/>
      <c r="N7383" s="101"/>
    </row>
    <row r="7384" spans="7:14" hidden="1" x14ac:dyDescent="0.3">
      <c r="G7384" s="101"/>
      <c r="H7384" s="101"/>
      <c r="I7384" s="101"/>
      <c r="K7384" s="226"/>
      <c r="L7384" s="226"/>
      <c r="M7384" s="101"/>
      <c r="N7384" s="101"/>
    </row>
    <row r="7385" spans="7:14" hidden="1" x14ac:dyDescent="0.3">
      <c r="G7385" s="101"/>
      <c r="H7385" s="101"/>
      <c r="I7385" s="101"/>
      <c r="K7385" s="226"/>
      <c r="L7385" s="226"/>
      <c r="M7385" s="101"/>
      <c r="N7385" s="101"/>
    </row>
    <row r="7386" spans="7:14" hidden="1" x14ac:dyDescent="0.3">
      <c r="G7386" s="101"/>
      <c r="H7386" s="101"/>
      <c r="I7386" s="101"/>
      <c r="K7386" s="226"/>
      <c r="L7386" s="226"/>
      <c r="M7386" s="101"/>
      <c r="N7386" s="101"/>
    </row>
    <row r="7387" spans="7:14" hidden="1" x14ac:dyDescent="0.3">
      <c r="G7387" s="101"/>
      <c r="H7387" s="101"/>
      <c r="I7387" s="101"/>
      <c r="K7387" s="226"/>
      <c r="L7387" s="226"/>
      <c r="M7387" s="101"/>
      <c r="N7387" s="101"/>
    </row>
    <row r="7388" spans="7:14" hidden="1" x14ac:dyDescent="0.3">
      <c r="G7388" s="101"/>
      <c r="H7388" s="101"/>
      <c r="I7388" s="101"/>
      <c r="K7388" s="226"/>
      <c r="L7388" s="226"/>
      <c r="M7388" s="101"/>
      <c r="N7388" s="101"/>
    </row>
    <row r="7389" spans="7:14" hidden="1" x14ac:dyDescent="0.3">
      <c r="G7389" s="101"/>
      <c r="H7389" s="101"/>
      <c r="I7389" s="101"/>
      <c r="K7389" s="226"/>
      <c r="L7389" s="226"/>
      <c r="M7389" s="101"/>
      <c r="N7389" s="101"/>
    </row>
    <row r="7390" spans="7:14" hidden="1" x14ac:dyDescent="0.3">
      <c r="G7390" s="101"/>
      <c r="H7390" s="101"/>
      <c r="I7390" s="101"/>
      <c r="K7390" s="226"/>
      <c r="L7390" s="226"/>
      <c r="M7390" s="101"/>
      <c r="N7390" s="101"/>
    </row>
    <row r="7391" spans="7:14" hidden="1" x14ac:dyDescent="0.3">
      <c r="G7391" s="101"/>
      <c r="H7391" s="101"/>
      <c r="I7391" s="101"/>
      <c r="K7391" s="226"/>
      <c r="L7391" s="226"/>
      <c r="M7391" s="101"/>
      <c r="N7391" s="101"/>
    </row>
    <row r="7392" spans="7:14" hidden="1" x14ac:dyDescent="0.3">
      <c r="G7392" s="101"/>
      <c r="H7392" s="101"/>
      <c r="I7392" s="101"/>
      <c r="K7392" s="226"/>
      <c r="L7392" s="226"/>
      <c r="M7392" s="101"/>
      <c r="N7392" s="101"/>
    </row>
    <row r="7393" spans="7:14" hidden="1" x14ac:dyDescent="0.3">
      <c r="G7393" s="101"/>
      <c r="H7393" s="101"/>
      <c r="I7393" s="101"/>
      <c r="K7393" s="226"/>
      <c r="L7393" s="226"/>
      <c r="M7393" s="101"/>
      <c r="N7393" s="101"/>
    </row>
    <row r="7394" spans="7:14" hidden="1" x14ac:dyDescent="0.3">
      <c r="G7394" s="101"/>
      <c r="H7394" s="101"/>
      <c r="I7394" s="101"/>
      <c r="K7394" s="226"/>
      <c r="L7394" s="226"/>
      <c r="M7394" s="101"/>
      <c r="N7394" s="101"/>
    </row>
    <row r="7395" spans="7:14" hidden="1" x14ac:dyDescent="0.3">
      <c r="G7395" s="101"/>
      <c r="H7395" s="101"/>
      <c r="I7395" s="101"/>
      <c r="K7395" s="226"/>
      <c r="L7395" s="226"/>
      <c r="M7395" s="101"/>
      <c r="N7395" s="101"/>
    </row>
    <row r="7396" spans="7:14" hidden="1" x14ac:dyDescent="0.3">
      <c r="G7396" s="101"/>
      <c r="H7396" s="101"/>
      <c r="I7396" s="101"/>
      <c r="K7396" s="226"/>
      <c r="L7396" s="226"/>
      <c r="M7396" s="101"/>
      <c r="N7396" s="101"/>
    </row>
    <row r="7397" spans="7:14" hidden="1" x14ac:dyDescent="0.3">
      <c r="G7397" s="101"/>
      <c r="H7397" s="101"/>
      <c r="I7397" s="101"/>
      <c r="K7397" s="226"/>
      <c r="L7397" s="226"/>
      <c r="M7397" s="101"/>
      <c r="N7397" s="101"/>
    </row>
    <row r="7398" spans="7:14" hidden="1" x14ac:dyDescent="0.3">
      <c r="G7398" s="101"/>
      <c r="H7398" s="101"/>
      <c r="I7398" s="101"/>
      <c r="K7398" s="226"/>
      <c r="L7398" s="226"/>
      <c r="M7398" s="101"/>
      <c r="N7398" s="101"/>
    </row>
    <row r="7399" spans="7:14" hidden="1" x14ac:dyDescent="0.3">
      <c r="G7399" s="101"/>
      <c r="H7399" s="101"/>
      <c r="I7399" s="101"/>
      <c r="K7399" s="226"/>
      <c r="L7399" s="226"/>
      <c r="M7399" s="101"/>
      <c r="N7399" s="101"/>
    </row>
    <row r="7400" spans="7:14" hidden="1" x14ac:dyDescent="0.3">
      <c r="G7400" s="101"/>
      <c r="H7400" s="101"/>
      <c r="I7400" s="101"/>
      <c r="K7400" s="226"/>
      <c r="L7400" s="226"/>
      <c r="M7400" s="101"/>
      <c r="N7400" s="101"/>
    </row>
    <row r="7401" spans="7:14" hidden="1" x14ac:dyDescent="0.3">
      <c r="G7401" s="101"/>
      <c r="H7401" s="101"/>
      <c r="I7401" s="101"/>
      <c r="K7401" s="226"/>
      <c r="L7401" s="226"/>
      <c r="M7401" s="101"/>
      <c r="N7401" s="101"/>
    </row>
    <row r="7402" spans="7:14" hidden="1" x14ac:dyDescent="0.3">
      <c r="G7402" s="101"/>
      <c r="H7402" s="101"/>
      <c r="I7402" s="101"/>
      <c r="K7402" s="226"/>
      <c r="L7402" s="226"/>
      <c r="M7402" s="101"/>
      <c r="N7402" s="101"/>
    </row>
    <row r="7403" spans="7:14" hidden="1" x14ac:dyDescent="0.3">
      <c r="G7403" s="101"/>
      <c r="H7403" s="101"/>
      <c r="I7403" s="101"/>
      <c r="K7403" s="226"/>
      <c r="L7403" s="226"/>
      <c r="M7403" s="101"/>
      <c r="N7403" s="101"/>
    </row>
    <row r="7404" spans="7:14" hidden="1" x14ac:dyDescent="0.3">
      <c r="G7404" s="101"/>
      <c r="H7404" s="101"/>
      <c r="I7404" s="101"/>
      <c r="K7404" s="226"/>
      <c r="L7404" s="226"/>
      <c r="M7404" s="101"/>
      <c r="N7404" s="101"/>
    </row>
    <row r="7405" spans="7:14" hidden="1" x14ac:dyDescent="0.3">
      <c r="G7405" s="101"/>
      <c r="H7405" s="101"/>
      <c r="I7405" s="101"/>
      <c r="K7405" s="226"/>
      <c r="L7405" s="226"/>
      <c r="M7405" s="101"/>
      <c r="N7405" s="101"/>
    </row>
    <row r="7406" spans="7:14" hidden="1" x14ac:dyDescent="0.3">
      <c r="G7406" s="101"/>
      <c r="H7406" s="101"/>
      <c r="I7406" s="101"/>
      <c r="K7406" s="226"/>
      <c r="L7406" s="226"/>
      <c r="M7406" s="101"/>
      <c r="N7406" s="101"/>
    </row>
    <row r="7407" spans="7:14" hidden="1" x14ac:dyDescent="0.3">
      <c r="G7407" s="101"/>
      <c r="H7407" s="101"/>
      <c r="I7407" s="101"/>
      <c r="K7407" s="226"/>
      <c r="L7407" s="226"/>
      <c r="M7407" s="101"/>
      <c r="N7407" s="101"/>
    </row>
    <row r="7408" spans="7:14" hidden="1" x14ac:dyDescent="0.3">
      <c r="G7408" s="101"/>
      <c r="H7408" s="101"/>
      <c r="I7408" s="101"/>
      <c r="K7408" s="226"/>
      <c r="L7408" s="226"/>
      <c r="M7408" s="101"/>
      <c r="N7408" s="101"/>
    </row>
    <row r="7409" spans="7:14" hidden="1" x14ac:dyDescent="0.3">
      <c r="G7409" s="101"/>
      <c r="H7409" s="101"/>
      <c r="I7409" s="101"/>
      <c r="K7409" s="226"/>
      <c r="L7409" s="226"/>
      <c r="M7409" s="101"/>
      <c r="N7409" s="101"/>
    </row>
    <row r="7410" spans="7:14" hidden="1" x14ac:dyDescent="0.3">
      <c r="G7410" s="101"/>
      <c r="H7410" s="101"/>
      <c r="I7410" s="101"/>
      <c r="K7410" s="226"/>
      <c r="L7410" s="226"/>
      <c r="M7410" s="101"/>
      <c r="N7410" s="101"/>
    </row>
    <row r="7411" spans="7:14" hidden="1" x14ac:dyDescent="0.3">
      <c r="G7411" s="101"/>
      <c r="H7411" s="101"/>
      <c r="I7411" s="101"/>
      <c r="K7411" s="226"/>
      <c r="L7411" s="226"/>
      <c r="M7411" s="101"/>
      <c r="N7411" s="101"/>
    </row>
    <row r="7412" spans="7:14" hidden="1" x14ac:dyDescent="0.3">
      <c r="G7412" s="101"/>
      <c r="H7412" s="101"/>
      <c r="I7412" s="101"/>
      <c r="K7412" s="226"/>
      <c r="L7412" s="226"/>
      <c r="M7412" s="101"/>
      <c r="N7412" s="101"/>
    </row>
    <row r="7413" spans="7:14" hidden="1" x14ac:dyDescent="0.3">
      <c r="G7413" s="101"/>
      <c r="H7413" s="101"/>
      <c r="I7413" s="101"/>
      <c r="K7413" s="226"/>
      <c r="L7413" s="226"/>
      <c r="M7413" s="101"/>
      <c r="N7413" s="101"/>
    </row>
    <row r="7414" spans="7:14" hidden="1" x14ac:dyDescent="0.3">
      <c r="G7414" s="101"/>
      <c r="H7414" s="101"/>
      <c r="I7414" s="101"/>
      <c r="K7414" s="226"/>
      <c r="L7414" s="226"/>
      <c r="M7414" s="101"/>
      <c r="N7414" s="101"/>
    </row>
    <row r="7415" spans="7:14" hidden="1" x14ac:dyDescent="0.3">
      <c r="G7415" s="101"/>
      <c r="H7415" s="101"/>
      <c r="I7415" s="101"/>
      <c r="K7415" s="226"/>
      <c r="L7415" s="226"/>
      <c r="M7415" s="101"/>
      <c r="N7415" s="101"/>
    </row>
    <row r="7416" spans="7:14" hidden="1" x14ac:dyDescent="0.3">
      <c r="G7416" s="101"/>
      <c r="H7416" s="101"/>
      <c r="I7416" s="101"/>
      <c r="K7416" s="226"/>
      <c r="L7416" s="226"/>
      <c r="M7416" s="101"/>
      <c r="N7416" s="101"/>
    </row>
    <row r="7417" spans="7:14" hidden="1" x14ac:dyDescent="0.3">
      <c r="G7417" s="101"/>
      <c r="H7417" s="101"/>
      <c r="I7417" s="101"/>
      <c r="K7417" s="226"/>
      <c r="L7417" s="226"/>
      <c r="M7417" s="101"/>
      <c r="N7417" s="101"/>
    </row>
    <row r="7418" spans="7:14" hidden="1" x14ac:dyDescent="0.3">
      <c r="G7418" s="101"/>
      <c r="H7418" s="101"/>
      <c r="I7418" s="101"/>
      <c r="K7418" s="226"/>
      <c r="L7418" s="226"/>
      <c r="M7418" s="101"/>
      <c r="N7418" s="101"/>
    </row>
    <row r="7419" spans="7:14" hidden="1" x14ac:dyDescent="0.3">
      <c r="G7419" s="101"/>
      <c r="H7419" s="101"/>
      <c r="I7419" s="101"/>
      <c r="K7419" s="226"/>
      <c r="L7419" s="226"/>
      <c r="M7419" s="101"/>
      <c r="N7419" s="101"/>
    </row>
    <row r="7420" spans="7:14" hidden="1" x14ac:dyDescent="0.3">
      <c r="G7420" s="101"/>
      <c r="H7420" s="101"/>
      <c r="I7420" s="101"/>
      <c r="K7420" s="226"/>
      <c r="L7420" s="226"/>
      <c r="M7420" s="101"/>
      <c r="N7420" s="101"/>
    </row>
    <row r="7421" spans="7:14" hidden="1" x14ac:dyDescent="0.3">
      <c r="G7421" s="101"/>
      <c r="H7421" s="101"/>
      <c r="I7421" s="101"/>
      <c r="K7421" s="226"/>
      <c r="L7421" s="226"/>
      <c r="M7421" s="101"/>
      <c r="N7421" s="101"/>
    </row>
    <row r="7422" spans="7:14" hidden="1" x14ac:dyDescent="0.3">
      <c r="G7422" s="101"/>
      <c r="H7422" s="101"/>
      <c r="I7422" s="101"/>
      <c r="K7422" s="226"/>
      <c r="L7422" s="226"/>
      <c r="M7422" s="101"/>
      <c r="N7422" s="101"/>
    </row>
    <row r="7423" spans="7:14" hidden="1" x14ac:dyDescent="0.3">
      <c r="G7423" s="101"/>
      <c r="H7423" s="101"/>
      <c r="I7423" s="101"/>
      <c r="K7423" s="226"/>
      <c r="L7423" s="226"/>
      <c r="M7423" s="101"/>
      <c r="N7423" s="101"/>
    </row>
    <row r="7424" spans="7:14" hidden="1" x14ac:dyDescent="0.3">
      <c r="G7424" s="101"/>
      <c r="H7424" s="101"/>
      <c r="I7424" s="101"/>
      <c r="K7424" s="226"/>
      <c r="L7424" s="226"/>
      <c r="M7424" s="101"/>
      <c r="N7424" s="101"/>
    </row>
    <row r="7425" spans="7:14" hidden="1" x14ac:dyDescent="0.3">
      <c r="G7425" s="101"/>
      <c r="H7425" s="101"/>
      <c r="I7425" s="101"/>
      <c r="K7425" s="226"/>
      <c r="L7425" s="226"/>
      <c r="M7425" s="101"/>
      <c r="N7425" s="101"/>
    </row>
    <row r="7426" spans="7:14" hidden="1" x14ac:dyDescent="0.3">
      <c r="G7426" s="101"/>
      <c r="H7426" s="101"/>
      <c r="I7426" s="101"/>
      <c r="K7426" s="226"/>
      <c r="L7426" s="226"/>
      <c r="M7426" s="101"/>
      <c r="N7426" s="101"/>
    </row>
    <row r="7427" spans="7:14" hidden="1" x14ac:dyDescent="0.3">
      <c r="G7427" s="101"/>
      <c r="H7427" s="101"/>
      <c r="I7427" s="101"/>
      <c r="K7427" s="226"/>
      <c r="L7427" s="226"/>
      <c r="M7427" s="101"/>
      <c r="N7427" s="101"/>
    </row>
    <row r="7428" spans="7:14" hidden="1" x14ac:dyDescent="0.3">
      <c r="G7428" s="101"/>
      <c r="H7428" s="101"/>
      <c r="I7428" s="101"/>
      <c r="K7428" s="226"/>
      <c r="L7428" s="226"/>
      <c r="M7428" s="101"/>
      <c r="N7428" s="101"/>
    </row>
    <row r="7429" spans="7:14" hidden="1" x14ac:dyDescent="0.3">
      <c r="G7429" s="101"/>
      <c r="H7429" s="101"/>
      <c r="I7429" s="101"/>
      <c r="K7429" s="226"/>
      <c r="L7429" s="226"/>
      <c r="M7429" s="101"/>
      <c r="N7429" s="101"/>
    </row>
    <row r="7430" spans="7:14" hidden="1" x14ac:dyDescent="0.3">
      <c r="G7430" s="101"/>
      <c r="H7430" s="101"/>
      <c r="I7430" s="101"/>
      <c r="K7430" s="226"/>
      <c r="L7430" s="226"/>
      <c r="M7430" s="101"/>
      <c r="N7430" s="101"/>
    </row>
    <row r="7431" spans="7:14" hidden="1" x14ac:dyDescent="0.3">
      <c r="G7431" s="101"/>
      <c r="H7431" s="101"/>
      <c r="I7431" s="101"/>
      <c r="K7431" s="226"/>
      <c r="L7431" s="226"/>
      <c r="M7431" s="101"/>
      <c r="N7431" s="101"/>
    </row>
    <row r="7432" spans="7:14" hidden="1" x14ac:dyDescent="0.3">
      <c r="G7432" s="101"/>
      <c r="H7432" s="101"/>
      <c r="I7432" s="101"/>
      <c r="K7432" s="226"/>
      <c r="L7432" s="226"/>
      <c r="M7432" s="101"/>
      <c r="N7432" s="101"/>
    </row>
    <row r="7433" spans="7:14" hidden="1" x14ac:dyDescent="0.3">
      <c r="G7433" s="101"/>
      <c r="H7433" s="101"/>
      <c r="I7433" s="101"/>
      <c r="K7433" s="226"/>
      <c r="L7433" s="226"/>
      <c r="M7433" s="101"/>
      <c r="N7433" s="101"/>
    </row>
    <row r="7434" spans="7:14" hidden="1" x14ac:dyDescent="0.3">
      <c r="G7434" s="101"/>
      <c r="H7434" s="101"/>
      <c r="I7434" s="101"/>
      <c r="K7434" s="226"/>
      <c r="L7434" s="226"/>
      <c r="M7434" s="101"/>
      <c r="N7434" s="101"/>
    </row>
    <row r="7435" spans="7:14" hidden="1" x14ac:dyDescent="0.3">
      <c r="G7435" s="101"/>
      <c r="H7435" s="101"/>
      <c r="I7435" s="101"/>
      <c r="K7435" s="226"/>
      <c r="L7435" s="226"/>
      <c r="M7435" s="101"/>
      <c r="N7435" s="101"/>
    </row>
    <row r="7436" spans="7:14" hidden="1" x14ac:dyDescent="0.3">
      <c r="G7436" s="101"/>
      <c r="H7436" s="101"/>
      <c r="I7436" s="101"/>
      <c r="K7436" s="226"/>
      <c r="L7436" s="226"/>
      <c r="M7436" s="101"/>
      <c r="N7436" s="101"/>
    </row>
    <row r="7437" spans="7:14" hidden="1" x14ac:dyDescent="0.3">
      <c r="G7437" s="101"/>
      <c r="H7437" s="101"/>
      <c r="I7437" s="101"/>
      <c r="K7437" s="226"/>
      <c r="L7437" s="226"/>
      <c r="M7437" s="101"/>
      <c r="N7437" s="101"/>
    </row>
    <row r="7438" spans="7:14" hidden="1" x14ac:dyDescent="0.3">
      <c r="G7438" s="101"/>
      <c r="H7438" s="101"/>
      <c r="I7438" s="101"/>
      <c r="K7438" s="226"/>
      <c r="L7438" s="226"/>
      <c r="M7438" s="101"/>
      <c r="N7438" s="101"/>
    </row>
    <row r="7439" spans="7:14" hidden="1" x14ac:dyDescent="0.3">
      <c r="G7439" s="101"/>
      <c r="H7439" s="101"/>
      <c r="I7439" s="101"/>
      <c r="K7439" s="226"/>
      <c r="L7439" s="226"/>
      <c r="M7439" s="101"/>
      <c r="N7439" s="101"/>
    </row>
    <row r="7440" spans="7:14" hidden="1" x14ac:dyDescent="0.3">
      <c r="G7440" s="101"/>
      <c r="H7440" s="101"/>
      <c r="I7440" s="101"/>
      <c r="K7440" s="226"/>
      <c r="L7440" s="226"/>
      <c r="M7440" s="101"/>
      <c r="N7440" s="101"/>
    </row>
    <row r="7441" spans="7:14" hidden="1" x14ac:dyDescent="0.3">
      <c r="G7441" s="101"/>
      <c r="H7441" s="101"/>
      <c r="I7441" s="101"/>
      <c r="K7441" s="226"/>
      <c r="L7441" s="226"/>
      <c r="M7441" s="101"/>
      <c r="N7441" s="101"/>
    </row>
    <row r="7442" spans="7:14" hidden="1" x14ac:dyDescent="0.3">
      <c r="G7442" s="101"/>
      <c r="H7442" s="101"/>
      <c r="I7442" s="101"/>
      <c r="K7442" s="226"/>
      <c r="L7442" s="226"/>
      <c r="M7442" s="101"/>
      <c r="N7442" s="101"/>
    </row>
    <row r="7443" spans="7:14" hidden="1" x14ac:dyDescent="0.3">
      <c r="G7443" s="101"/>
      <c r="H7443" s="101"/>
      <c r="I7443" s="101"/>
      <c r="K7443" s="226"/>
      <c r="L7443" s="226"/>
      <c r="M7443" s="101"/>
      <c r="N7443" s="101"/>
    </row>
    <row r="7444" spans="7:14" hidden="1" x14ac:dyDescent="0.3">
      <c r="G7444" s="101"/>
      <c r="H7444" s="101"/>
      <c r="I7444" s="101"/>
      <c r="K7444" s="226"/>
      <c r="L7444" s="226"/>
      <c r="M7444" s="101"/>
      <c r="N7444" s="101"/>
    </row>
    <row r="7445" spans="7:14" hidden="1" x14ac:dyDescent="0.3">
      <c r="G7445" s="101"/>
      <c r="H7445" s="101"/>
      <c r="I7445" s="101"/>
      <c r="K7445" s="226"/>
      <c r="L7445" s="226"/>
      <c r="M7445" s="101"/>
      <c r="N7445" s="101"/>
    </row>
    <row r="7446" spans="7:14" hidden="1" x14ac:dyDescent="0.3">
      <c r="G7446" s="101"/>
      <c r="H7446" s="101"/>
      <c r="I7446" s="101"/>
      <c r="K7446" s="226"/>
      <c r="L7446" s="226"/>
      <c r="M7446" s="101"/>
      <c r="N7446" s="101"/>
    </row>
    <row r="7447" spans="7:14" hidden="1" x14ac:dyDescent="0.3">
      <c r="G7447" s="101"/>
      <c r="H7447" s="101"/>
      <c r="I7447" s="101"/>
      <c r="K7447" s="226"/>
      <c r="L7447" s="226"/>
      <c r="M7447" s="101"/>
      <c r="N7447" s="101"/>
    </row>
    <row r="7448" spans="7:14" hidden="1" x14ac:dyDescent="0.3">
      <c r="G7448" s="101"/>
      <c r="H7448" s="101"/>
      <c r="I7448" s="101"/>
      <c r="K7448" s="226"/>
      <c r="L7448" s="226"/>
      <c r="M7448" s="101"/>
      <c r="N7448" s="101"/>
    </row>
    <row r="7449" spans="7:14" hidden="1" x14ac:dyDescent="0.3">
      <c r="G7449" s="101"/>
      <c r="H7449" s="101"/>
      <c r="I7449" s="101"/>
      <c r="K7449" s="226"/>
      <c r="L7449" s="226"/>
      <c r="M7449" s="101"/>
      <c r="N7449" s="101"/>
    </row>
    <row r="7450" spans="7:14" hidden="1" x14ac:dyDescent="0.3">
      <c r="G7450" s="101"/>
      <c r="H7450" s="101"/>
      <c r="I7450" s="101"/>
      <c r="K7450" s="226"/>
      <c r="L7450" s="226"/>
      <c r="M7450" s="101"/>
      <c r="N7450" s="101"/>
    </row>
    <row r="7451" spans="7:14" hidden="1" x14ac:dyDescent="0.3">
      <c r="G7451" s="101"/>
      <c r="H7451" s="101"/>
      <c r="I7451" s="101"/>
      <c r="K7451" s="226"/>
      <c r="L7451" s="226"/>
      <c r="M7451" s="101"/>
      <c r="N7451" s="101"/>
    </row>
    <row r="7452" spans="7:14" hidden="1" x14ac:dyDescent="0.3">
      <c r="G7452" s="101"/>
      <c r="H7452" s="101"/>
      <c r="I7452" s="101"/>
      <c r="K7452" s="226"/>
      <c r="L7452" s="226"/>
      <c r="M7452" s="101"/>
      <c r="N7452" s="101"/>
    </row>
    <row r="7453" spans="7:14" hidden="1" x14ac:dyDescent="0.3">
      <c r="G7453" s="101"/>
      <c r="H7453" s="101"/>
      <c r="I7453" s="101"/>
      <c r="K7453" s="226"/>
      <c r="L7453" s="226"/>
      <c r="M7453" s="101"/>
      <c r="N7453" s="101"/>
    </row>
    <row r="7454" spans="7:14" hidden="1" x14ac:dyDescent="0.3">
      <c r="G7454" s="101"/>
      <c r="H7454" s="101"/>
      <c r="I7454" s="101"/>
      <c r="K7454" s="226"/>
      <c r="L7454" s="226"/>
      <c r="M7454" s="101"/>
      <c r="N7454" s="101"/>
    </row>
    <row r="7455" spans="7:14" hidden="1" x14ac:dyDescent="0.3">
      <c r="G7455" s="101"/>
      <c r="H7455" s="101"/>
      <c r="I7455" s="101"/>
      <c r="K7455" s="226"/>
      <c r="L7455" s="226"/>
      <c r="M7455" s="101"/>
      <c r="N7455" s="101"/>
    </row>
    <row r="7456" spans="7:14" hidden="1" x14ac:dyDescent="0.3">
      <c r="G7456" s="101"/>
      <c r="H7456" s="101"/>
      <c r="I7456" s="101"/>
      <c r="K7456" s="226"/>
      <c r="L7456" s="226"/>
      <c r="M7456" s="101"/>
      <c r="N7456" s="101"/>
    </row>
    <row r="7457" spans="7:14" hidden="1" x14ac:dyDescent="0.3">
      <c r="G7457" s="101"/>
      <c r="H7457" s="101"/>
      <c r="I7457" s="101"/>
      <c r="K7457" s="226"/>
      <c r="L7457" s="226"/>
      <c r="M7457" s="101"/>
      <c r="N7457" s="101"/>
    </row>
    <row r="7458" spans="7:14" hidden="1" x14ac:dyDescent="0.3">
      <c r="G7458" s="101"/>
      <c r="H7458" s="101"/>
      <c r="I7458" s="101"/>
      <c r="K7458" s="226"/>
      <c r="L7458" s="226"/>
      <c r="M7458" s="101"/>
      <c r="N7458" s="101"/>
    </row>
    <row r="7459" spans="7:14" hidden="1" x14ac:dyDescent="0.3">
      <c r="G7459" s="101"/>
      <c r="H7459" s="101"/>
      <c r="I7459" s="101"/>
      <c r="K7459" s="226"/>
      <c r="L7459" s="226"/>
      <c r="M7459" s="101"/>
      <c r="N7459" s="101"/>
    </row>
    <row r="7460" spans="7:14" hidden="1" x14ac:dyDescent="0.3">
      <c r="G7460" s="101"/>
      <c r="H7460" s="101"/>
      <c r="I7460" s="101"/>
      <c r="K7460" s="226"/>
      <c r="L7460" s="226"/>
      <c r="M7460" s="101"/>
      <c r="N7460" s="101"/>
    </row>
    <row r="7461" spans="7:14" hidden="1" x14ac:dyDescent="0.3">
      <c r="G7461" s="101"/>
      <c r="H7461" s="101"/>
      <c r="I7461" s="101"/>
      <c r="K7461" s="226"/>
      <c r="L7461" s="226"/>
      <c r="M7461" s="101"/>
      <c r="N7461" s="101"/>
    </row>
    <row r="7462" spans="7:14" hidden="1" x14ac:dyDescent="0.3">
      <c r="G7462" s="101"/>
      <c r="H7462" s="101"/>
      <c r="I7462" s="101"/>
      <c r="K7462" s="226"/>
      <c r="L7462" s="226"/>
      <c r="M7462" s="101"/>
      <c r="N7462" s="101"/>
    </row>
    <row r="7463" spans="7:14" hidden="1" x14ac:dyDescent="0.3">
      <c r="G7463" s="101"/>
      <c r="H7463" s="101"/>
      <c r="I7463" s="101"/>
      <c r="K7463" s="226"/>
      <c r="L7463" s="226"/>
      <c r="M7463" s="101"/>
      <c r="N7463" s="101"/>
    </row>
    <row r="7464" spans="7:14" hidden="1" x14ac:dyDescent="0.3">
      <c r="G7464" s="101"/>
      <c r="H7464" s="101"/>
      <c r="I7464" s="101"/>
      <c r="K7464" s="226"/>
      <c r="L7464" s="226"/>
      <c r="M7464" s="101"/>
      <c r="N7464" s="101"/>
    </row>
    <row r="7465" spans="7:14" hidden="1" x14ac:dyDescent="0.3">
      <c r="G7465" s="101"/>
      <c r="H7465" s="101"/>
      <c r="I7465" s="101"/>
      <c r="K7465" s="226"/>
      <c r="L7465" s="226"/>
      <c r="M7465" s="101"/>
      <c r="N7465" s="101"/>
    </row>
    <row r="7466" spans="7:14" hidden="1" x14ac:dyDescent="0.3">
      <c r="G7466" s="101"/>
      <c r="H7466" s="101"/>
      <c r="I7466" s="101"/>
      <c r="K7466" s="226"/>
      <c r="L7466" s="226"/>
      <c r="M7466" s="101"/>
      <c r="N7466" s="101"/>
    </row>
    <row r="7467" spans="7:14" hidden="1" x14ac:dyDescent="0.3">
      <c r="G7467" s="101"/>
      <c r="H7467" s="101"/>
      <c r="I7467" s="101"/>
      <c r="K7467" s="226"/>
      <c r="L7467" s="226"/>
      <c r="M7467" s="101"/>
      <c r="N7467" s="101"/>
    </row>
    <row r="7468" spans="7:14" hidden="1" x14ac:dyDescent="0.3">
      <c r="G7468" s="101"/>
      <c r="H7468" s="101"/>
      <c r="I7468" s="101"/>
      <c r="K7468" s="226"/>
      <c r="L7468" s="226"/>
      <c r="M7468" s="101"/>
      <c r="N7468" s="101"/>
    </row>
    <row r="7469" spans="7:14" hidden="1" x14ac:dyDescent="0.3">
      <c r="G7469" s="101"/>
      <c r="H7469" s="101"/>
      <c r="I7469" s="101"/>
      <c r="K7469" s="226"/>
      <c r="L7469" s="226"/>
      <c r="M7469" s="101"/>
      <c r="N7469" s="101"/>
    </row>
    <row r="7470" spans="7:14" hidden="1" x14ac:dyDescent="0.3">
      <c r="G7470" s="101"/>
      <c r="H7470" s="101"/>
      <c r="I7470" s="101"/>
      <c r="K7470" s="226"/>
      <c r="L7470" s="226"/>
      <c r="M7470" s="101"/>
      <c r="N7470" s="101"/>
    </row>
    <row r="7471" spans="7:14" hidden="1" x14ac:dyDescent="0.3">
      <c r="G7471" s="101"/>
      <c r="H7471" s="101"/>
      <c r="I7471" s="101"/>
      <c r="K7471" s="226"/>
      <c r="L7471" s="226"/>
      <c r="M7471" s="101"/>
      <c r="N7471" s="101"/>
    </row>
    <row r="7472" spans="7:14" hidden="1" x14ac:dyDescent="0.3">
      <c r="G7472" s="101"/>
      <c r="H7472" s="101"/>
      <c r="I7472" s="101"/>
      <c r="K7472" s="226"/>
      <c r="L7472" s="226"/>
      <c r="M7472" s="101"/>
      <c r="N7472" s="101"/>
    </row>
    <row r="7473" spans="7:14" hidden="1" x14ac:dyDescent="0.3">
      <c r="G7473" s="101"/>
      <c r="H7473" s="101"/>
      <c r="I7473" s="101"/>
      <c r="K7473" s="226"/>
      <c r="L7473" s="226"/>
      <c r="M7473" s="101"/>
      <c r="N7473" s="101"/>
    </row>
    <row r="7474" spans="7:14" hidden="1" x14ac:dyDescent="0.3">
      <c r="G7474" s="101"/>
      <c r="H7474" s="101"/>
      <c r="I7474" s="101"/>
      <c r="K7474" s="226"/>
      <c r="L7474" s="226"/>
      <c r="M7474" s="101"/>
      <c r="N7474" s="101"/>
    </row>
    <row r="7475" spans="7:14" hidden="1" x14ac:dyDescent="0.3">
      <c r="G7475" s="101"/>
      <c r="H7475" s="101"/>
      <c r="I7475" s="101"/>
      <c r="K7475" s="226"/>
      <c r="L7475" s="226"/>
      <c r="M7475" s="101"/>
      <c r="N7475" s="101"/>
    </row>
    <row r="7476" spans="7:14" hidden="1" x14ac:dyDescent="0.3">
      <c r="G7476" s="101"/>
      <c r="H7476" s="101"/>
      <c r="I7476" s="101"/>
      <c r="K7476" s="226"/>
      <c r="L7476" s="226"/>
      <c r="M7476" s="101"/>
      <c r="N7476" s="101"/>
    </row>
    <row r="7477" spans="7:14" hidden="1" x14ac:dyDescent="0.3">
      <c r="G7477" s="101"/>
      <c r="H7477" s="101"/>
      <c r="I7477" s="101"/>
      <c r="K7477" s="226"/>
      <c r="L7477" s="226"/>
      <c r="M7477" s="101"/>
      <c r="N7477" s="101"/>
    </row>
    <row r="7478" spans="7:14" hidden="1" x14ac:dyDescent="0.3">
      <c r="G7478" s="101"/>
      <c r="H7478" s="101"/>
      <c r="I7478" s="101"/>
      <c r="K7478" s="226"/>
      <c r="L7478" s="226"/>
      <c r="M7478" s="101"/>
      <c r="N7478" s="101"/>
    </row>
    <row r="7479" spans="7:14" hidden="1" x14ac:dyDescent="0.3">
      <c r="G7479" s="101"/>
      <c r="H7479" s="101"/>
      <c r="I7479" s="101"/>
      <c r="K7479" s="226"/>
      <c r="L7479" s="226"/>
      <c r="M7479" s="101"/>
      <c r="N7479" s="101"/>
    </row>
    <row r="7480" spans="7:14" hidden="1" x14ac:dyDescent="0.3">
      <c r="G7480" s="101"/>
      <c r="H7480" s="101"/>
      <c r="I7480" s="101"/>
      <c r="K7480" s="226"/>
      <c r="L7480" s="226"/>
      <c r="M7480" s="101"/>
      <c r="N7480" s="101"/>
    </row>
    <row r="7481" spans="7:14" hidden="1" x14ac:dyDescent="0.3">
      <c r="G7481" s="101"/>
      <c r="H7481" s="101"/>
      <c r="I7481" s="101"/>
      <c r="K7481" s="226"/>
      <c r="L7481" s="226"/>
      <c r="M7481" s="101"/>
      <c r="N7481" s="101"/>
    </row>
    <row r="7482" spans="7:14" hidden="1" x14ac:dyDescent="0.3">
      <c r="G7482" s="101"/>
      <c r="H7482" s="101"/>
      <c r="I7482" s="101"/>
      <c r="K7482" s="226"/>
      <c r="L7482" s="226"/>
      <c r="M7482" s="101"/>
      <c r="N7482" s="101"/>
    </row>
    <row r="7483" spans="7:14" hidden="1" x14ac:dyDescent="0.3">
      <c r="G7483" s="101"/>
      <c r="H7483" s="101"/>
      <c r="I7483" s="101"/>
      <c r="K7483" s="226"/>
      <c r="L7483" s="226"/>
      <c r="M7483" s="101"/>
      <c r="N7483" s="101"/>
    </row>
    <row r="7484" spans="7:14" hidden="1" x14ac:dyDescent="0.3">
      <c r="G7484" s="101"/>
      <c r="H7484" s="101"/>
      <c r="I7484" s="101"/>
      <c r="K7484" s="226"/>
      <c r="L7484" s="226"/>
      <c r="M7484" s="101"/>
      <c r="N7484" s="101"/>
    </row>
    <row r="7485" spans="7:14" hidden="1" x14ac:dyDescent="0.3">
      <c r="G7485" s="101"/>
      <c r="H7485" s="101"/>
      <c r="I7485" s="101"/>
      <c r="K7485" s="226"/>
      <c r="L7485" s="226"/>
      <c r="M7485" s="101"/>
      <c r="N7485" s="101"/>
    </row>
    <row r="7486" spans="7:14" hidden="1" x14ac:dyDescent="0.3">
      <c r="G7486" s="101"/>
      <c r="H7486" s="101"/>
      <c r="I7486" s="101"/>
      <c r="K7486" s="226"/>
      <c r="L7486" s="226"/>
      <c r="M7486" s="101"/>
      <c r="N7486" s="101"/>
    </row>
    <row r="7487" spans="7:14" hidden="1" x14ac:dyDescent="0.3">
      <c r="G7487" s="101"/>
      <c r="H7487" s="101"/>
      <c r="I7487" s="101"/>
      <c r="K7487" s="226"/>
      <c r="L7487" s="226"/>
      <c r="M7487" s="101"/>
      <c r="N7487" s="101"/>
    </row>
    <row r="7488" spans="7:14" hidden="1" x14ac:dyDescent="0.3">
      <c r="G7488" s="101"/>
      <c r="H7488" s="101"/>
      <c r="I7488" s="101"/>
      <c r="K7488" s="226"/>
      <c r="L7488" s="226"/>
      <c r="M7488" s="101"/>
      <c r="N7488" s="101"/>
    </row>
    <row r="7489" spans="7:14" hidden="1" x14ac:dyDescent="0.3">
      <c r="G7489" s="101"/>
      <c r="H7489" s="101"/>
      <c r="I7489" s="101"/>
      <c r="K7489" s="226"/>
      <c r="L7489" s="226"/>
      <c r="M7489" s="101"/>
      <c r="N7489" s="101"/>
    </row>
    <row r="7490" spans="7:14" hidden="1" x14ac:dyDescent="0.3">
      <c r="G7490" s="101"/>
      <c r="H7490" s="101"/>
      <c r="I7490" s="101"/>
      <c r="K7490" s="226"/>
      <c r="L7490" s="226"/>
      <c r="M7490" s="101"/>
      <c r="N7490" s="101"/>
    </row>
    <row r="7491" spans="7:14" hidden="1" x14ac:dyDescent="0.3">
      <c r="G7491" s="101"/>
      <c r="H7491" s="101"/>
      <c r="I7491" s="101"/>
      <c r="K7491" s="226"/>
      <c r="L7491" s="226"/>
      <c r="M7491" s="101"/>
      <c r="N7491" s="101"/>
    </row>
    <row r="7492" spans="7:14" hidden="1" x14ac:dyDescent="0.3">
      <c r="G7492" s="101"/>
      <c r="H7492" s="101"/>
      <c r="I7492" s="101"/>
      <c r="K7492" s="226"/>
      <c r="L7492" s="226"/>
      <c r="M7492" s="101"/>
      <c r="N7492" s="101"/>
    </row>
    <row r="7493" spans="7:14" hidden="1" x14ac:dyDescent="0.3">
      <c r="G7493" s="101"/>
      <c r="H7493" s="101"/>
      <c r="I7493" s="101"/>
      <c r="K7493" s="226"/>
      <c r="L7493" s="226"/>
      <c r="M7493" s="101"/>
      <c r="N7493" s="101"/>
    </row>
    <row r="7494" spans="7:14" hidden="1" x14ac:dyDescent="0.3">
      <c r="G7494" s="101"/>
      <c r="H7494" s="101"/>
      <c r="I7494" s="101"/>
      <c r="K7494" s="226"/>
      <c r="L7494" s="226"/>
      <c r="M7494" s="101"/>
      <c r="N7494" s="101"/>
    </row>
    <row r="7495" spans="7:14" hidden="1" x14ac:dyDescent="0.3">
      <c r="G7495" s="101"/>
      <c r="H7495" s="101"/>
      <c r="I7495" s="101"/>
      <c r="K7495" s="226"/>
      <c r="L7495" s="226"/>
      <c r="M7495" s="101"/>
      <c r="N7495" s="101"/>
    </row>
    <row r="7496" spans="7:14" hidden="1" x14ac:dyDescent="0.3">
      <c r="G7496" s="101"/>
      <c r="H7496" s="101"/>
      <c r="I7496" s="101"/>
      <c r="K7496" s="226"/>
      <c r="L7496" s="226"/>
      <c r="M7496" s="101"/>
      <c r="N7496" s="101"/>
    </row>
    <row r="7497" spans="7:14" hidden="1" x14ac:dyDescent="0.3">
      <c r="G7497" s="101"/>
      <c r="H7497" s="101"/>
      <c r="I7497" s="101"/>
      <c r="K7497" s="226"/>
      <c r="L7497" s="226"/>
      <c r="M7497" s="101"/>
      <c r="N7497" s="101"/>
    </row>
    <row r="7498" spans="7:14" hidden="1" x14ac:dyDescent="0.3">
      <c r="G7498" s="101"/>
      <c r="H7498" s="101"/>
      <c r="I7498" s="101"/>
      <c r="K7498" s="226"/>
      <c r="L7498" s="226"/>
      <c r="M7498" s="101"/>
      <c r="N7498" s="101"/>
    </row>
    <row r="7499" spans="7:14" hidden="1" x14ac:dyDescent="0.3">
      <c r="G7499" s="101"/>
      <c r="H7499" s="101"/>
      <c r="I7499" s="101"/>
      <c r="K7499" s="226"/>
      <c r="L7499" s="226"/>
      <c r="M7499" s="101"/>
      <c r="N7499" s="101"/>
    </row>
    <row r="7500" spans="7:14" hidden="1" x14ac:dyDescent="0.3">
      <c r="G7500" s="101"/>
      <c r="H7500" s="101"/>
      <c r="I7500" s="101"/>
      <c r="K7500" s="226"/>
      <c r="L7500" s="226"/>
      <c r="M7500" s="101"/>
      <c r="N7500" s="101"/>
    </row>
    <row r="7501" spans="7:14" hidden="1" x14ac:dyDescent="0.3">
      <c r="G7501" s="101"/>
      <c r="H7501" s="101"/>
      <c r="I7501" s="101"/>
      <c r="K7501" s="226"/>
      <c r="L7501" s="226"/>
      <c r="M7501" s="101"/>
      <c r="N7501" s="101"/>
    </row>
    <row r="7502" spans="7:14" hidden="1" x14ac:dyDescent="0.3">
      <c r="G7502" s="101"/>
      <c r="H7502" s="101"/>
      <c r="I7502" s="101"/>
      <c r="K7502" s="226"/>
      <c r="L7502" s="226"/>
      <c r="M7502" s="101"/>
      <c r="N7502" s="101"/>
    </row>
    <row r="7503" spans="7:14" hidden="1" x14ac:dyDescent="0.3">
      <c r="G7503" s="101"/>
      <c r="H7503" s="101"/>
      <c r="I7503" s="101"/>
      <c r="K7503" s="226"/>
      <c r="L7503" s="226"/>
      <c r="M7503" s="101"/>
      <c r="N7503" s="101"/>
    </row>
    <row r="7504" spans="7:14" hidden="1" x14ac:dyDescent="0.3">
      <c r="G7504" s="101"/>
      <c r="H7504" s="101"/>
      <c r="I7504" s="101"/>
      <c r="K7504" s="226"/>
      <c r="L7504" s="226"/>
      <c r="M7504" s="101"/>
      <c r="N7504" s="101"/>
    </row>
    <row r="7505" spans="7:14" hidden="1" x14ac:dyDescent="0.3">
      <c r="G7505" s="101"/>
      <c r="H7505" s="101"/>
      <c r="I7505" s="101"/>
      <c r="K7505" s="226"/>
      <c r="L7505" s="226"/>
      <c r="M7505" s="101"/>
      <c r="N7505" s="101"/>
    </row>
    <row r="7506" spans="7:14" hidden="1" x14ac:dyDescent="0.3">
      <c r="G7506" s="101"/>
      <c r="H7506" s="101"/>
      <c r="I7506" s="101"/>
      <c r="K7506" s="226"/>
      <c r="L7506" s="226"/>
      <c r="M7506" s="101"/>
      <c r="N7506" s="101"/>
    </row>
    <row r="7507" spans="7:14" hidden="1" x14ac:dyDescent="0.3">
      <c r="G7507" s="101"/>
      <c r="H7507" s="101"/>
      <c r="I7507" s="101"/>
      <c r="K7507" s="226"/>
      <c r="L7507" s="226"/>
      <c r="M7507" s="101"/>
      <c r="N7507" s="101"/>
    </row>
    <row r="7508" spans="7:14" hidden="1" x14ac:dyDescent="0.3">
      <c r="G7508" s="101"/>
      <c r="H7508" s="101"/>
      <c r="I7508" s="101"/>
      <c r="K7508" s="226"/>
      <c r="L7508" s="226"/>
      <c r="M7508" s="101"/>
      <c r="N7508" s="101"/>
    </row>
    <row r="7509" spans="7:14" hidden="1" x14ac:dyDescent="0.3">
      <c r="G7509" s="101"/>
      <c r="H7509" s="101"/>
      <c r="I7509" s="101"/>
      <c r="K7509" s="226"/>
      <c r="L7509" s="226"/>
      <c r="M7509" s="101"/>
      <c r="N7509" s="101"/>
    </row>
    <row r="7510" spans="7:14" hidden="1" x14ac:dyDescent="0.3">
      <c r="G7510" s="101"/>
      <c r="H7510" s="101"/>
      <c r="I7510" s="101"/>
      <c r="K7510" s="226"/>
      <c r="L7510" s="226"/>
      <c r="M7510" s="101"/>
      <c r="N7510" s="101"/>
    </row>
    <row r="7511" spans="7:14" hidden="1" x14ac:dyDescent="0.3">
      <c r="G7511" s="101"/>
      <c r="H7511" s="101"/>
      <c r="I7511" s="101"/>
      <c r="K7511" s="226"/>
      <c r="L7511" s="226"/>
      <c r="M7511" s="101"/>
      <c r="N7511" s="101"/>
    </row>
    <row r="7512" spans="7:14" hidden="1" x14ac:dyDescent="0.3">
      <c r="G7512" s="101"/>
      <c r="H7512" s="101"/>
      <c r="I7512" s="101"/>
      <c r="K7512" s="226"/>
      <c r="L7512" s="226"/>
      <c r="M7512" s="101"/>
      <c r="N7512" s="101"/>
    </row>
    <row r="7513" spans="7:14" hidden="1" x14ac:dyDescent="0.3">
      <c r="G7513" s="101"/>
      <c r="H7513" s="101"/>
      <c r="I7513" s="101"/>
      <c r="K7513" s="226"/>
      <c r="L7513" s="226"/>
      <c r="M7513" s="101"/>
      <c r="N7513" s="101"/>
    </row>
    <row r="7514" spans="7:14" hidden="1" x14ac:dyDescent="0.3">
      <c r="G7514" s="101"/>
      <c r="H7514" s="101"/>
      <c r="I7514" s="101"/>
      <c r="K7514" s="226"/>
      <c r="L7514" s="226"/>
      <c r="M7514" s="101"/>
      <c r="N7514" s="101"/>
    </row>
    <row r="7515" spans="7:14" hidden="1" x14ac:dyDescent="0.3">
      <c r="G7515" s="101"/>
      <c r="H7515" s="101"/>
      <c r="I7515" s="101"/>
      <c r="K7515" s="226"/>
      <c r="L7515" s="226"/>
      <c r="M7515" s="101"/>
      <c r="N7515" s="101"/>
    </row>
    <row r="7516" spans="7:14" hidden="1" x14ac:dyDescent="0.3">
      <c r="G7516" s="101"/>
      <c r="H7516" s="101"/>
      <c r="I7516" s="101"/>
      <c r="K7516" s="226"/>
      <c r="L7516" s="226"/>
      <c r="M7516" s="101"/>
      <c r="N7516" s="101"/>
    </row>
    <row r="7517" spans="7:14" hidden="1" x14ac:dyDescent="0.3">
      <c r="G7517" s="101"/>
      <c r="H7517" s="101"/>
      <c r="I7517" s="101"/>
      <c r="K7517" s="226"/>
      <c r="L7517" s="226"/>
      <c r="M7517" s="101"/>
      <c r="N7517" s="101"/>
    </row>
    <row r="7518" spans="7:14" hidden="1" x14ac:dyDescent="0.3">
      <c r="G7518" s="101"/>
      <c r="H7518" s="101"/>
      <c r="I7518" s="101"/>
      <c r="K7518" s="226"/>
      <c r="L7518" s="226"/>
      <c r="M7518" s="101"/>
      <c r="N7518" s="101"/>
    </row>
    <row r="7519" spans="7:14" hidden="1" x14ac:dyDescent="0.3">
      <c r="G7519" s="101"/>
      <c r="H7519" s="101"/>
      <c r="I7519" s="101"/>
      <c r="K7519" s="226"/>
      <c r="L7519" s="226"/>
      <c r="M7519" s="101"/>
      <c r="N7519" s="101"/>
    </row>
    <row r="7520" spans="7:14" hidden="1" x14ac:dyDescent="0.3">
      <c r="G7520" s="101"/>
      <c r="H7520" s="101"/>
      <c r="I7520" s="101"/>
      <c r="K7520" s="226"/>
      <c r="L7520" s="226"/>
      <c r="M7520" s="101"/>
      <c r="N7520" s="101"/>
    </row>
    <row r="7521" spans="7:14" hidden="1" x14ac:dyDescent="0.3">
      <c r="G7521" s="101"/>
      <c r="H7521" s="101"/>
      <c r="I7521" s="101"/>
      <c r="K7521" s="226"/>
      <c r="L7521" s="226"/>
      <c r="M7521" s="101"/>
      <c r="N7521" s="101"/>
    </row>
    <row r="7522" spans="7:14" hidden="1" x14ac:dyDescent="0.3">
      <c r="G7522" s="101"/>
      <c r="H7522" s="101"/>
      <c r="I7522" s="101"/>
      <c r="K7522" s="226"/>
      <c r="L7522" s="226"/>
      <c r="M7522" s="101"/>
      <c r="N7522" s="101"/>
    </row>
    <row r="7523" spans="7:14" hidden="1" x14ac:dyDescent="0.3">
      <c r="G7523" s="101"/>
      <c r="H7523" s="101"/>
      <c r="I7523" s="101"/>
      <c r="K7523" s="226"/>
      <c r="L7523" s="226"/>
      <c r="M7523" s="101"/>
      <c r="N7523" s="101"/>
    </row>
    <row r="7524" spans="7:14" hidden="1" x14ac:dyDescent="0.3">
      <c r="G7524" s="101"/>
      <c r="H7524" s="101"/>
      <c r="I7524" s="101"/>
      <c r="K7524" s="226"/>
      <c r="L7524" s="226"/>
      <c r="M7524" s="101"/>
      <c r="N7524" s="101"/>
    </row>
    <row r="7525" spans="7:14" hidden="1" x14ac:dyDescent="0.3">
      <c r="G7525" s="101"/>
      <c r="H7525" s="101"/>
      <c r="I7525" s="101"/>
      <c r="K7525" s="226"/>
      <c r="L7525" s="226"/>
      <c r="M7525" s="101"/>
      <c r="N7525" s="101"/>
    </row>
    <row r="7526" spans="7:14" hidden="1" x14ac:dyDescent="0.3">
      <c r="G7526" s="101"/>
      <c r="H7526" s="101"/>
      <c r="I7526" s="101"/>
      <c r="K7526" s="226"/>
      <c r="L7526" s="226"/>
      <c r="M7526" s="101"/>
      <c r="N7526" s="101"/>
    </row>
    <row r="7527" spans="7:14" hidden="1" x14ac:dyDescent="0.3">
      <c r="G7527" s="101"/>
      <c r="H7527" s="101"/>
      <c r="I7527" s="101"/>
      <c r="K7527" s="226"/>
      <c r="L7527" s="226"/>
      <c r="M7527" s="101"/>
      <c r="N7527" s="101"/>
    </row>
    <row r="7528" spans="7:14" hidden="1" x14ac:dyDescent="0.3">
      <c r="G7528" s="101"/>
      <c r="H7528" s="101"/>
      <c r="I7528" s="101"/>
      <c r="K7528" s="226"/>
      <c r="L7528" s="226"/>
      <c r="M7528" s="101"/>
      <c r="N7528" s="101"/>
    </row>
    <row r="7529" spans="7:14" hidden="1" x14ac:dyDescent="0.3">
      <c r="G7529" s="101"/>
      <c r="H7529" s="101"/>
      <c r="I7529" s="101"/>
      <c r="K7529" s="226"/>
      <c r="L7529" s="226"/>
      <c r="M7529" s="101"/>
      <c r="N7529" s="101"/>
    </row>
    <row r="7530" spans="7:14" hidden="1" x14ac:dyDescent="0.3">
      <c r="G7530" s="101"/>
      <c r="H7530" s="101"/>
      <c r="I7530" s="101"/>
      <c r="K7530" s="226"/>
      <c r="L7530" s="226"/>
      <c r="M7530" s="101"/>
      <c r="N7530" s="101"/>
    </row>
    <row r="7531" spans="7:14" hidden="1" x14ac:dyDescent="0.3">
      <c r="G7531" s="101"/>
      <c r="H7531" s="101"/>
      <c r="I7531" s="101"/>
      <c r="K7531" s="226"/>
      <c r="L7531" s="226"/>
      <c r="M7531" s="101"/>
      <c r="N7531" s="101"/>
    </row>
    <row r="7532" spans="7:14" hidden="1" x14ac:dyDescent="0.3">
      <c r="G7532" s="101"/>
      <c r="H7532" s="101"/>
      <c r="I7532" s="101"/>
      <c r="K7532" s="226"/>
      <c r="L7532" s="226"/>
      <c r="M7532" s="101"/>
      <c r="N7532" s="101"/>
    </row>
    <row r="7533" spans="7:14" hidden="1" x14ac:dyDescent="0.3">
      <c r="G7533" s="101"/>
      <c r="H7533" s="101"/>
      <c r="I7533" s="101"/>
      <c r="K7533" s="226"/>
      <c r="L7533" s="226"/>
      <c r="M7533" s="101"/>
      <c r="N7533" s="101"/>
    </row>
    <row r="7534" spans="7:14" hidden="1" x14ac:dyDescent="0.3">
      <c r="G7534" s="101"/>
      <c r="H7534" s="101"/>
      <c r="I7534" s="101"/>
      <c r="K7534" s="226"/>
      <c r="L7534" s="226"/>
      <c r="M7534" s="101"/>
      <c r="N7534" s="101"/>
    </row>
    <row r="7535" spans="7:14" hidden="1" x14ac:dyDescent="0.3">
      <c r="G7535" s="101"/>
      <c r="H7535" s="101"/>
      <c r="I7535" s="101"/>
      <c r="K7535" s="226"/>
      <c r="L7535" s="226"/>
      <c r="M7535" s="101"/>
      <c r="N7535" s="101"/>
    </row>
    <row r="7536" spans="7:14" hidden="1" x14ac:dyDescent="0.3">
      <c r="G7536" s="101"/>
      <c r="H7536" s="101"/>
      <c r="I7536" s="101"/>
      <c r="K7536" s="226"/>
      <c r="L7536" s="226"/>
      <c r="M7536" s="101"/>
      <c r="N7536" s="101"/>
    </row>
    <row r="7537" spans="7:14" hidden="1" x14ac:dyDescent="0.3">
      <c r="G7537" s="101"/>
      <c r="H7537" s="101"/>
      <c r="I7537" s="101"/>
      <c r="K7537" s="226"/>
      <c r="L7537" s="226"/>
      <c r="M7537" s="101"/>
      <c r="N7537" s="101"/>
    </row>
    <row r="7538" spans="7:14" hidden="1" x14ac:dyDescent="0.3">
      <c r="G7538" s="101"/>
      <c r="H7538" s="101"/>
      <c r="I7538" s="101"/>
      <c r="K7538" s="226"/>
      <c r="L7538" s="226"/>
      <c r="M7538" s="101"/>
      <c r="N7538" s="101"/>
    </row>
    <row r="7539" spans="7:14" hidden="1" x14ac:dyDescent="0.3">
      <c r="G7539" s="101"/>
      <c r="H7539" s="101"/>
      <c r="I7539" s="101"/>
      <c r="K7539" s="226"/>
      <c r="L7539" s="226"/>
      <c r="M7539" s="101"/>
      <c r="N7539" s="101"/>
    </row>
    <row r="7540" spans="7:14" hidden="1" x14ac:dyDescent="0.3">
      <c r="G7540" s="101"/>
      <c r="H7540" s="101"/>
      <c r="I7540" s="101"/>
      <c r="K7540" s="226"/>
      <c r="L7540" s="226"/>
      <c r="M7540" s="101"/>
      <c r="N7540" s="101"/>
    </row>
    <row r="7541" spans="7:14" hidden="1" x14ac:dyDescent="0.3">
      <c r="G7541" s="101"/>
      <c r="H7541" s="101"/>
      <c r="I7541" s="101"/>
      <c r="K7541" s="226"/>
      <c r="L7541" s="226"/>
      <c r="M7541" s="101"/>
      <c r="N7541" s="101"/>
    </row>
    <row r="7542" spans="7:14" hidden="1" x14ac:dyDescent="0.3">
      <c r="G7542" s="101"/>
      <c r="H7542" s="101"/>
      <c r="I7542" s="101"/>
      <c r="K7542" s="226"/>
      <c r="L7542" s="226"/>
      <c r="M7542" s="101"/>
      <c r="N7542" s="101"/>
    </row>
    <row r="7543" spans="7:14" hidden="1" x14ac:dyDescent="0.3">
      <c r="G7543" s="101"/>
      <c r="H7543" s="101"/>
      <c r="I7543" s="101"/>
      <c r="K7543" s="226"/>
      <c r="L7543" s="226"/>
      <c r="M7543" s="101"/>
      <c r="N7543" s="101"/>
    </row>
    <row r="7544" spans="7:14" hidden="1" x14ac:dyDescent="0.3">
      <c r="G7544" s="101"/>
      <c r="H7544" s="101"/>
      <c r="I7544" s="101"/>
      <c r="K7544" s="226"/>
      <c r="L7544" s="226"/>
      <c r="M7544" s="101"/>
      <c r="N7544" s="101"/>
    </row>
    <row r="7545" spans="7:14" hidden="1" x14ac:dyDescent="0.3">
      <c r="G7545" s="101"/>
      <c r="H7545" s="101"/>
      <c r="I7545" s="101"/>
      <c r="K7545" s="226"/>
      <c r="L7545" s="226"/>
      <c r="M7545" s="101"/>
      <c r="N7545" s="101"/>
    </row>
    <row r="7546" spans="7:14" hidden="1" x14ac:dyDescent="0.3">
      <c r="G7546" s="101"/>
      <c r="H7546" s="101"/>
      <c r="I7546" s="101"/>
      <c r="K7546" s="226"/>
      <c r="L7546" s="226"/>
      <c r="M7546" s="101"/>
      <c r="N7546" s="101"/>
    </row>
    <row r="7547" spans="7:14" hidden="1" x14ac:dyDescent="0.3">
      <c r="G7547" s="101"/>
      <c r="H7547" s="101"/>
      <c r="I7547" s="101"/>
      <c r="K7547" s="226"/>
      <c r="L7547" s="226"/>
      <c r="M7547" s="101"/>
      <c r="N7547" s="101"/>
    </row>
    <row r="7548" spans="7:14" hidden="1" x14ac:dyDescent="0.3">
      <c r="G7548" s="101"/>
      <c r="H7548" s="101"/>
      <c r="I7548" s="101"/>
      <c r="K7548" s="226"/>
      <c r="L7548" s="226"/>
      <c r="M7548" s="101"/>
      <c r="N7548" s="101"/>
    </row>
    <row r="7549" spans="7:14" hidden="1" x14ac:dyDescent="0.3">
      <c r="G7549" s="101"/>
      <c r="H7549" s="101"/>
      <c r="I7549" s="101"/>
      <c r="K7549" s="226"/>
      <c r="L7549" s="226"/>
      <c r="M7549" s="101"/>
      <c r="N7549" s="101"/>
    </row>
    <row r="7550" spans="7:14" hidden="1" x14ac:dyDescent="0.3">
      <c r="G7550" s="101"/>
      <c r="H7550" s="101"/>
      <c r="I7550" s="101"/>
      <c r="K7550" s="226"/>
      <c r="L7550" s="226"/>
      <c r="M7550" s="101"/>
      <c r="N7550" s="101"/>
    </row>
    <row r="7551" spans="7:14" hidden="1" x14ac:dyDescent="0.3">
      <c r="G7551" s="101"/>
      <c r="H7551" s="101"/>
      <c r="I7551" s="101"/>
      <c r="K7551" s="226"/>
      <c r="L7551" s="226"/>
      <c r="M7551" s="101"/>
      <c r="N7551" s="101"/>
    </row>
    <row r="7552" spans="7:14" hidden="1" x14ac:dyDescent="0.3">
      <c r="G7552" s="101"/>
      <c r="H7552" s="101"/>
      <c r="I7552" s="101"/>
      <c r="K7552" s="226"/>
      <c r="L7552" s="226"/>
      <c r="M7552" s="101"/>
      <c r="N7552" s="101"/>
    </row>
    <row r="7553" spans="7:14" hidden="1" x14ac:dyDescent="0.3">
      <c r="G7553" s="101"/>
      <c r="H7553" s="101"/>
      <c r="I7553" s="101"/>
      <c r="K7553" s="226"/>
      <c r="L7553" s="226"/>
      <c r="M7553" s="101"/>
      <c r="N7553" s="101"/>
    </row>
    <row r="7554" spans="7:14" hidden="1" x14ac:dyDescent="0.3">
      <c r="G7554" s="101"/>
      <c r="H7554" s="101"/>
      <c r="I7554" s="101"/>
      <c r="K7554" s="226"/>
      <c r="L7554" s="226"/>
      <c r="M7554" s="101"/>
      <c r="N7554" s="101"/>
    </row>
    <row r="7555" spans="7:14" hidden="1" x14ac:dyDescent="0.3">
      <c r="G7555" s="101"/>
      <c r="H7555" s="101"/>
      <c r="I7555" s="101"/>
      <c r="K7555" s="226"/>
      <c r="L7555" s="226"/>
      <c r="M7555" s="101"/>
      <c r="N7555" s="101"/>
    </row>
    <row r="7556" spans="7:14" hidden="1" x14ac:dyDescent="0.3">
      <c r="G7556" s="101"/>
      <c r="H7556" s="101"/>
      <c r="I7556" s="101"/>
      <c r="K7556" s="226"/>
      <c r="L7556" s="226"/>
      <c r="M7556" s="101"/>
      <c r="N7556" s="101"/>
    </row>
    <row r="7557" spans="7:14" hidden="1" x14ac:dyDescent="0.3">
      <c r="G7557" s="101"/>
      <c r="H7557" s="101"/>
      <c r="I7557" s="101"/>
      <c r="K7557" s="226"/>
      <c r="L7557" s="226"/>
      <c r="M7557" s="101"/>
      <c r="N7557" s="101"/>
    </row>
    <row r="7558" spans="7:14" hidden="1" x14ac:dyDescent="0.3">
      <c r="G7558" s="101"/>
      <c r="H7558" s="101"/>
      <c r="I7558" s="101"/>
      <c r="K7558" s="226"/>
      <c r="L7558" s="226"/>
      <c r="M7558" s="101"/>
      <c r="N7558" s="101"/>
    </row>
    <row r="7559" spans="7:14" hidden="1" x14ac:dyDescent="0.3">
      <c r="G7559" s="101"/>
      <c r="H7559" s="101"/>
      <c r="I7559" s="101"/>
      <c r="K7559" s="226"/>
      <c r="L7559" s="226"/>
      <c r="M7559" s="101"/>
      <c r="N7559" s="101"/>
    </row>
    <row r="7560" spans="7:14" hidden="1" x14ac:dyDescent="0.3">
      <c r="G7560" s="101"/>
      <c r="H7560" s="101"/>
      <c r="I7560" s="101"/>
      <c r="K7560" s="226"/>
      <c r="L7560" s="226"/>
      <c r="M7560" s="101"/>
      <c r="N7560" s="101"/>
    </row>
    <row r="7561" spans="7:14" hidden="1" x14ac:dyDescent="0.3">
      <c r="G7561" s="101"/>
      <c r="H7561" s="101"/>
      <c r="I7561" s="101"/>
      <c r="K7561" s="226"/>
      <c r="L7561" s="226"/>
      <c r="M7561" s="101"/>
      <c r="N7561" s="101"/>
    </row>
    <row r="7562" spans="7:14" hidden="1" x14ac:dyDescent="0.3">
      <c r="G7562" s="101"/>
      <c r="H7562" s="101"/>
      <c r="I7562" s="101"/>
      <c r="K7562" s="226"/>
      <c r="L7562" s="226"/>
      <c r="M7562" s="101"/>
      <c r="N7562" s="101"/>
    </row>
    <row r="7563" spans="7:14" hidden="1" x14ac:dyDescent="0.3">
      <c r="G7563" s="101"/>
      <c r="H7563" s="101"/>
      <c r="I7563" s="101"/>
      <c r="K7563" s="226"/>
      <c r="L7563" s="226"/>
      <c r="M7563" s="101"/>
      <c r="N7563" s="101"/>
    </row>
    <row r="7564" spans="7:14" hidden="1" x14ac:dyDescent="0.3">
      <c r="G7564" s="101"/>
      <c r="H7564" s="101"/>
      <c r="I7564" s="101"/>
      <c r="K7564" s="226"/>
      <c r="L7564" s="226"/>
      <c r="M7564" s="101"/>
      <c r="N7564" s="101"/>
    </row>
    <row r="7565" spans="7:14" hidden="1" x14ac:dyDescent="0.3">
      <c r="G7565" s="101"/>
      <c r="H7565" s="101"/>
      <c r="I7565" s="101"/>
      <c r="K7565" s="226"/>
      <c r="L7565" s="226"/>
      <c r="M7565" s="101"/>
      <c r="N7565" s="101"/>
    </row>
    <row r="7566" spans="7:14" hidden="1" x14ac:dyDescent="0.3">
      <c r="G7566" s="101"/>
      <c r="H7566" s="101"/>
      <c r="I7566" s="101"/>
      <c r="K7566" s="226"/>
      <c r="L7566" s="226"/>
      <c r="M7566" s="101"/>
      <c r="N7566" s="101"/>
    </row>
    <row r="7567" spans="7:14" hidden="1" x14ac:dyDescent="0.3">
      <c r="G7567" s="101"/>
      <c r="H7567" s="101"/>
      <c r="I7567" s="101"/>
      <c r="K7567" s="226"/>
      <c r="L7567" s="226"/>
      <c r="M7567" s="101"/>
      <c r="N7567" s="101"/>
    </row>
    <row r="7568" spans="7:14" hidden="1" x14ac:dyDescent="0.3">
      <c r="G7568" s="101"/>
      <c r="H7568" s="101"/>
      <c r="I7568" s="101"/>
      <c r="K7568" s="226"/>
      <c r="L7568" s="226"/>
      <c r="M7568" s="101"/>
      <c r="N7568" s="101"/>
    </row>
    <row r="7569" spans="7:14" hidden="1" x14ac:dyDescent="0.3">
      <c r="G7569" s="101"/>
      <c r="H7569" s="101"/>
      <c r="I7569" s="101"/>
      <c r="K7569" s="226"/>
      <c r="L7569" s="226"/>
      <c r="M7569" s="101"/>
      <c r="N7569" s="101"/>
    </row>
    <row r="7570" spans="7:14" hidden="1" x14ac:dyDescent="0.3">
      <c r="G7570" s="101"/>
      <c r="H7570" s="101"/>
      <c r="I7570" s="101"/>
      <c r="K7570" s="226"/>
      <c r="L7570" s="226"/>
      <c r="M7570" s="101"/>
      <c r="N7570" s="101"/>
    </row>
    <row r="7571" spans="7:14" hidden="1" x14ac:dyDescent="0.3">
      <c r="G7571" s="101"/>
      <c r="H7571" s="101"/>
      <c r="I7571" s="101"/>
      <c r="K7571" s="226"/>
      <c r="L7571" s="226"/>
      <c r="M7571" s="101"/>
      <c r="N7571" s="101"/>
    </row>
    <row r="7572" spans="7:14" hidden="1" x14ac:dyDescent="0.3">
      <c r="G7572" s="101"/>
      <c r="H7572" s="101"/>
      <c r="I7572" s="101"/>
      <c r="K7572" s="226"/>
      <c r="L7572" s="226"/>
      <c r="M7572" s="101"/>
      <c r="N7572" s="101"/>
    </row>
    <row r="7573" spans="7:14" hidden="1" x14ac:dyDescent="0.3">
      <c r="G7573" s="101"/>
      <c r="H7573" s="101"/>
      <c r="I7573" s="101"/>
      <c r="K7573" s="226"/>
      <c r="L7573" s="226"/>
      <c r="M7573" s="101"/>
      <c r="N7573" s="101"/>
    </row>
    <row r="7574" spans="7:14" hidden="1" x14ac:dyDescent="0.3">
      <c r="G7574" s="101"/>
      <c r="H7574" s="101"/>
      <c r="I7574" s="101"/>
      <c r="K7574" s="226"/>
      <c r="L7574" s="226"/>
      <c r="M7574" s="101"/>
      <c r="N7574" s="101"/>
    </row>
    <row r="7575" spans="7:14" hidden="1" x14ac:dyDescent="0.3">
      <c r="G7575" s="101"/>
      <c r="H7575" s="101"/>
      <c r="I7575" s="101"/>
      <c r="K7575" s="226"/>
      <c r="L7575" s="226"/>
      <c r="M7575" s="101"/>
      <c r="N7575" s="101"/>
    </row>
    <row r="7576" spans="7:14" hidden="1" x14ac:dyDescent="0.3">
      <c r="G7576" s="101"/>
      <c r="H7576" s="101"/>
      <c r="I7576" s="101"/>
      <c r="K7576" s="226"/>
      <c r="L7576" s="226"/>
      <c r="M7576" s="101"/>
      <c r="N7576" s="101"/>
    </row>
    <row r="7577" spans="7:14" hidden="1" x14ac:dyDescent="0.3">
      <c r="G7577" s="101"/>
      <c r="H7577" s="101"/>
      <c r="I7577" s="101"/>
      <c r="K7577" s="226"/>
      <c r="L7577" s="226"/>
      <c r="M7577" s="101"/>
      <c r="N7577" s="101"/>
    </row>
    <row r="7578" spans="7:14" hidden="1" x14ac:dyDescent="0.3">
      <c r="G7578" s="101"/>
      <c r="H7578" s="101"/>
      <c r="I7578" s="101"/>
      <c r="K7578" s="226"/>
      <c r="L7578" s="226"/>
      <c r="M7578" s="101"/>
      <c r="N7578" s="101"/>
    </row>
    <row r="7579" spans="7:14" hidden="1" x14ac:dyDescent="0.3">
      <c r="G7579" s="101"/>
      <c r="H7579" s="101"/>
      <c r="I7579" s="101"/>
      <c r="K7579" s="226"/>
      <c r="L7579" s="226"/>
      <c r="M7579" s="101"/>
      <c r="N7579" s="101"/>
    </row>
    <row r="7580" spans="7:14" hidden="1" x14ac:dyDescent="0.3">
      <c r="G7580" s="101"/>
      <c r="H7580" s="101"/>
      <c r="I7580" s="101"/>
      <c r="K7580" s="226"/>
      <c r="L7580" s="226"/>
      <c r="M7580" s="101"/>
      <c r="N7580" s="101"/>
    </row>
    <row r="7581" spans="7:14" hidden="1" x14ac:dyDescent="0.3">
      <c r="G7581" s="101"/>
      <c r="H7581" s="101"/>
      <c r="I7581" s="101"/>
      <c r="K7581" s="226"/>
      <c r="L7581" s="226"/>
      <c r="M7581" s="101"/>
      <c r="N7581" s="101"/>
    </row>
    <row r="7582" spans="7:14" hidden="1" x14ac:dyDescent="0.3">
      <c r="G7582" s="101"/>
      <c r="H7582" s="101"/>
      <c r="I7582" s="101"/>
      <c r="K7582" s="226"/>
      <c r="L7582" s="226"/>
      <c r="M7582" s="101"/>
      <c r="N7582" s="101"/>
    </row>
    <row r="7583" spans="7:14" hidden="1" x14ac:dyDescent="0.3">
      <c r="G7583" s="101"/>
      <c r="H7583" s="101"/>
      <c r="I7583" s="101"/>
      <c r="K7583" s="226"/>
      <c r="L7583" s="226"/>
      <c r="M7583" s="101"/>
      <c r="N7583" s="101"/>
    </row>
    <row r="7584" spans="7:14" hidden="1" x14ac:dyDescent="0.3">
      <c r="G7584" s="101"/>
      <c r="H7584" s="101"/>
      <c r="I7584" s="101"/>
      <c r="K7584" s="226"/>
      <c r="L7584" s="226"/>
      <c r="M7584" s="101"/>
      <c r="N7584" s="101"/>
    </row>
    <row r="7585" spans="7:14" hidden="1" x14ac:dyDescent="0.3">
      <c r="G7585" s="101"/>
      <c r="H7585" s="101"/>
      <c r="I7585" s="101"/>
      <c r="K7585" s="226"/>
      <c r="L7585" s="226"/>
      <c r="M7585" s="101"/>
      <c r="N7585" s="101"/>
    </row>
    <row r="7586" spans="7:14" hidden="1" x14ac:dyDescent="0.3">
      <c r="G7586" s="101"/>
      <c r="H7586" s="101"/>
      <c r="I7586" s="101"/>
      <c r="K7586" s="226"/>
      <c r="L7586" s="226"/>
      <c r="M7586" s="101"/>
      <c r="N7586" s="101"/>
    </row>
    <row r="7587" spans="7:14" hidden="1" x14ac:dyDescent="0.3">
      <c r="G7587" s="101"/>
      <c r="H7587" s="101"/>
      <c r="I7587" s="101"/>
      <c r="K7587" s="226"/>
      <c r="L7587" s="226"/>
      <c r="M7587" s="101"/>
      <c r="N7587" s="101"/>
    </row>
    <row r="7588" spans="7:14" hidden="1" x14ac:dyDescent="0.3">
      <c r="G7588" s="101"/>
      <c r="H7588" s="101"/>
      <c r="I7588" s="101"/>
      <c r="K7588" s="226"/>
      <c r="L7588" s="226"/>
      <c r="M7588" s="101"/>
      <c r="N7588" s="101"/>
    </row>
    <row r="7589" spans="7:14" hidden="1" x14ac:dyDescent="0.3">
      <c r="G7589" s="101"/>
      <c r="H7589" s="101"/>
      <c r="I7589" s="101"/>
      <c r="K7589" s="226"/>
      <c r="L7589" s="226"/>
      <c r="M7589" s="101"/>
      <c r="N7589" s="101"/>
    </row>
    <row r="7590" spans="7:14" hidden="1" x14ac:dyDescent="0.3">
      <c r="G7590" s="101"/>
      <c r="H7590" s="101"/>
      <c r="I7590" s="101"/>
      <c r="K7590" s="226"/>
      <c r="L7590" s="226"/>
      <c r="M7590" s="101"/>
      <c r="N7590" s="101"/>
    </row>
    <row r="7591" spans="7:14" hidden="1" x14ac:dyDescent="0.3">
      <c r="G7591" s="101"/>
      <c r="H7591" s="101"/>
      <c r="I7591" s="101"/>
      <c r="K7591" s="226"/>
      <c r="L7591" s="226"/>
      <c r="M7591" s="101"/>
      <c r="N7591" s="101"/>
    </row>
    <row r="7592" spans="7:14" hidden="1" x14ac:dyDescent="0.3">
      <c r="G7592" s="101"/>
      <c r="H7592" s="101"/>
      <c r="I7592" s="101"/>
      <c r="K7592" s="226"/>
      <c r="L7592" s="226"/>
      <c r="M7592" s="101"/>
      <c r="N7592" s="101"/>
    </row>
    <row r="7593" spans="7:14" hidden="1" x14ac:dyDescent="0.3">
      <c r="G7593" s="101"/>
      <c r="H7593" s="101"/>
      <c r="I7593" s="101"/>
      <c r="K7593" s="226"/>
      <c r="L7593" s="226"/>
      <c r="M7593" s="101"/>
      <c r="N7593" s="101"/>
    </row>
    <row r="7594" spans="7:14" hidden="1" x14ac:dyDescent="0.3">
      <c r="G7594" s="101"/>
      <c r="H7594" s="101"/>
      <c r="I7594" s="101"/>
      <c r="K7594" s="226"/>
      <c r="L7594" s="226"/>
      <c r="M7594" s="101"/>
      <c r="N7594" s="101"/>
    </row>
    <row r="7595" spans="7:14" hidden="1" x14ac:dyDescent="0.3">
      <c r="G7595" s="101"/>
      <c r="H7595" s="101"/>
      <c r="I7595" s="101"/>
      <c r="K7595" s="226"/>
      <c r="L7595" s="226"/>
      <c r="M7595" s="101"/>
      <c r="N7595" s="101"/>
    </row>
    <row r="7596" spans="7:14" hidden="1" x14ac:dyDescent="0.3">
      <c r="G7596" s="101"/>
      <c r="H7596" s="101"/>
      <c r="I7596" s="101"/>
      <c r="K7596" s="226"/>
      <c r="L7596" s="226"/>
      <c r="M7596" s="101"/>
      <c r="N7596" s="101"/>
    </row>
    <row r="7597" spans="7:14" hidden="1" x14ac:dyDescent="0.3">
      <c r="G7597" s="101"/>
      <c r="H7597" s="101"/>
      <c r="I7597" s="101"/>
      <c r="K7597" s="226"/>
      <c r="L7597" s="226"/>
      <c r="M7597" s="101"/>
      <c r="N7597" s="101"/>
    </row>
    <row r="7598" spans="7:14" hidden="1" x14ac:dyDescent="0.3">
      <c r="G7598" s="101"/>
      <c r="H7598" s="101"/>
      <c r="I7598" s="101"/>
      <c r="K7598" s="226"/>
      <c r="L7598" s="226"/>
      <c r="M7598" s="101"/>
      <c r="N7598" s="101"/>
    </row>
    <row r="7599" spans="7:14" hidden="1" x14ac:dyDescent="0.3">
      <c r="G7599" s="101"/>
      <c r="H7599" s="101"/>
      <c r="I7599" s="101"/>
      <c r="K7599" s="226"/>
      <c r="L7599" s="226"/>
      <c r="M7599" s="101"/>
      <c r="N7599" s="101"/>
    </row>
    <row r="7600" spans="7:14" hidden="1" x14ac:dyDescent="0.3">
      <c r="G7600" s="101"/>
      <c r="H7600" s="101"/>
      <c r="I7600" s="101"/>
      <c r="K7600" s="226"/>
      <c r="L7600" s="226"/>
      <c r="M7600" s="101"/>
      <c r="N7600" s="101"/>
    </row>
    <row r="7601" spans="7:14" hidden="1" x14ac:dyDescent="0.3">
      <c r="G7601" s="101"/>
      <c r="H7601" s="101"/>
      <c r="I7601" s="101"/>
      <c r="K7601" s="226"/>
      <c r="L7601" s="226"/>
      <c r="M7601" s="101"/>
      <c r="N7601" s="101"/>
    </row>
    <row r="7602" spans="7:14" hidden="1" x14ac:dyDescent="0.3">
      <c r="G7602" s="101"/>
      <c r="H7602" s="101"/>
      <c r="I7602" s="101"/>
      <c r="K7602" s="226"/>
      <c r="L7602" s="226"/>
      <c r="M7602" s="101"/>
      <c r="N7602" s="101"/>
    </row>
    <row r="7603" spans="7:14" hidden="1" x14ac:dyDescent="0.3">
      <c r="G7603" s="101"/>
      <c r="H7603" s="101"/>
      <c r="I7603" s="101"/>
      <c r="K7603" s="226"/>
      <c r="L7603" s="226"/>
      <c r="M7603" s="101"/>
      <c r="N7603" s="101"/>
    </row>
    <row r="7604" spans="7:14" hidden="1" x14ac:dyDescent="0.3">
      <c r="G7604" s="101"/>
      <c r="H7604" s="101"/>
      <c r="I7604" s="101"/>
      <c r="K7604" s="226"/>
      <c r="L7604" s="226"/>
      <c r="M7604" s="101"/>
      <c r="N7604" s="101"/>
    </row>
    <row r="7605" spans="7:14" hidden="1" x14ac:dyDescent="0.3">
      <c r="G7605" s="101"/>
      <c r="H7605" s="101"/>
      <c r="I7605" s="101"/>
      <c r="K7605" s="226"/>
      <c r="L7605" s="226"/>
      <c r="M7605" s="101"/>
      <c r="N7605" s="101"/>
    </row>
    <row r="7606" spans="7:14" hidden="1" x14ac:dyDescent="0.3">
      <c r="G7606" s="101"/>
      <c r="H7606" s="101"/>
      <c r="I7606" s="101"/>
      <c r="K7606" s="226"/>
      <c r="L7606" s="226"/>
      <c r="M7606" s="101"/>
      <c r="N7606" s="101"/>
    </row>
    <row r="7607" spans="7:14" hidden="1" x14ac:dyDescent="0.3">
      <c r="G7607" s="101"/>
      <c r="H7607" s="101"/>
      <c r="I7607" s="101"/>
      <c r="K7607" s="226"/>
      <c r="L7607" s="226"/>
      <c r="M7607" s="101"/>
      <c r="N7607" s="101"/>
    </row>
    <row r="7608" spans="7:14" hidden="1" x14ac:dyDescent="0.3">
      <c r="G7608" s="101"/>
      <c r="H7608" s="101"/>
      <c r="I7608" s="101"/>
      <c r="K7608" s="226"/>
      <c r="L7608" s="226"/>
      <c r="M7608" s="101"/>
      <c r="N7608" s="101"/>
    </row>
    <row r="7609" spans="7:14" hidden="1" x14ac:dyDescent="0.3">
      <c r="G7609" s="101"/>
      <c r="H7609" s="101"/>
      <c r="I7609" s="101"/>
      <c r="K7609" s="226"/>
      <c r="L7609" s="226"/>
      <c r="M7609" s="101"/>
      <c r="N7609" s="101"/>
    </row>
    <row r="7610" spans="7:14" hidden="1" x14ac:dyDescent="0.3">
      <c r="G7610" s="101"/>
      <c r="H7610" s="101"/>
      <c r="I7610" s="101"/>
      <c r="K7610" s="226"/>
      <c r="L7610" s="226"/>
      <c r="M7610" s="101"/>
      <c r="N7610" s="101"/>
    </row>
    <row r="7611" spans="7:14" hidden="1" x14ac:dyDescent="0.3">
      <c r="G7611" s="101"/>
      <c r="H7611" s="101"/>
      <c r="I7611" s="101"/>
      <c r="K7611" s="226"/>
      <c r="L7611" s="226"/>
      <c r="M7611" s="101"/>
      <c r="N7611" s="101"/>
    </row>
    <row r="7612" spans="7:14" hidden="1" x14ac:dyDescent="0.3">
      <c r="G7612" s="101"/>
      <c r="H7612" s="101"/>
      <c r="I7612" s="101"/>
      <c r="K7612" s="226"/>
      <c r="L7612" s="226"/>
      <c r="M7612" s="101"/>
      <c r="N7612" s="101"/>
    </row>
    <row r="7613" spans="7:14" hidden="1" x14ac:dyDescent="0.3">
      <c r="G7613" s="101"/>
      <c r="H7613" s="101"/>
      <c r="I7613" s="101"/>
      <c r="K7613" s="226"/>
      <c r="L7613" s="226"/>
      <c r="M7613" s="101"/>
      <c r="N7613" s="101"/>
    </row>
    <row r="7614" spans="7:14" hidden="1" x14ac:dyDescent="0.3">
      <c r="G7614" s="101"/>
      <c r="H7614" s="101"/>
      <c r="I7614" s="101"/>
      <c r="K7614" s="226"/>
      <c r="L7614" s="226"/>
      <c r="M7614" s="101"/>
      <c r="N7614" s="101"/>
    </row>
    <row r="7615" spans="7:14" hidden="1" x14ac:dyDescent="0.3">
      <c r="G7615" s="101"/>
      <c r="H7615" s="101"/>
      <c r="I7615" s="101"/>
      <c r="K7615" s="226"/>
      <c r="L7615" s="226"/>
      <c r="M7615" s="101"/>
      <c r="N7615" s="101"/>
    </row>
    <row r="7616" spans="7:14" hidden="1" x14ac:dyDescent="0.3">
      <c r="G7616" s="101"/>
      <c r="H7616" s="101"/>
      <c r="I7616" s="101"/>
      <c r="K7616" s="226"/>
      <c r="L7616" s="226"/>
      <c r="M7616" s="101"/>
      <c r="N7616" s="101"/>
    </row>
    <row r="7617" spans="7:14" hidden="1" x14ac:dyDescent="0.3">
      <c r="G7617" s="101"/>
      <c r="H7617" s="101"/>
      <c r="I7617" s="101"/>
      <c r="K7617" s="226"/>
      <c r="L7617" s="226"/>
      <c r="M7617" s="101"/>
      <c r="N7617" s="101"/>
    </row>
    <row r="7618" spans="7:14" hidden="1" x14ac:dyDescent="0.3">
      <c r="G7618" s="101"/>
      <c r="H7618" s="101"/>
      <c r="I7618" s="101"/>
      <c r="K7618" s="226"/>
      <c r="L7618" s="226"/>
      <c r="M7618" s="101"/>
      <c r="N7618" s="101"/>
    </row>
    <row r="7619" spans="7:14" hidden="1" x14ac:dyDescent="0.3">
      <c r="G7619" s="101"/>
      <c r="H7619" s="101"/>
      <c r="I7619" s="101"/>
      <c r="K7619" s="226"/>
      <c r="L7619" s="226"/>
      <c r="M7619" s="101"/>
      <c r="N7619" s="101"/>
    </row>
    <row r="7620" spans="7:14" hidden="1" x14ac:dyDescent="0.3">
      <c r="G7620" s="101"/>
      <c r="H7620" s="101"/>
      <c r="I7620" s="101"/>
      <c r="K7620" s="226"/>
      <c r="L7620" s="226"/>
      <c r="M7620" s="101"/>
      <c r="N7620" s="101"/>
    </row>
    <row r="7621" spans="7:14" hidden="1" x14ac:dyDescent="0.3">
      <c r="G7621" s="101"/>
      <c r="H7621" s="101"/>
      <c r="I7621" s="101"/>
      <c r="K7621" s="226"/>
      <c r="L7621" s="226"/>
      <c r="M7621" s="101"/>
      <c r="N7621" s="101"/>
    </row>
    <row r="7622" spans="7:14" hidden="1" x14ac:dyDescent="0.3">
      <c r="G7622" s="101"/>
      <c r="H7622" s="101"/>
      <c r="I7622" s="101"/>
      <c r="K7622" s="226"/>
      <c r="L7622" s="226"/>
      <c r="M7622" s="101"/>
      <c r="N7622" s="101"/>
    </row>
    <row r="7623" spans="7:14" hidden="1" x14ac:dyDescent="0.3">
      <c r="G7623" s="101"/>
      <c r="H7623" s="101"/>
      <c r="I7623" s="101"/>
      <c r="K7623" s="226"/>
      <c r="L7623" s="226"/>
      <c r="M7623" s="101"/>
      <c r="N7623" s="101"/>
    </row>
    <row r="7624" spans="7:14" hidden="1" x14ac:dyDescent="0.3">
      <c r="G7624" s="101"/>
      <c r="H7624" s="101"/>
      <c r="I7624" s="101"/>
      <c r="K7624" s="226"/>
      <c r="L7624" s="226"/>
      <c r="M7624" s="101"/>
      <c r="N7624" s="101"/>
    </row>
    <row r="7625" spans="7:14" hidden="1" x14ac:dyDescent="0.3">
      <c r="G7625" s="101"/>
      <c r="H7625" s="101"/>
      <c r="I7625" s="101"/>
      <c r="K7625" s="226"/>
      <c r="L7625" s="226"/>
      <c r="M7625" s="101"/>
      <c r="N7625" s="101"/>
    </row>
    <row r="7626" spans="7:14" hidden="1" x14ac:dyDescent="0.3">
      <c r="G7626" s="101"/>
      <c r="H7626" s="101"/>
      <c r="I7626" s="101"/>
      <c r="K7626" s="226"/>
      <c r="L7626" s="226"/>
      <c r="M7626" s="101"/>
      <c r="N7626" s="101"/>
    </row>
    <row r="7627" spans="7:14" hidden="1" x14ac:dyDescent="0.3">
      <c r="G7627" s="101"/>
      <c r="H7627" s="101"/>
      <c r="I7627" s="101"/>
      <c r="K7627" s="226"/>
      <c r="L7627" s="226"/>
      <c r="M7627" s="101"/>
      <c r="N7627" s="101"/>
    </row>
    <row r="7628" spans="7:14" hidden="1" x14ac:dyDescent="0.3">
      <c r="G7628" s="101"/>
      <c r="H7628" s="101"/>
      <c r="I7628" s="101"/>
      <c r="K7628" s="226"/>
      <c r="L7628" s="226"/>
      <c r="M7628" s="101"/>
      <c r="N7628" s="101"/>
    </row>
    <row r="7629" spans="7:14" hidden="1" x14ac:dyDescent="0.3">
      <c r="G7629" s="101"/>
      <c r="H7629" s="101"/>
      <c r="I7629" s="101"/>
      <c r="K7629" s="226"/>
      <c r="L7629" s="226"/>
      <c r="M7629" s="101"/>
      <c r="N7629" s="101"/>
    </row>
    <row r="7630" spans="7:14" hidden="1" x14ac:dyDescent="0.3">
      <c r="G7630" s="101"/>
      <c r="H7630" s="101"/>
      <c r="I7630" s="101"/>
      <c r="K7630" s="226"/>
      <c r="L7630" s="226"/>
      <c r="M7630" s="101"/>
      <c r="N7630" s="101"/>
    </row>
    <row r="7631" spans="7:14" hidden="1" x14ac:dyDescent="0.3">
      <c r="G7631" s="101"/>
      <c r="H7631" s="101"/>
      <c r="I7631" s="101"/>
      <c r="K7631" s="226"/>
      <c r="L7631" s="226"/>
      <c r="M7631" s="101"/>
      <c r="N7631" s="101"/>
    </row>
    <row r="7632" spans="7:14" hidden="1" x14ac:dyDescent="0.3">
      <c r="G7632" s="101"/>
      <c r="H7632" s="101"/>
      <c r="I7632" s="101"/>
      <c r="K7632" s="226"/>
      <c r="L7632" s="226"/>
      <c r="M7632" s="101"/>
      <c r="N7632" s="101"/>
    </row>
    <row r="7633" spans="7:14" hidden="1" x14ac:dyDescent="0.3">
      <c r="G7633" s="101"/>
      <c r="H7633" s="101"/>
      <c r="I7633" s="101"/>
      <c r="K7633" s="226"/>
      <c r="L7633" s="226"/>
      <c r="M7633" s="101"/>
      <c r="N7633" s="101"/>
    </row>
    <row r="7634" spans="7:14" hidden="1" x14ac:dyDescent="0.3">
      <c r="G7634" s="101"/>
      <c r="H7634" s="101"/>
      <c r="I7634" s="101"/>
      <c r="K7634" s="226"/>
      <c r="L7634" s="226"/>
      <c r="M7634" s="101"/>
      <c r="N7634" s="101"/>
    </row>
    <row r="7635" spans="7:14" hidden="1" x14ac:dyDescent="0.3">
      <c r="G7635" s="101"/>
      <c r="H7635" s="101"/>
      <c r="I7635" s="101"/>
      <c r="K7635" s="226"/>
      <c r="L7635" s="226"/>
      <c r="M7635" s="101"/>
      <c r="N7635" s="101"/>
    </row>
    <row r="7636" spans="7:14" hidden="1" x14ac:dyDescent="0.3">
      <c r="G7636" s="101"/>
      <c r="H7636" s="101"/>
      <c r="I7636" s="101"/>
      <c r="K7636" s="226"/>
      <c r="L7636" s="226"/>
      <c r="M7636" s="101"/>
      <c r="N7636" s="101"/>
    </row>
    <row r="7637" spans="7:14" hidden="1" x14ac:dyDescent="0.3">
      <c r="G7637" s="101"/>
      <c r="H7637" s="101"/>
      <c r="I7637" s="101"/>
      <c r="K7637" s="226"/>
      <c r="L7637" s="226"/>
      <c r="M7637" s="101"/>
      <c r="N7637" s="101"/>
    </row>
    <row r="7638" spans="7:14" hidden="1" x14ac:dyDescent="0.3">
      <c r="G7638" s="101"/>
      <c r="H7638" s="101"/>
      <c r="I7638" s="101"/>
      <c r="K7638" s="226"/>
      <c r="L7638" s="226"/>
      <c r="M7638" s="101"/>
      <c r="N7638" s="101"/>
    </row>
    <row r="7639" spans="7:14" hidden="1" x14ac:dyDescent="0.3">
      <c r="G7639" s="101"/>
      <c r="H7639" s="101"/>
      <c r="I7639" s="101"/>
      <c r="K7639" s="226"/>
      <c r="L7639" s="226"/>
      <c r="M7639" s="101"/>
      <c r="N7639" s="101"/>
    </row>
    <row r="7640" spans="7:14" hidden="1" x14ac:dyDescent="0.3">
      <c r="G7640" s="101"/>
      <c r="H7640" s="101"/>
      <c r="I7640" s="101"/>
      <c r="K7640" s="226"/>
      <c r="L7640" s="226"/>
      <c r="M7640" s="101"/>
      <c r="N7640" s="101"/>
    </row>
    <row r="7641" spans="7:14" hidden="1" x14ac:dyDescent="0.3">
      <c r="G7641" s="101"/>
      <c r="H7641" s="101"/>
      <c r="I7641" s="101"/>
      <c r="K7641" s="226"/>
      <c r="L7641" s="226"/>
      <c r="M7641" s="101"/>
      <c r="N7641" s="101"/>
    </row>
    <row r="7642" spans="7:14" hidden="1" x14ac:dyDescent="0.3">
      <c r="G7642" s="101"/>
      <c r="H7642" s="101"/>
      <c r="I7642" s="101"/>
      <c r="K7642" s="226"/>
      <c r="L7642" s="226"/>
      <c r="M7642" s="101"/>
      <c r="N7642" s="101"/>
    </row>
    <row r="7643" spans="7:14" hidden="1" x14ac:dyDescent="0.3">
      <c r="G7643" s="101"/>
      <c r="H7643" s="101"/>
      <c r="I7643" s="101"/>
      <c r="K7643" s="226"/>
      <c r="L7643" s="226"/>
      <c r="M7643" s="101"/>
      <c r="N7643" s="101"/>
    </row>
    <row r="7644" spans="7:14" hidden="1" x14ac:dyDescent="0.3">
      <c r="G7644" s="101"/>
      <c r="H7644" s="101"/>
      <c r="I7644" s="101"/>
      <c r="K7644" s="226"/>
      <c r="L7644" s="226"/>
      <c r="M7644" s="101"/>
      <c r="N7644" s="101"/>
    </row>
    <row r="7645" spans="7:14" hidden="1" x14ac:dyDescent="0.3">
      <c r="G7645" s="101"/>
      <c r="H7645" s="101"/>
      <c r="I7645" s="101"/>
      <c r="K7645" s="226"/>
      <c r="L7645" s="226"/>
      <c r="M7645" s="101"/>
      <c r="N7645" s="101"/>
    </row>
    <row r="7646" spans="7:14" hidden="1" x14ac:dyDescent="0.3">
      <c r="G7646" s="101"/>
      <c r="H7646" s="101"/>
      <c r="I7646" s="101"/>
      <c r="K7646" s="226"/>
      <c r="L7646" s="226"/>
      <c r="M7646" s="101"/>
      <c r="N7646" s="101"/>
    </row>
    <row r="7647" spans="7:14" hidden="1" x14ac:dyDescent="0.3">
      <c r="G7647" s="101"/>
      <c r="H7647" s="101"/>
      <c r="I7647" s="101"/>
      <c r="K7647" s="226"/>
      <c r="L7647" s="226"/>
      <c r="M7647" s="101"/>
      <c r="N7647" s="101"/>
    </row>
    <row r="7648" spans="7:14" hidden="1" x14ac:dyDescent="0.3">
      <c r="G7648" s="101"/>
      <c r="H7648" s="101"/>
      <c r="I7648" s="101"/>
      <c r="K7648" s="226"/>
      <c r="L7648" s="226"/>
      <c r="M7648" s="101"/>
      <c r="N7648" s="101"/>
    </row>
    <row r="7649" spans="7:14" hidden="1" x14ac:dyDescent="0.3">
      <c r="G7649" s="101"/>
      <c r="H7649" s="101"/>
      <c r="I7649" s="101"/>
      <c r="K7649" s="226"/>
      <c r="L7649" s="226"/>
      <c r="M7649" s="101"/>
      <c r="N7649" s="101"/>
    </row>
    <row r="7650" spans="7:14" hidden="1" x14ac:dyDescent="0.3">
      <c r="G7650" s="101"/>
      <c r="H7650" s="101"/>
      <c r="I7650" s="101"/>
      <c r="K7650" s="226"/>
      <c r="L7650" s="226"/>
      <c r="M7650" s="101"/>
      <c r="N7650" s="101"/>
    </row>
    <row r="7651" spans="7:14" hidden="1" x14ac:dyDescent="0.3">
      <c r="G7651" s="101"/>
      <c r="H7651" s="101"/>
      <c r="I7651" s="101"/>
      <c r="K7651" s="226"/>
      <c r="L7651" s="226"/>
      <c r="M7651" s="101"/>
      <c r="N7651" s="101"/>
    </row>
    <row r="7652" spans="7:14" hidden="1" x14ac:dyDescent="0.3">
      <c r="G7652" s="101"/>
      <c r="H7652" s="101"/>
      <c r="I7652" s="101"/>
      <c r="K7652" s="226"/>
      <c r="L7652" s="226"/>
      <c r="M7652" s="101"/>
      <c r="N7652" s="101"/>
    </row>
    <row r="7653" spans="7:14" hidden="1" x14ac:dyDescent="0.3">
      <c r="G7653" s="101"/>
      <c r="H7653" s="101"/>
      <c r="I7653" s="101"/>
      <c r="K7653" s="226"/>
      <c r="L7653" s="226"/>
      <c r="M7653" s="101"/>
      <c r="N7653" s="101"/>
    </row>
    <row r="7654" spans="7:14" hidden="1" x14ac:dyDescent="0.3">
      <c r="G7654" s="101"/>
      <c r="H7654" s="101"/>
      <c r="I7654" s="101"/>
      <c r="K7654" s="226"/>
      <c r="L7654" s="226"/>
      <c r="M7654" s="101"/>
      <c r="N7654" s="101"/>
    </row>
    <row r="7655" spans="7:14" hidden="1" x14ac:dyDescent="0.3">
      <c r="G7655" s="101"/>
      <c r="H7655" s="101"/>
      <c r="I7655" s="101"/>
      <c r="K7655" s="226"/>
      <c r="L7655" s="226"/>
      <c r="M7655" s="101"/>
      <c r="N7655" s="101"/>
    </row>
    <row r="7656" spans="7:14" hidden="1" x14ac:dyDescent="0.3">
      <c r="G7656" s="101"/>
      <c r="H7656" s="101"/>
      <c r="I7656" s="101"/>
      <c r="K7656" s="226"/>
      <c r="L7656" s="226"/>
      <c r="M7656" s="101"/>
      <c r="N7656" s="101"/>
    </row>
    <row r="7657" spans="7:14" hidden="1" x14ac:dyDescent="0.3">
      <c r="G7657" s="101"/>
      <c r="H7657" s="101"/>
      <c r="I7657" s="101"/>
      <c r="K7657" s="226"/>
      <c r="L7657" s="226"/>
      <c r="M7657" s="101"/>
      <c r="N7657" s="101"/>
    </row>
    <row r="7658" spans="7:14" hidden="1" x14ac:dyDescent="0.3">
      <c r="G7658" s="101"/>
      <c r="H7658" s="101"/>
      <c r="I7658" s="101"/>
      <c r="K7658" s="226"/>
      <c r="L7658" s="226"/>
      <c r="M7658" s="101"/>
      <c r="N7658" s="101"/>
    </row>
    <row r="7659" spans="7:14" hidden="1" x14ac:dyDescent="0.3">
      <c r="G7659" s="101"/>
      <c r="H7659" s="101"/>
      <c r="I7659" s="101"/>
      <c r="K7659" s="226"/>
      <c r="L7659" s="226"/>
      <c r="M7659" s="101"/>
      <c r="N7659" s="101"/>
    </row>
    <row r="7660" spans="7:14" hidden="1" x14ac:dyDescent="0.3">
      <c r="G7660" s="101"/>
      <c r="H7660" s="101"/>
      <c r="I7660" s="101"/>
      <c r="K7660" s="226"/>
      <c r="L7660" s="226"/>
      <c r="M7660" s="101"/>
      <c r="N7660" s="101"/>
    </row>
    <row r="7661" spans="7:14" hidden="1" x14ac:dyDescent="0.3">
      <c r="G7661" s="101"/>
      <c r="H7661" s="101"/>
      <c r="I7661" s="101"/>
      <c r="K7661" s="226"/>
      <c r="L7661" s="226"/>
      <c r="M7661" s="101"/>
      <c r="N7661" s="101"/>
    </row>
    <row r="7662" spans="7:14" hidden="1" x14ac:dyDescent="0.3">
      <c r="G7662" s="101"/>
      <c r="H7662" s="101"/>
      <c r="I7662" s="101"/>
      <c r="K7662" s="226"/>
      <c r="L7662" s="226"/>
      <c r="M7662" s="101"/>
      <c r="N7662" s="101"/>
    </row>
    <row r="7663" spans="7:14" hidden="1" x14ac:dyDescent="0.3">
      <c r="G7663" s="101"/>
      <c r="H7663" s="101"/>
      <c r="I7663" s="101"/>
      <c r="K7663" s="226"/>
      <c r="L7663" s="226"/>
      <c r="M7663" s="101"/>
      <c r="N7663" s="101"/>
    </row>
    <row r="7664" spans="7:14" hidden="1" x14ac:dyDescent="0.3">
      <c r="G7664" s="101"/>
      <c r="H7664" s="101"/>
      <c r="I7664" s="101"/>
      <c r="K7664" s="226"/>
      <c r="L7664" s="226"/>
      <c r="M7664" s="101"/>
      <c r="N7664" s="101"/>
    </row>
    <row r="7665" spans="7:14" hidden="1" x14ac:dyDescent="0.3">
      <c r="G7665" s="101"/>
      <c r="H7665" s="101"/>
      <c r="I7665" s="101"/>
      <c r="K7665" s="226"/>
      <c r="L7665" s="226"/>
      <c r="M7665" s="101"/>
      <c r="N7665" s="101"/>
    </row>
    <row r="7666" spans="7:14" hidden="1" x14ac:dyDescent="0.3">
      <c r="G7666" s="101"/>
      <c r="H7666" s="101"/>
      <c r="I7666" s="101"/>
      <c r="K7666" s="226"/>
      <c r="L7666" s="226"/>
      <c r="M7666" s="101"/>
      <c r="N7666" s="101"/>
    </row>
    <row r="7667" spans="7:14" hidden="1" x14ac:dyDescent="0.3">
      <c r="G7667" s="101"/>
      <c r="H7667" s="101"/>
      <c r="I7667" s="101"/>
      <c r="K7667" s="226"/>
      <c r="L7667" s="226"/>
      <c r="M7667" s="101"/>
      <c r="N7667" s="101"/>
    </row>
    <row r="7668" spans="7:14" hidden="1" x14ac:dyDescent="0.3">
      <c r="G7668" s="101"/>
      <c r="H7668" s="101"/>
      <c r="I7668" s="101"/>
      <c r="K7668" s="226"/>
      <c r="L7668" s="226"/>
      <c r="M7668" s="101"/>
      <c r="N7668" s="101"/>
    </row>
    <row r="7669" spans="7:14" hidden="1" x14ac:dyDescent="0.3">
      <c r="G7669" s="101"/>
      <c r="H7669" s="101"/>
      <c r="I7669" s="101"/>
      <c r="K7669" s="226"/>
      <c r="L7669" s="226"/>
      <c r="M7669" s="101"/>
      <c r="N7669" s="101"/>
    </row>
    <row r="7670" spans="7:14" hidden="1" x14ac:dyDescent="0.3">
      <c r="G7670" s="101"/>
      <c r="H7670" s="101"/>
      <c r="I7670" s="101"/>
      <c r="K7670" s="226"/>
      <c r="L7670" s="226"/>
      <c r="M7670" s="101"/>
      <c r="N7670" s="101"/>
    </row>
    <row r="7671" spans="7:14" hidden="1" x14ac:dyDescent="0.3">
      <c r="G7671" s="101"/>
      <c r="H7671" s="101"/>
      <c r="I7671" s="101"/>
      <c r="K7671" s="226"/>
      <c r="L7671" s="226"/>
      <c r="M7671" s="101"/>
      <c r="N7671" s="101"/>
    </row>
    <row r="7672" spans="7:14" hidden="1" x14ac:dyDescent="0.3">
      <c r="G7672" s="101"/>
      <c r="H7672" s="101"/>
      <c r="I7672" s="101"/>
      <c r="K7672" s="226"/>
      <c r="L7672" s="226"/>
      <c r="M7672" s="101"/>
      <c r="N7672" s="101"/>
    </row>
    <row r="7673" spans="7:14" hidden="1" x14ac:dyDescent="0.3">
      <c r="G7673" s="101"/>
      <c r="H7673" s="101"/>
      <c r="I7673" s="101"/>
      <c r="K7673" s="226"/>
      <c r="L7673" s="226"/>
      <c r="M7673" s="101"/>
      <c r="N7673" s="101"/>
    </row>
    <row r="7674" spans="7:14" hidden="1" x14ac:dyDescent="0.3">
      <c r="G7674" s="101"/>
      <c r="H7674" s="101"/>
      <c r="I7674" s="101"/>
      <c r="K7674" s="226"/>
      <c r="L7674" s="226"/>
      <c r="M7674" s="101"/>
      <c r="N7674" s="101"/>
    </row>
    <row r="7675" spans="7:14" hidden="1" x14ac:dyDescent="0.3">
      <c r="G7675" s="101"/>
      <c r="H7675" s="101"/>
      <c r="I7675" s="101"/>
      <c r="K7675" s="226"/>
      <c r="L7675" s="226"/>
      <c r="M7675" s="101"/>
      <c r="N7675" s="101"/>
    </row>
    <row r="7676" spans="7:14" hidden="1" x14ac:dyDescent="0.3">
      <c r="G7676" s="101"/>
      <c r="H7676" s="101"/>
      <c r="I7676" s="101"/>
      <c r="K7676" s="226"/>
      <c r="L7676" s="226"/>
      <c r="M7676" s="101"/>
      <c r="N7676" s="101"/>
    </row>
    <row r="7677" spans="7:14" hidden="1" x14ac:dyDescent="0.3">
      <c r="G7677" s="101"/>
      <c r="H7677" s="101"/>
      <c r="I7677" s="101"/>
      <c r="K7677" s="226"/>
      <c r="L7677" s="226"/>
      <c r="M7677" s="101"/>
      <c r="N7677" s="101"/>
    </row>
    <row r="7678" spans="7:14" hidden="1" x14ac:dyDescent="0.3">
      <c r="G7678" s="101"/>
      <c r="H7678" s="101"/>
      <c r="I7678" s="101"/>
      <c r="K7678" s="226"/>
      <c r="L7678" s="226"/>
      <c r="M7678" s="101"/>
      <c r="N7678" s="101"/>
    </row>
    <row r="7679" spans="7:14" hidden="1" x14ac:dyDescent="0.3">
      <c r="G7679" s="101"/>
      <c r="H7679" s="101"/>
      <c r="I7679" s="101"/>
      <c r="K7679" s="226"/>
      <c r="L7679" s="226"/>
      <c r="M7679" s="101"/>
      <c r="N7679" s="101"/>
    </row>
    <row r="7680" spans="7:14" hidden="1" x14ac:dyDescent="0.3">
      <c r="G7680" s="101"/>
      <c r="H7680" s="101"/>
      <c r="I7680" s="101"/>
      <c r="K7680" s="226"/>
      <c r="L7680" s="226"/>
      <c r="M7680" s="101"/>
      <c r="N7680" s="101"/>
    </row>
    <row r="7681" spans="7:14" hidden="1" x14ac:dyDescent="0.3">
      <c r="G7681" s="101"/>
      <c r="H7681" s="101"/>
      <c r="I7681" s="101"/>
      <c r="K7681" s="226"/>
      <c r="L7681" s="226"/>
      <c r="M7681" s="101"/>
      <c r="N7681" s="101"/>
    </row>
    <row r="7682" spans="7:14" hidden="1" x14ac:dyDescent="0.3">
      <c r="G7682" s="101"/>
      <c r="H7682" s="101"/>
      <c r="I7682" s="101"/>
      <c r="K7682" s="226"/>
      <c r="L7682" s="226"/>
      <c r="M7682" s="101"/>
      <c r="N7682" s="101"/>
    </row>
    <row r="7683" spans="7:14" hidden="1" x14ac:dyDescent="0.3">
      <c r="G7683" s="101"/>
      <c r="H7683" s="101"/>
      <c r="I7683" s="101"/>
      <c r="K7683" s="226"/>
      <c r="L7683" s="226"/>
      <c r="M7683" s="101"/>
      <c r="N7683" s="101"/>
    </row>
    <row r="7684" spans="7:14" hidden="1" x14ac:dyDescent="0.3">
      <c r="G7684" s="101"/>
      <c r="H7684" s="101"/>
      <c r="I7684" s="101"/>
      <c r="K7684" s="226"/>
      <c r="L7684" s="226"/>
      <c r="M7684" s="101"/>
      <c r="N7684" s="101"/>
    </row>
    <row r="7685" spans="7:14" hidden="1" x14ac:dyDescent="0.3">
      <c r="G7685" s="101"/>
      <c r="H7685" s="101"/>
      <c r="I7685" s="101"/>
      <c r="K7685" s="226"/>
      <c r="L7685" s="226"/>
      <c r="M7685" s="101"/>
      <c r="N7685" s="101"/>
    </row>
    <row r="7686" spans="7:14" hidden="1" x14ac:dyDescent="0.3">
      <c r="G7686" s="101"/>
      <c r="H7686" s="101"/>
      <c r="I7686" s="101"/>
      <c r="K7686" s="226"/>
      <c r="L7686" s="226"/>
      <c r="M7686" s="101"/>
      <c r="N7686" s="101"/>
    </row>
    <row r="7687" spans="7:14" hidden="1" x14ac:dyDescent="0.3">
      <c r="G7687" s="101"/>
      <c r="H7687" s="101"/>
      <c r="I7687" s="101"/>
      <c r="K7687" s="226"/>
      <c r="L7687" s="226"/>
      <c r="M7687" s="101"/>
      <c r="N7687" s="101"/>
    </row>
    <row r="7688" spans="7:14" hidden="1" x14ac:dyDescent="0.3">
      <c r="G7688" s="101"/>
      <c r="H7688" s="101"/>
      <c r="I7688" s="101"/>
      <c r="K7688" s="226"/>
      <c r="L7688" s="226"/>
      <c r="M7688" s="101"/>
      <c r="N7688" s="101"/>
    </row>
    <row r="7689" spans="7:14" hidden="1" x14ac:dyDescent="0.3">
      <c r="G7689" s="101"/>
      <c r="H7689" s="101"/>
      <c r="I7689" s="101"/>
      <c r="K7689" s="226"/>
      <c r="L7689" s="226"/>
      <c r="M7689" s="101"/>
      <c r="N7689" s="101"/>
    </row>
    <row r="7690" spans="7:14" hidden="1" x14ac:dyDescent="0.3">
      <c r="G7690" s="101"/>
      <c r="H7690" s="101"/>
      <c r="I7690" s="101"/>
      <c r="K7690" s="226"/>
      <c r="L7690" s="226"/>
      <c r="M7690" s="101"/>
      <c r="N7690" s="101"/>
    </row>
    <row r="7691" spans="7:14" hidden="1" x14ac:dyDescent="0.3">
      <c r="G7691" s="101"/>
      <c r="H7691" s="101"/>
      <c r="I7691" s="101"/>
      <c r="K7691" s="226"/>
      <c r="L7691" s="226"/>
      <c r="M7691" s="101"/>
      <c r="N7691" s="101"/>
    </row>
    <row r="7692" spans="7:14" hidden="1" x14ac:dyDescent="0.3">
      <c r="G7692" s="101"/>
      <c r="H7692" s="101"/>
      <c r="I7692" s="101"/>
      <c r="K7692" s="226"/>
      <c r="L7692" s="226"/>
      <c r="M7692" s="101"/>
      <c r="N7692" s="101"/>
    </row>
    <row r="7693" spans="7:14" hidden="1" x14ac:dyDescent="0.3">
      <c r="G7693" s="101"/>
      <c r="H7693" s="101"/>
      <c r="I7693" s="101"/>
      <c r="K7693" s="226"/>
      <c r="L7693" s="226"/>
      <c r="M7693" s="101"/>
      <c r="N7693" s="101"/>
    </row>
    <row r="7694" spans="7:14" hidden="1" x14ac:dyDescent="0.3">
      <c r="G7694" s="101"/>
      <c r="H7694" s="101"/>
      <c r="I7694" s="101"/>
      <c r="K7694" s="226"/>
      <c r="L7694" s="226"/>
      <c r="M7694" s="101"/>
      <c r="N7694" s="101"/>
    </row>
    <row r="7695" spans="7:14" hidden="1" x14ac:dyDescent="0.3">
      <c r="G7695" s="101"/>
      <c r="H7695" s="101"/>
      <c r="I7695" s="101"/>
      <c r="K7695" s="226"/>
      <c r="L7695" s="226"/>
      <c r="M7695" s="101"/>
      <c r="N7695" s="101"/>
    </row>
    <row r="7696" spans="7:14" hidden="1" x14ac:dyDescent="0.3">
      <c r="G7696" s="101"/>
      <c r="H7696" s="101"/>
      <c r="I7696" s="101"/>
      <c r="K7696" s="226"/>
      <c r="L7696" s="226"/>
      <c r="M7696" s="101"/>
      <c r="N7696" s="101"/>
    </row>
    <row r="7697" spans="7:14" hidden="1" x14ac:dyDescent="0.3">
      <c r="G7697" s="101"/>
      <c r="H7697" s="101"/>
      <c r="I7697" s="101"/>
      <c r="K7697" s="226"/>
      <c r="L7697" s="226"/>
      <c r="M7697" s="101"/>
      <c r="N7697" s="101"/>
    </row>
    <row r="7698" spans="7:14" hidden="1" x14ac:dyDescent="0.3">
      <c r="G7698" s="101"/>
      <c r="H7698" s="101"/>
      <c r="I7698" s="101"/>
      <c r="K7698" s="226"/>
      <c r="L7698" s="226"/>
      <c r="M7698" s="101"/>
      <c r="N7698" s="101"/>
    </row>
    <row r="7699" spans="7:14" hidden="1" x14ac:dyDescent="0.3">
      <c r="G7699" s="101"/>
      <c r="H7699" s="101"/>
      <c r="I7699" s="101"/>
      <c r="K7699" s="226"/>
      <c r="L7699" s="226"/>
      <c r="M7699" s="101"/>
      <c r="N7699" s="101"/>
    </row>
    <row r="7700" spans="7:14" hidden="1" x14ac:dyDescent="0.3">
      <c r="G7700" s="101"/>
      <c r="H7700" s="101"/>
      <c r="I7700" s="101"/>
      <c r="K7700" s="226"/>
      <c r="L7700" s="226"/>
      <c r="M7700" s="101"/>
      <c r="N7700" s="101"/>
    </row>
    <row r="7701" spans="7:14" hidden="1" x14ac:dyDescent="0.3">
      <c r="G7701" s="101"/>
      <c r="H7701" s="101"/>
      <c r="I7701" s="101"/>
      <c r="K7701" s="226"/>
      <c r="L7701" s="226"/>
      <c r="M7701" s="101"/>
      <c r="N7701" s="101"/>
    </row>
    <row r="7702" spans="7:14" hidden="1" x14ac:dyDescent="0.3">
      <c r="G7702" s="101"/>
      <c r="H7702" s="101"/>
      <c r="I7702" s="101"/>
      <c r="K7702" s="226"/>
      <c r="L7702" s="226"/>
      <c r="M7702" s="101"/>
      <c r="N7702" s="101"/>
    </row>
    <row r="7703" spans="7:14" hidden="1" x14ac:dyDescent="0.3">
      <c r="G7703" s="101"/>
      <c r="H7703" s="101"/>
      <c r="I7703" s="101"/>
      <c r="K7703" s="226"/>
      <c r="L7703" s="226"/>
      <c r="M7703" s="101"/>
      <c r="N7703" s="101"/>
    </row>
    <row r="7704" spans="7:14" hidden="1" x14ac:dyDescent="0.3">
      <c r="G7704" s="101"/>
      <c r="H7704" s="101"/>
      <c r="I7704" s="101"/>
      <c r="K7704" s="226"/>
      <c r="L7704" s="226"/>
      <c r="M7704" s="101"/>
      <c r="N7704" s="101"/>
    </row>
    <row r="7705" spans="7:14" hidden="1" x14ac:dyDescent="0.3">
      <c r="G7705" s="101"/>
      <c r="H7705" s="101"/>
      <c r="I7705" s="101"/>
      <c r="K7705" s="226"/>
      <c r="L7705" s="226"/>
      <c r="M7705" s="101"/>
      <c r="N7705" s="101"/>
    </row>
    <row r="7706" spans="7:14" hidden="1" x14ac:dyDescent="0.3">
      <c r="G7706" s="101"/>
      <c r="H7706" s="101"/>
      <c r="I7706" s="101"/>
      <c r="K7706" s="226"/>
      <c r="L7706" s="226"/>
      <c r="M7706" s="101"/>
      <c r="N7706" s="101"/>
    </row>
    <row r="7707" spans="7:14" hidden="1" x14ac:dyDescent="0.3">
      <c r="G7707" s="101"/>
      <c r="H7707" s="101"/>
      <c r="I7707" s="101"/>
      <c r="K7707" s="226"/>
      <c r="L7707" s="226"/>
      <c r="M7707" s="101"/>
      <c r="N7707" s="101"/>
    </row>
    <row r="7708" spans="7:14" hidden="1" x14ac:dyDescent="0.3">
      <c r="G7708" s="101"/>
      <c r="H7708" s="101"/>
      <c r="I7708" s="101"/>
      <c r="K7708" s="226"/>
      <c r="L7708" s="226"/>
      <c r="M7708" s="101"/>
      <c r="N7708" s="101"/>
    </row>
    <row r="7709" spans="7:14" hidden="1" x14ac:dyDescent="0.3">
      <c r="G7709" s="101"/>
      <c r="H7709" s="101"/>
      <c r="I7709" s="101"/>
      <c r="K7709" s="226"/>
      <c r="L7709" s="226"/>
      <c r="M7709" s="101"/>
      <c r="N7709" s="101"/>
    </row>
    <row r="7710" spans="7:14" hidden="1" x14ac:dyDescent="0.3">
      <c r="G7710" s="101"/>
      <c r="H7710" s="101"/>
      <c r="I7710" s="101"/>
      <c r="K7710" s="226"/>
      <c r="L7710" s="226"/>
      <c r="M7710" s="101"/>
      <c r="N7710" s="101"/>
    </row>
    <row r="7711" spans="7:14" hidden="1" x14ac:dyDescent="0.3">
      <c r="G7711" s="101"/>
      <c r="H7711" s="101"/>
      <c r="I7711" s="101"/>
      <c r="K7711" s="226"/>
      <c r="L7711" s="226"/>
      <c r="M7711" s="101"/>
      <c r="N7711" s="101"/>
    </row>
    <row r="7712" spans="7:14" hidden="1" x14ac:dyDescent="0.3">
      <c r="G7712" s="101"/>
      <c r="H7712" s="101"/>
      <c r="I7712" s="101"/>
      <c r="K7712" s="226"/>
      <c r="L7712" s="226"/>
      <c r="M7712" s="101"/>
      <c r="N7712" s="101"/>
    </row>
    <row r="7713" spans="7:14" hidden="1" x14ac:dyDescent="0.3">
      <c r="G7713" s="101"/>
      <c r="H7713" s="101"/>
      <c r="I7713" s="101"/>
      <c r="K7713" s="226"/>
      <c r="L7713" s="226"/>
      <c r="M7713" s="101"/>
      <c r="N7713" s="101"/>
    </row>
    <row r="7714" spans="7:14" hidden="1" x14ac:dyDescent="0.3">
      <c r="G7714" s="101"/>
      <c r="H7714" s="101"/>
      <c r="I7714" s="101"/>
      <c r="K7714" s="226"/>
      <c r="L7714" s="226"/>
      <c r="M7714" s="101"/>
      <c r="N7714" s="101"/>
    </row>
    <row r="7715" spans="7:14" hidden="1" x14ac:dyDescent="0.3">
      <c r="G7715" s="101"/>
      <c r="H7715" s="101"/>
      <c r="I7715" s="101"/>
      <c r="K7715" s="226"/>
      <c r="L7715" s="226"/>
      <c r="M7715" s="101"/>
      <c r="N7715" s="101"/>
    </row>
    <row r="7716" spans="7:14" hidden="1" x14ac:dyDescent="0.3">
      <c r="G7716" s="101"/>
      <c r="H7716" s="101"/>
      <c r="I7716" s="101"/>
      <c r="K7716" s="226"/>
      <c r="L7716" s="226"/>
      <c r="M7716" s="101"/>
      <c r="N7716" s="101"/>
    </row>
    <row r="7717" spans="7:14" hidden="1" x14ac:dyDescent="0.3">
      <c r="G7717" s="101"/>
      <c r="H7717" s="101"/>
      <c r="I7717" s="101"/>
      <c r="K7717" s="226"/>
      <c r="L7717" s="226"/>
      <c r="M7717" s="101"/>
      <c r="N7717" s="101"/>
    </row>
    <row r="7718" spans="7:14" hidden="1" x14ac:dyDescent="0.3">
      <c r="G7718" s="101"/>
      <c r="H7718" s="101"/>
      <c r="I7718" s="101"/>
      <c r="K7718" s="226"/>
      <c r="L7718" s="226"/>
      <c r="M7718" s="101"/>
      <c r="N7718" s="101"/>
    </row>
    <row r="7719" spans="7:14" hidden="1" x14ac:dyDescent="0.3">
      <c r="G7719" s="101"/>
      <c r="H7719" s="101"/>
      <c r="I7719" s="101"/>
      <c r="K7719" s="226"/>
      <c r="L7719" s="226"/>
      <c r="M7719" s="101"/>
      <c r="N7719" s="101"/>
    </row>
    <row r="7720" spans="7:14" hidden="1" x14ac:dyDescent="0.3">
      <c r="G7720" s="101"/>
      <c r="H7720" s="101"/>
      <c r="I7720" s="101"/>
      <c r="K7720" s="226"/>
      <c r="L7720" s="226"/>
      <c r="M7720" s="101"/>
      <c r="N7720" s="101"/>
    </row>
    <row r="7721" spans="7:14" hidden="1" x14ac:dyDescent="0.3">
      <c r="G7721" s="101"/>
      <c r="H7721" s="101"/>
      <c r="I7721" s="101"/>
      <c r="K7721" s="226"/>
      <c r="L7721" s="226"/>
      <c r="M7721" s="101"/>
      <c r="N7721" s="101"/>
    </row>
    <row r="7722" spans="7:14" hidden="1" x14ac:dyDescent="0.3">
      <c r="G7722" s="101"/>
      <c r="H7722" s="101"/>
      <c r="I7722" s="101"/>
      <c r="K7722" s="226"/>
      <c r="L7722" s="226"/>
      <c r="M7722" s="101"/>
      <c r="N7722" s="101"/>
    </row>
    <row r="7723" spans="7:14" hidden="1" x14ac:dyDescent="0.3">
      <c r="G7723" s="101"/>
      <c r="H7723" s="101"/>
      <c r="I7723" s="101"/>
      <c r="K7723" s="226"/>
      <c r="L7723" s="226"/>
      <c r="M7723" s="101"/>
      <c r="N7723" s="101"/>
    </row>
    <row r="7724" spans="7:14" hidden="1" x14ac:dyDescent="0.3">
      <c r="G7724" s="101"/>
      <c r="H7724" s="101"/>
      <c r="I7724" s="101"/>
      <c r="K7724" s="226"/>
      <c r="L7724" s="226"/>
      <c r="M7724" s="101"/>
      <c r="N7724" s="101"/>
    </row>
    <row r="7725" spans="7:14" hidden="1" x14ac:dyDescent="0.3">
      <c r="G7725" s="101"/>
      <c r="H7725" s="101"/>
      <c r="I7725" s="101"/>
      <c r="K7725" s="226"/>
      <c r="L7725" s="226"/>
      <c r="M7725" s="101"/>
      <c r="N7725" s="101"/>
    </row>
    <row r="7726" spans="7:14" hidden="1" x14ac:dyDescent="0.3">
      <c r="G7726" s="101"/>
      <c r="H7726" s="101"/>
      <c r="I7726" s="101"/>
      <c r="K7726" s="226"/>
      <c r="L7726" s="226"/>
      <c r="M7726" s="101"/>
      <c r="N7726" s="101"/>
    </row>
    <row r="7727" spans="7:14" hidden="1" x14ac:dyDescent="0.3">
      <c r="G7727" s="101"/>
      <c r="H7727" s="101"/>
      <c r="I7727" s="101"/>
      <c r="K7727" s="226"/>
      <c r="L7727" s="226"/>
      <c r="M7727" s="101"/>
      <c r="N7727" s="101"/>
    </row>
    <row r="7728" spans="7:14" hidden="1" x14ac:dyDescent="0.3">
      <c r="G7728" s="101"/>
      <c r="H7728" s="101"/>
      <c r="I7728" s="101"/>
      <c r="K7728" s="226"/>
      <c r="L7728" s="226"/>
      <c r="M7728" s="101"/>
      <c r="N7728" s="101"/>
    </row>
    <row r="7729" spans="7:14" hidden="1" x14ac:dyDescent="0.3">
      <c r="G7729" s="101"/>
      <c r="H7729" s="101"/>
      <c r="I7729" s="101"/>
      <c r="K7729" s="226"/>
      <c r="L7729" s="226"/>
      <c r="M7729" s="101"/>
      <c r="N7729" s="101"/>
    </row>
    <row r="7730" spans="7:14" hidden="1" x14ac:dyDescent="0.3">
      <c r="G7730" s="101"/>
      <c r="H7730" s="101"/>
      <c r="I7730" s="101"/>
      <c r="K7730" s="226"/>
      <c r="L7730" s="226"/>
      <c r="M7730" s="101"/>
      <c r="N7730" s="101"/>
    </row>
    <row r="7731" spans="7:14" hidden="1" x14ac:dyDescent="0.3">
      <c r="G7731" s="101"/>
      <c r="H7731" s="101"/>
      <c r="I7731" s="101"/>
      <c r="K7731" s="226"/>
      <c r="L7731" s="226"/>
      <c r="M7731" s="101"/>
      <c r="N7731" s="101"/>
    </row>
    <row r="7732" spans="7:14" hidden="1" x14ac:dyDescent="0.3">
      <c r="G7732" s="101"/>
      <c r="H7732" s="101"/>
      <c r="I7732" s="101"/>
      <c r="K7732" s="226"/>
      <c r="L7732" s="226"/>
      <c r="M7732" s="101"/>
      <c r="N7732" s="101"/>
    </row>
    <row r="7733" spans="7:14" hidden="1" x14ac:dyDescent="0.3">
      <c r="G7733" s="101"/>
      <c r="H7733" s="101"/>
      <c r="I7733" s="101"/>
      <c r="K7733" s="226"/>
      <c r="L7733" s="226"/>
      <c r="M7733" s="101"/>
      <c r="N7733" s="101"/>
    </row>
    <row r="7734" spans="7:14" hidden="1" x14ac:dyDescent="0.3">
      <c r="G7734" s="101"/>
      <c r="H7734" s="101"/>
      <c r="I7734" s="101"/>
      <c r="K7734" s="226"/>
      <c r="L7734" s="226"/>
      <c r="M7734" s="101"/>
      <c r="N7734" s="101"/>
    </row>
    <row r="7735" spans="7:14" hidden="1" x14ac:dyDescent="0.3">
      <c r="G7735" s="101"/>
      <c r="H7735" s="101"/>
      <c r="I7735" s="101"/>
      <c r="K7735" s="226"/>
      <c r="L7735" s="226"/>
      <c r="M7735" s="101"/>
      <c r="N7735" s="101"/>
    </row>
    <row r="7736" spans="7:14" hidden="1" x14ac:dyDescent="0.3">
      <c r="G7736" s="101"/>
      <c r="H7736" s="101"/>
      <c r="I7736" s="101"/>
      <c r="K7736" s="226"/>
      <c r="L7736" s="226"/>
      <c r="M7736" s="101"/>
      <c r="N7736" s="101"/>
    </row>
    <row r="7737" spans="7:14" hidden="1" x14ac:dyDescent="0.3">
      <c r="G7737" s="101"/>
      <c r="H7737" s="101"/>
      <c r="I7737" s="101"/>
      <c r="K7737" s="226"/>
      <c r="L7737" s="226"/>
      <c r="M7737" s="101"/>
      <c r="N7737" s="101"/>
    </row>
    <row r="7738" spans="7:14" hidden="1" x14ac:dyDescent="0.3">
      <c r="G7738" s="101"/>
      <c r="H7738" s="101"/>
      <c r="I7738" s="101"/>
      <c r="K7738" s="226"/>
      <c r="L7738" s="226"/>
      <c r="M7738" s="101"/>
      <c r="N7738" s="101"/>
    </row>
    <row r="7739" spans="7:14" hidden="1" x14ac:dyDescent="0.3">
      <c r="G7739" s="101"/>
      <c r="H7739" s="101"/>
      <c r="I7739" s="101"/>
      <c r="K7739" s="226"/>
      <c r="L7739" s="226"/>
      <c r="M7739" s="101"/>
      <c r="N7739" s="101"/>
    </row>
    <row r="7740" spans="7:14" hidden="1" x14ac:dyDescent="0.3">
      <c r="G7740" s="101"/>
      <c r="H7740" s="101"/>
      <c r="I7740" s="101"/>
      <c r="K7740" s="226"/>
      <c r="L7740" s="226"/>
      <c r="M7740" s="101"/>
      <c r="N7740" s="101"/>
    </row>
    <row r="7741" spans="7:14" hidden="1" x14ac:dyDescent="0.3">
      <c r="G7741" s="101"/>
      <c r="H7741" s="101"/>
      <c r="I7741" s="101"/>
      <c r="K7741" s="226"/>
      <c r="L7741" s="226"/>
      <c r="M7741" s="101"/>
      <c r="N7741" s="101"/>
    </row>
    <row r="7742" spans="7:14" hidden="1" x14ac:dyDescent="0.3">
      <c r="G7742" s="101"/>
      <c r="H7742" s="101"/>
      <c r="I7742" s="101"/>
      <c r="K7742" s="226"/>
      <c r="L7742" s="226"/>
      <c r="M7742" s="101"/>
      <c r="N7742" s="101"/>
    </row>
    <row r="7743" spans="7:14" hidden="1" x14ac:dyDescent="0.3">
      <c r="G7743" s="101"/>
      <c r="H7743" s="101"/>
      <c r="I7743" s="101"/>
      <c r="K7743" s="226"/>
      <c r="L7743" s="226"/>
      <c r="M7743" s="101"/>
      <c r="N7743" s="101"/>
    </row>
    <row r="7744" spans="7:14" hidden="1" x14ac:dyDescent="0.3">
      <c r="G7744" s="101"/>
      <c r="H7744" s="101"/>
      <c r="I7744" s="101"/>
      <c r="K7744" s="226"/>
      <c r="L7744" s="226"/>
      <c r="M7744" s="101"/>
      <c r="N7744" s="101"/>
    </row>
    <row r="7745" spans="7:14" hidden="1" x14ac:dyDescent="0.3">
      <c r="G7745" s="101"/>
      <c r="H7745" s="101"/>
      <c r="I7745" s="101"/>
      <c r="K7745" s="226"/>
      <c r="L7745" s="226"/>
      <c r="M7745" s="101"/>
      <c r="N7745" s="101"/>
    </row>
    <row r="7746" spans="7:14" hidden="1" x14ac:dyDescent="0.3">
      <c r="G7746" s="101"/>
      <c r="H7746" s="101"/>
      <c r="I7746" s="101"/>
      <c r="K7746" s="226"/>
      <c r="L7746" s="226"/>
      <c r="M7746" s="101"/>
      <c r="N7746" s="101"/>
    </row>
    <row r="7747" spans="7:14" hidden="1" x14ac:dyDescent="0.3">
      <c r="G7747" s="101"/>
      <c r="H7747" s="101"/>
      <c r="I7747" s="101"/>
      <c r="K7747" s="226"/>
      <c r="L7747" s="226"/>
      <c r="M7747" s="101"/>
      <c r="N7747" s="101"/>
    </row>
    <row r="7748" spans="7:14" hidden="1" x14ac:dyDescent="0.3">
      <c r="G7748" s="101"/>
      <c r="H7748" s="101"/>
      <c r="I7748" s="101"/>
      <c r="K7748" s="226"/>
      <c r="L7748" s="226"/>
      <c r="M7748" s="101"/>
      <c r="N7748" s="101"/>
    </row>
    <row r="7749" spans="7:14" hidden="1" x14ac:dyDescent="0.3">
      <c r="G7749" s="101"/>
      <c r="H7749" s="101"/>
      <c r="I7749" s="101"/>
      <c r="K7749" s="226"/>
      <c r="L7749" s="226"/>
      <c r="M7749" s="101"/>
      <c r="N7749" s="101"/>
    </row>
    <row r="7750" spans="7:14" hidden="1" x14ac:dyDescent="0.3">
      <c r="G7750" s="101"/>
      <c r="H7750" s="101"/>
      <c r="I7750" s="101"/>
      <c r="K7750" s="226"/>
      <c r="L7750" s="226"/>
      <c r="M7750" s="101"/>
      <c r="N7750" s="101"/>
    </row>
    <row r="7751" spans="7:14" hidden="1" x14ac:dyDescent="0.3">
      <c r="G7751" s="101"/>
      <c r="H7751" s="101"/>
      <c r="I7751" s="101"/>
      <c r="K7751" s="226"/>
      <c r="L7751" s="226"/>
      <c r="M7751" s="101"/>
      <c r="N7751" s="101"/>
    </row>
    <row r="7752" spans="7:14" hidden="1" x14ac:dyDescent="0.3">
      <c r="G7752" s="101"/>
      <c r="H7752" s="101"/>
      <c r="I7752" s="101"/>
      <c r="K7752" s="226"/>
      <c r="L7752" s="226"/>
      <c r="M7752" s="101"/>
      <c r="N7752" s="101"/>
    </row>
    <row r="7753" spans="7:14" hidden="1" x14ac:dyDescent="0.3">
      <c r="G7753" s="101"/>
      <c r="H7753" s="101"/>
      <c r="I7753" s="101"/>
      <c r="K7753" s="226"/>
      <c r="L7753" s="226"/>
      <c r="M7753" s="101"/>
      <c r="N7753" s="101"/>
    </row>
    <row r="7754" spans="7:14" hidden="1" x14ac:dyDescent="0.3">
      <c r="G7754" s="101"/>
      <c r="H7754" s="101"/>
      <c r="I7754" s="101"/>
      <c r="K7754" s="226"/>
      <c r="L7754" s="226"/>
      <c r="M7754" s="101"/>
      <c r="N7754" s="101"/>
    </row>
    <row r="7755" spans="7:14" hidden="1" x14ac:dyDescent="0.3">
      <c r="G7755" s="101"/>
      <c r="H7755" s="101"/>
      <c r="I7755" s="101"/>
      <c r="K7755" s="226"/>
      <c r="L7755" s="226"/>
      <c r="M7755" s="101"/>
      <c r="N7755" s="101"/>
    </row>
    <row r="7756" spans="7:14" hidden="1" x14ac:dyDescent="0.3">
      <c r="G7756" s="101"/>
      <c r="H7756" s="101"/>
      <c r="I7756" s="101"/>
      <c r="K7756" s="226"/>
      <c r="L7756" s="226"/>
      <c r="M7756" s="101"/>
      <c r="N7756" s="101"/>
    </row>
    <row r="7757" spans="7:14" hidden="1" x14ac:dyDescent="0.3">
      <c r="G7757" s="101"/>
      <c r="H7757" s="101"/>
      <c r="I7757" s="101"/>
      <c r="K7757" s="226"/>
      <c r="L7757" s="226"/>
      <c r="M7757" s="101"/>
      <c r="N7757" s="101"/>
    </row>
    <row r="7758" spans="7:14" hidden="1" x14ac:dyDescent="0.3">
      <c r="G7758" s="101"/>
      <c r="H7758" s="101"/>
      <c r="I7758" s="101"/>
      <c r="K7758" s="226"/>
      <c r="L7758" s="226"/>
      <c r="M7758" s="101"/>
      <c r="N7758" s="101"/>
    </row>
    <row r="7759" spans="7:14" hidden="1" x14ac:dyDescent="0.3">
      <c r="G7759" s="101"/>
      <c r="H7759" s="101"/>
      <c r="I7759" s="101"/>
      <c r="K7759" s="226"/>
      <c r="L7759" s="226"/>
      <c r="M7759" s="101"/>
      <c r="N7759" s="101"/>
    </row>
    <row r="7760" spans="7:14" hidden="1" x14ac:dyDescent="0.3">
      <c r="G7760" s="101"/>
      <c r="H7760" s="101"/>
      <c r="I7760" s="101"/>
      <c r="K7760" s="226"/>
      <c r="L7760" s="226"/>
      <c r="M7760" s="101"/>
      <c r="N7760" s="101"/>
    </row>
    <row r="7761" spans="7:14" hidden="1" x14ac:dyDescent="0.3">
      <c r="G7761" s="101"/>
      <c r="H7761" s="101"/>
      <c r="I7761" s="101"/>
      <c r="K7761" s="226"/>
      <c r="L7761" s="226"/>
      <c r="M7761" s="101"/>
      <c r="N7761" s="101"/>
    </row>
    <row r="7762" spans="7:14" hidden="1" x14ac:dyDescent="0.3">
      <c r="G7762" s="101"/>
      <c r="H7762" s="101"/>
      <c r="I7762" s="101"/>
      <c r="K7762" s="226"/>
      <c r="L7762" s="226"/>
      <c r="M7762" s="101"/>
      <c r="N7762" s="101"/>
    </row>
    <row r="7763" spans="7:14" hidden="1" x14ac:dyDescent="0.3">
      <c r="G7763" s="101"/>
      <c r="H7763" s="101"/>
      <c r="I7763" s="101"/>
      <c r="K7763" s="226"/>
      <c r="L7763" s="226"/>
      <c r="M7763" s="101"/>
      <c r="N7763" s="101"/>
    </row>
    <row r="7764" spans="7:14" hidden="1" x14ac:dyDescent="0.3">
      <c r="G7764" s="101"/>
      <c r="H7764" s="101"/>
      <c r="I7764" s="101"/>
      <c r="K7764" s="226"/>
      <c r="L7764" s="226"/>
      <c r="M7764" s="101"/>
      <c r="N7764" s="101"/>
    </row>
    <row r="7765" spans="7:14" hidden="1" x14ac:dyDescent="0.3">
      <c r="G7765" s="101"/>
      <c r="H7765" s="101"/>
      <c r="I7765" s="101"/>
      <c r="K7765" s="226"/>
      <c r="L7765" s="226"/>
      <c r="M7765" s="101"/>
      <c r="N7765" s="101"/>
    </row>
    <row r="7766" spans="7:14" hidden="1" x14ac:dyDescent="0.3">
      <c r="G7766" s="101"/>
      <c r="H7766" s="101"/>
      <c r="I7766" s="101"/>
      <c r="K7766" s="226"/>
      <c r="L7766" s="226"/>
      <c r="M7766" s="101"/>
      <c r="N7766" s="101"/>
    </row>
    <row r="7767" spans="7:14" hidden="1" x14ac:dyDescent="0.3">
      <c r="G7767" s="101"/>
      <c r="H7767" s="101"/>
      <c r="I7767" s="101"/>
      <c r="K7767" s="226"/>
      <c r="L7767" s="226"/>
      <c r="M7767" s="101"/>
      <c r="N7767" s="101"/>
    </row>
    <row r="7768" spans="7:14" hidden="1" x14ac:dyDescent="0.3">
      <c r="G7768" s="101"/>
      <c r="H7768" s="101"/>
      <c r="I7768" s="101"/>
      <c r="K7768" s="226"/>
      <c r="L7768" s="226"/>
      <c r="M7768" s="101"/>
      <c r="N7768" s="101"/>
    </row>
    <row r="7769" spans="7:14" hidden="1" x14ac:dyDescent="0.3">
      <c r="G7769" s="101"/>
      <c r="H7769" s="101"/>
      <c r="I7769" s="101"/>
      <c r="K7769" s="226"/>
      <c r="L7769" s="226"/>
      <c r="M7769" s="101"/>
      <c r="N7769" s="101"/>
    </row>
    <row r="7770" spans="7:14" hidden="1" x14ac:dyDescent="0.3">
      <c r="G7770" s="101"/>
      <c r="H7770" s="101"/>
      <c r="I7770" s="101"/>
      <c r="K7770" s="226"/>
      <c r="L7770" s="226"/>
      <c r="M7770" s="101"/>
      <c r="N7770" s="101"/>
    </row>
    <row r="7771" spans="7:14" hidden="1" x14ac:dyDescent="0.3">
      <c r="G7771" s="101"/>
      <c r="H7771" s="101"/>
      <c r="I7771" s="101"/>
      <c r="K7771" s="226"/>
      <c r="L7771" s="226"/>
      <c r="M7771" s="101"/>
      <c r="N7771" s="101"/>
    </row>
    <row r="7772" spans="7:14" hidden="1" x14ac:dyDescent="0.3">
      <c r="G7772" s="101"/>
      <c r="H7772" s="101"/>
      <c r="I7772" s="101"/>
      <c r="K7772" s="226"/>
      <c r="L7772" s="226"/>
      <c r="M7772" s="101"/>
      <c r="N7772" s="101"/>
    </row>
    <row r="7773" spans="7:14" hidden="1" x14ac:dyDescent="0.3">
      <c r="G7773" s="101"/>
      <c r="H7773" s="101"/>
      <c r="I7773" s="101"/>
      <c r="K7773" s="226"/>
      <c r="L7773" s="226"/>
      <c r="M7773" s="101"/>
      <c r="N7773" s="101"/>
    </row>
    <row r="7774" spans="7:14" hidden="1" x14ac:dyDescent="0.3">
      <c r="G7774" s="101"/>
      <c r="H7774" s="101"/>
      <c r="I7774" s="101"/>
      <c r="K7774" s="226"/>
      <c r="L7774" s="226"/>
      <c r="M7774" s="101"/>
      <c r="N7774" s="101"/>
    </row>
    <row r="7775" spans="7:14" hidden="1" x14ac:dyDescent="0.3">
      <c r="G7775" s="101"/>
      <c r="H7775" s="101"/>
      <c r="I7775" s="101"/>
      <c r="K7775" s="226"/>
      <c r="L7775" s="226"/>
      <c r="M7775" s="101"/>
      <c r="N7775" s="101"/>
    </row>
    <row r="7776" spans="7:14" hidden="1" x14ac:dyDescent="0.3">
      <c r="G7776" s="101"/>
      <c r="H7776" s="101"/>
      <c r="I7776" s="101"/>
      <c r="K7776" s="226"/>
      <c r="L7776" s="226"/>
      <c r="M7776" s="101"/>
      <c r="N7776" s="101"/>
    </row>
    <row r="7777" spans="7:14" hidden="1" x14ac:dyDescent="0.3">
      <c r="G7777" s="101"/>
      <c r="H7777" s="101"/>
      <c r="I7777" s="101"/>
      <c r="K7777" s="226"/>
      <c r="L7777" s="226"/>
      <c r="M7777" s="101"/>
      <c r="N7777" s="101"/>
    </row>
    <row r="7778" spans="7:14" hidden="1" x14ac:dyDescent="0.3">
      <c r="G7778" s="101"/>
      <c r="H7778" s="101"/>
      <c r="I7778" s="101"/>
      <c r="K7778" s="226"/>
      <c r="L7778" s="226"/>
      <c r="M7778" s="101"/>
      <c r="N7778" s="101"/>
    </row>
    <row r="7779" spans="7:14" hidden="1" x14ac:dyDescent="0.3">
      <c r="G7779" s="101"/>
      <c r="H7779" s="101"/>
      <c r="I7779" s="101"/>
      <c r="K7779" s="226"/>
      <c r="L7779" s="226"/>
      <c r="M7779" s="101"/>
      <c r="N7779" s="101"/>
    </row>
    <row r="7780" spans="7:14" hidden="1" x14ac:dyDescent="0.3">
      <c r="G7780" s="101"/>
      <c r="H7780" s="101"/>
      <c r="I7780" s="101"/>
      <c r="K7780" s="226"/>
      <c r="L7780" s="226"/>
      <c r="M7780" s="101"/>
      <c r="N7780" s="101"/>
    </row>
    <row r="7781" spans="7:14" hidden="1" x14ac:dyDescent="0.3">
      <c r="G7781" s="101"/>
      <c r="H7781" s="101"/>
      <c r="I7781" s="101"/>
      <c r="K7781" s="226"/>
      <c r="L7781" s="226"/>
      <c r="M7781" s="101"/>
      <c r="N7781" s="101"/>
    </row>
    <row r="7782" spans="7:14" hidden="1" x14ac:dyDescent="0.3">
      <c r="G7782" s="101"/>
      <c r="H7782" s="101"/>
      <c r="I7782" s="101"/>
      <c r="K7782" s="226"/>
      <c r="L7782" s="226"/>
      <c r="M7782" s="101"/>
      <c r="N7782" s="101"/>
    </row>
    <row r="7783" spans="7:14" hidden="1" x14ac:dyDescent="0.3">
      <c r="G7783" s="101"/>
      <c r="H7783" s="101"/>
      <c r="I7783" s="101"/>
      <c r="K7783" s="226"/>
      <c r="L7783" s="226"/>
      <c r="M7783" s="101"/>
      <c r="N7783" s="101"/>
    </row>
    <row r="7784" spans="7:14" hidden="1" x14ac:dyDescent="0.3">
      <c r="G7784" s="101"/>
      <c r="H7784" s="101"/>
      <c r="I7784" s="101"/>
      <c r="K7784" s="226"/>
      <c r="L7784" s="226"/>
      <c r="M7784" s="101"/>
      <c r="N7784" s="101"/>
    </row>
    <row r="7785" spans="7:14" hidden="1" x14ac:dyDescent="0.3">
      <c r="G7785" s="101"/>
      <c r="H7785" s="101"/>
      <c r="I7785" s="101"/>
      <c r="K7785" s="226"/>
      <c r="L7785" s="226"/>
      <c r="M7785" s="101"/>
      <c r="N7785" s="101"/>
    </row>
    <row r="7786" spans="7:14" hidden="1" x14ac:dyDescent="0.3">
      <c r="G7786" s="101"/>
      <c r="H7786" s="101"/>
      <c r="I7786" s="101"/>
      <c r="K7786" s="226"/>
      <c r="L7786" s="226"/>
      <c r="M7786" s="101"/>
      <c r="N7786" s="101"/>
    </row>
    <row r="7787" spans="7:14" hidden="1" x14ac:dyDescent="0.3">
      <c r="G7787" s="101"/>
      <c r="H7787" s="101"/>
      <c r="I7787" s="101"/>
      <c r="K7787" s="226"/>
      <c r="L7787" s="226"/>
      <c r="M7787" s="101"/>
      <c r="N7787" s="101"/>
    </row>
    <row r="7788" spans="7:14" hidden="1" x14ac:dyDescent="0.3">
      <c r="G7788" s="101"/>
      <c r="H7788" s="101"/>
      <c r="I7788" s="101"/>
      <c r="K7788" s="226"/>
      <c r="L7788" s="226"/>
      <c r="M7788" s="101"/>
      <c r="N7788" s="101"/>
    </row>
    <row r="7789" spans="7:14" hidden="1" x14ac:dyDescent="0.3">
      <c r="G7789" s="101"/>
      <c r="H7789" s="101"/>
      <c r="I7789" s="101"/>
      <c r="K7789" s="226"/>
      <c r="L7789" s="226"/>
      <c r="M7789" s="101"/>
      <c r="N7789" s="101"/>
    </row>
    <row r="7790" spans="7:14" hidden="1" x14ac:dyDescent="0.3">
      <c r="G7790" s="101"/>
      <c r="H7790" s="101"/>
      <c r="I7790" s="101"/>
      <c r="K7790" s="226"/>
      <c r="L7790" s="226"/>
      <c r="M7790" s="101"/>
      <c r="N7790" s="101"/>
    </row>
    <row r="7791" spans="7:14" hidden="1" x14ac:dyDescent="0.3">
      <c r="G7791" s="101"/>
      <c r="H7791" s="101"/>
      <c r="I7791" s="101"/>
      <c r="K7791" s="226"/>
      <c r="L7791" s="226"/>
      <c r="M7791" s="101"/>
      <c r="N7791" s="101"/>
    </row>
    <row r="7792" spans="7:14" hidden="1" x14ac:dyDescent="0.3">
      <c r="G7792" s="101"/>
      <c r="H7792" s="101"/>
      <c r="I7792" s="101"/>
      <c r="K7792" s="226"/>
      <c r="L7792" s="226"/>
      <c r="M7792" s="101"/>
      <c r="N7792" s="101"/>
    </row>
    <row r="7793" spans="7:14" hidden="1" x14ac:dyDescent="0.3">
      <c r="G7793" s="101"/>
      <c r="H7793" s="101"/>
      <c r="I7793" s="101"/>
      <c r="K7793" s="226"/>
      <c r="L7793" s="226"/>
      <c r="M7793" s="101"/>
      <c r="N7793" s="101"/>
    </row>
    <row r="7794" spans="7:14" hidden="1" x14ac:dyDescent="0.3">
      <c r="G7794" s="101"/>
      <c r="H7794" s="101"/>
      <c r="I7794" s="101"/>
      <c r="K7794" s="226"/>
      <c r="L7794" s="226"/>
      <c r="M7794" s="101"/>
      <c r="N7794" s="101"/>
    </row>
    <row r="7795" spans="7:14" hidden="1" x14ac:dyDescent="0.3">
      <c r="G7795" s="101"/>
      <c r="H7795" s="101"/>
      <c r="I7795" s="101"/>
      <c r="K7795" s="226"/>
      <c r="L7795" s="226"/>
      <c r="M7795" s="101"/>
      <c r="N7795" s="101"/>
    </row>
    <row r="7796" spans="7:14" hidden="1" x14ac:dyDescent="0.3">
      <c r="G7796" s="101"/>
      <c r="H7796" s="101"/>
      <c r="I7796" s="101"/>
      <c r="K7796" s="226"/>
      <c r="L7796" s="226"/>
      <c r="M7796" s="101"/>
      <c r="N7796" s="101"/>
    </row>
    <row r="7797" spans="7:14" hidden="1" x14ac:dyDescent="0.3">
      <c r="G7797" s="101"/>
      <c r="H7797" s="101"/>
      <c r="I7797" s="101"/>
      <c r="K7797" s="226"/>
      <c r="L7797" s="226"/>
      <c r="M7797" s="101"/>
      <c r="N7797" s="101"/>
    </row>
    <row r="7798" spans="7:14" hidden="1" x14ac:dyDescent="0.3">
      <c r="G7798" s="101"/>
      <c r="H7798" s="101"/>
      <c r="I7798" s="101"/>
      <c r="K7798" s="226"/>
      <c r="L7798" s="226"/>
      <c r="M7798" s="101"/>
      <c r="N7798" s="101"/>
    </row>
    <row r="7799" spans="7:14" hidden="1" x14ac:dyDescent="0.3">
      <c r="G7799" s="101"/>
      <c r="H7799" s="101"/>
      <c r="I7799" s="101"/>
      <c r="K7799" s="226"/>
      <c r="L7799" s="226"/>
      <c r="M7799" s="101"/>
      <c r="N7799" s="101"/>
    </row>
    <row r="7800" spans="7:14" hidden="1" x14ac:dyDescent="0.3">
      <c r="G7800" s="101"/>
      <c r="H7800" s="101"/>
      <c r="I7800" s="101"/>
      <c r="K7800" s="226"/>
      <c r="L7800" s="226"/>
      <c r="M7800" s="101"/>
      <c r="N7800" s="101"/>
    </row>
    <row r="7801" spans="7:14" hidden="1" x14ac:dyDescent="0.3">
      <c r="G7801" s="101"/>
      <c r="H7801" s="101"/>
      <c r="I7801" s="101"/>
      <c r="K7801" s="226"/>
      <c r="L7801" s="226"/>
      <c r="M7801" s="101"/>
      <c r="N7801" s="101"/>
    </row>
    <row r="7802" spans="7:14" hidden="1" x14ac:dyDescent="0.3">
      <c r="G7802" s="101"/>
      <c r="H7802" s="101"/>
      <c r="I7802" s="101"/>
      <c r="K7802" s="226"/>
      <c r="L7802" s="226"/>
      <c r="M7802" s="101"/>
      <c r="N7802" s="101"/>
    </row>
    <row r="7803" spans="7:14" hidden="1" x14ac:dyDescent="0.3">
      <c r="G7803" s="101"/>
      <c r="H7803" s="101"/>
      <c r="I7803" s="101"/>
      <c r="K7803" s="226"/>
      <c r="L7803" s="226"/>
      <c r="M7803" s="101"/>
      <c r="N7803" s="101"/>
    </row>
    <row r="7804" spans="7:14" hidden="1" x14ac:dyDescent="0.3">
      <c r="G7804" s="101"/>
      <c r="H7804" s="101"/>
      <c r="I7804" s="101"/>
      <c r="K7804" s="226"/>
      <c r="L7804" s="226"/>
      <c r="M7804" s="101"/>
      <c r="N7804" s="101"/>
    </row>
    <row r="7805" spans="7:14" hidden="1" x14ac:dyDescent="0.3">
      <c r="G7805" s="101"/>
      <c r="H7805" s="101"/>
      <c r="I7805" s="101"/>
      <c r="K7805" s="226"/>
      <c r="L7805" s="226"/>
      <c r="M7805" s="101"/>
      <c r="N7805" s="101"/>
    </row>
    <row r="7806" spans="7:14" hidden="1" x14ac:dyDescent="0.3">
      <c r="G7806" s="101"/>
      <c r="H7806" s="101"/>
      <c r="I7806" s="101"/>
      <c r="K7806" s="226"/>
      <c r="L7806" s="226"/>
      <c r="M7806" s="101"/>
      <c r="N7806" s="101"/>
    </row>
    <row r="7807" spans="7:14" hidden="1" x14ac:dyDescent="0.3">
      <c r="G7807" s="101"/>
      <c r="H7807" s="101"/>
      <c r="I7807" s="101"/>
      <c r="K7807" s="226"/>
      <c r="L7807" s="226"/>
      <c r="M7807" s="101"/>
      <c r="N7807" s="101"/>
    </row>
    <row r="7808" spans="7:14" hidden="1" x14ac:dyDescent="0.3">
      <c r="G7808" s="101"/>
      <c r="H7808" s="101"/>
      <c r="I7808" s="101"/>
      <c r="K7808" s="226"/>
      <c r="L7808" s="226"/>
      <c r="M7808" s="101"/>
      <c r="N7808" s="101"/>
    </row>
    <row r="7809" spans="7:14" hidden="1" x14ac:dyDescent="0.3">
      <c r="G7809" s="101"/>
      <c r="H7809" s="101"/>
      <c r="I7809" s="101"/>
      <c r="K7809" s="226"/>
      <c r="L7809" s="226"/>
      <c r="M7809" s="101"/>
      <c r="N7809" s="101"/>
    </row>
    <row r="7810" spans="7:14" hidden="1" x14ac:dyDescent="0.3">
      <c r="G7810" s="101"/>
      <c r="H7810" s="101"/>
      <c r="I7810" s="101"/>
      <c r="K7810" s="226"/>
      <c r="L7810" s="226"/>
      <c r="M7810" s="101"/>
      <c r="N7810" s="101"/>
    </row>
    <row r="7811" spans="7:14" hidden="1" x14ac:dyDescent="0.3">
      <c r="G7811" s="101"/>
      <c r="H7811" s="101"/>
      <c r="I7811" s="101"/>
      <c r="K7811" s="226"/>
      <c r="L7811" s="226"/>
      <c r="M7811" s="101"/>
      <c r="N7811" s="101"/>
    </row>
    <row r="7812" spans="7:14" hidden="1" x14ac:dyDescent="0.3">
      <c r="G7812" s="101"/>
      <c r="H7812" s="101"/>
      <c r="I7812" s="101"/>
      <c r="K7812" s="226"/>
      <c r="L7812" s="226"/>
      <c r="M7812" s="101"/>
      <c r="N7812" s="101"/>
    </row>
    <row r="7813" spans="7:14" hidden="1" x14ac:dyDescent="0.3">
      <c r="G7813" s="101"/>
      <c r="H7813" s="101"/>
      <c r="I7813" s="101"/>
      <c r="K7813" s="226"/>
      <c r="L7813" s="226"/>
      <c r="M7813" s="101"/>
      <c r="N7813" s="101"/>
    </row>
    <row r="7814" spans="7:14" hidden="1" x14ac:dyDescent="0.3">
      <c r="G7814" s="101"/>
      <c r="H7814" s="101"/>
      <c r="I7814" s="101"/>
      <c r="K7814" s="226"/>
      <c r="L7814" s="226"/>
      <c r="M7814" s="101"/>
      <c r="N7814" s="101"/>
    </row>
    <row r="7815" spans="7:14" hidden="1" x14ac:dyDescent="0.3">
      <c r="G7815" s="101"/>
      <c r="H7815" s="101"/>
      <c r="I7815" s="101"/>
      <c r="K7815" s="226"/>
      <c r="L7815" s="226"/>
      <c r="M7815" s="101"/>
      <c r="N7815" s="101"/>
    </row>
    <row r="7816" spans="7:14" hidden="1" x14ac:dyDescent="0.3">
      <c r="G7816" s="101"/>
      <c r="H7816" s="101"/>
      <c r="I7816" s="101"/>
      <c r="K7816" s="226"/>
      <c r="L7816" s="226"/>
      <c r="M7816" s="101"/>
      <c r="N7816" s="101"/>
    </row>
    <row r="7817" spans="7:14" hidden="1" x14ac:dyDescent="0.3">
      <c r="G7817" s="101"/>
      <c r="H7817" s="101"/>
      <c r="I7817" s="101"/>
      <c r="K7817" s="226"/>
      <c r="L7817" s="226"/>
      <c r="M7817" s="101"/>
      <c r="N7817" s="101"/>
    </row>
    <row r="7818" spans="7:14" hidden="1" x14ac:dyDescent="0.3">
      <c r="G7818" s="101"/>
      <c r="H7818" s="101"/>
      <c r="I7818" s="101"/>
      <c r="K7818" s="226"/>
      <c r="L7818" s="226"/>
      <c r="M7818" s="101"/>
      <c r="N7818" s="101"/>
    </row>
    <row r="7819" spans="7:14" hidden="1" x14ac:dyDescent="0.3">
      <c r="G7819" s="101"/>
      <c r="H7819" s="101"/>
      <c r="I7819" s="101"/>
      <c r="K7819" s="226"/>
      <c r="L7819" s="226"/>
      <c r="M7819" s="101"/>
      <c r="N7819" s="101"/>
    </row>
    <row r="7820" spans="7:14" hidden="1" x14ac:dyDescent="0.3">
      <c r="G7820" s="101"/>
      <c r="H7820" s="101"/>
      <c r="I7820" s="101"/>
      <c r="K7820" s="226"/>
      <c r="L7820" s="226"/>
      <c r="M7820" s="101"/>
      <c r="N7820" s="101"/>
    </row>
    <row r="7821" spans="7:14" hidden="1" x14ac:dyDescent="0.3">
      <c r="G7821" s="101"/>
      <c r="H7821" s="101"/>
      <c r="I7821" s="101"/>
      <c r="K7821" s="226"/>
      <c r="L7821" s="226"/>
      <c r="M7821" s="101"/>
      <c r="N7821" s="101"/>
    </row>
    <row r="7822" spans="7:14" hidden="1" x14ac:dyDescent="0.3">
      <c r="G7822" s="101"/>
      <c r="H7822" s="101"/>
      <c r="I7822" s="101"/>
      <c r="K7822" s="226"/>
      <c r="L7822" s="226"/>
      <c r="M7822" s="101"/>
      <c r="N7822" s="101"/>
    </row>
    <row r="7823" spans="7:14" hidden="1" x14ac:dyDescent="0.3">
      <c r="G7823" s="101"/>
      <c r="H7823" s="101"/>
      <c r="I7823" s="101"/>
      <c r="K7823" s="226"/>
      <c r="L7823" s="226"/>
      <c r="M7823" s="101"/>
      <c r="N7823" s="101"/>
    </row>
    <row r="7824" spans="7:14" hidden="1" x14ac:dyDescent="0.3">
      <c r="G7824" s="101"/>
      <c r="H7824" s="101"/>
      <c r="I7824" s="101"/>
      <c r="K7824" s="226"/>
      <c r="L7824" s="226"/>
      <c r="M7824" s="101"/>
      <c r="N7824" s="101"/>
    </row>
    <row r="7825" spans="7:14" hidden="1" x14ac:dyDescent="0.3">
      <c r="G7825" s="101"/>
      <c r="H7825" s="101"/>
      <c r="I7825" s="101"/>
      <c r="K7825" s="226"/>
      <c r="L7825" s="226"/>
      <c r="M7825" s="101"/>
      <c r="N7825" s="101"/>
    </row>
    <row r="7826" spans="7:14" hidden="1" x14ac:dyDescent="0.3">
      <c r="G7826" s="101"/>
      <c r="H7826" s="101"/>
      <c r="I7826" s="101"/>
      <c r="K7826" s="226"/>
      <c r="L7826" s="226"/>
      <c r="M7826" s="101"/>
      <c r="N7826" s="101"/>
    </row>
    <row r="7827" spans="7:14" hidden="1" x14ac:dyDescent="0.3">
      <c r="G7827" s="101"/>
      <c r="H7827" s="101"/>
      <c r="I7827" s="101"/>
      <c r="K7827" s="226"/>
      <c r="L7827" s="226"/>
      <c r="M7827" s="101"/>
      <c r="N7827" s="101"/>
    </row>
    <row r="7828" spans="7:14" hidden="1" x14ac:dyDescent="0.3">
      <c r="G7828" s="101"/>
      <c r="H7828" s="101"/>
      <c r="I7828" s="101"/>
      <c r="K7828" s="226"/>
      <c r="L7828" s="226"/>
      <c r="M7828" s="101"/>
      <c r="N7828" s="101"/>
    </row>
    <row r="7829" spans="7:14" hidden="1" x14ac:dyDescent="0.3">
      <c r="G7829" s="101"/>
      <c r="H7829" s="101"/>
      <c r="I7829" s="101"/>
      <c r="K7829" s="226"/>
      <c r="L7829" s="226"/>
      <c r="M7829" s="101"/>
      <c r="N7829" s="101"/>
    </row>
    <row r="7830" spans="7:14" hidden="1" x14ac:dyDescent="0.3">
      <c r="G7830" s="101"/>
      <c r="H7830" s="101"/>
      <c r="I7830" s="101"/>
      <c r="K7830" s="226"/>
      <c r="L7830" s="226"/>
      <c r="M7830" s="101"/>
      <c r="N7830" s="101"/>
    </row>
    <row r="7831" spans="7:14" hidden="1" x14ac:dyDescent="0.3">
      <c r="G7831" s="101"/>
      <c r="H7831" s="101"/>
      <c r="I7831" s="101"/>
      <c r="K7831" s="226"/>
      <c r="L7831" s="226"/>
      <c r="M7831" s="101"/>
      <c r="N7831" s="101"/>
    </row>
    <row r="7832" spans="7:14" hidden="1" x14ac:dyDescent="0.3">
      <c r="G7832" s="101"/>
      <c r="H7832" s="101"/>
      <c r="I7832" s="101"/>
      <c r="K7832" s="226"/>
      <c r="L7832" s="226"/>
      <c r="M7832" s="101"/>
      <c r="N7832" s="101"/>
    </row>
    <row r="7833" spans="7:14" hidden="1" x14ac:dyDescent="0.3">
      <c r="G7833" s="101"/>
      <c r="H7833" s="101"/>
      <c r="I7833" s="101"/>
      <c r="K7833" s="226"/>
      <c r="L7833" s="226"/>
      <c r="M7833" s="101"/>
      <c r="N7833" s="101"/>
    </row>
    <row r="7834" spans="7:14" hidden="1" x14ac:dyDescent="0.3">
      <c r="G7834" s="101"/>
      <c r="H7834" s="101"/>
      <c r="I7834" s="101"/>
      <c r="K7834" s="226"/>
      <c r="L7834" s="226"/>
      <c r="M7834" s="101"/>
      <c r="N7834" s="101"/>
    </row>
    <row r="7835" spans="7:14" hidden="1" x14ac:dyDescent="0.3">
      <c r="G7835" s="101"/>
      <c r="H7835" s="101"/>
      <c r="I7835" s="101"/>
      <c r="K7835" s="226"/>
      <c r="L7835" s="226"/>
      <c r="M7835" s="101"/>
      <c r="N7835" s="101"/>
    </row>
    <row r="7836" spans="7:14" hidden="1" x14ac:dyDescent="0.3">
      <c r="G7836" s="101"/>
      <c r="H7836" s="101"/>
      <c r="I7836" s="101"/>
      <c r="K7836" s="226"/>
      <c r="L7836" s="226"/>
      <c r="M7836" s="101"/>
      <c r="N7836" s="101"/>
    </row>
    <row r="7837" spans="7:14" hidden="1" x14ac:dyDescent="0.3">
      <c r="G7837" s="101"/>
      <c r="H7837" s="101"/>
      <c r="I7837" s="101"/>
      <c r="K7837" s="226"/>
      <c r="L7837" s="226"/>
      <c r="M7837" s="101"/>
      <c r="N7837" s="101"/>
    </row>
    <row r="7838" spans="7:14" hidden="1" x14ac:dyDescent="0.3">
      <c r="G7838" s="101"/>
      <c r="H7838" s="101"/>
      <c r="I7838" s="101"/>
      <c r="K7838" s="226"/>
      <c r="L7838" s="226"/>
      <c r="M7838" s="101"/>
      <c r="N7838" s="101"/>
    </row>
    <row r="7839" spans="7:14" hidden="1" x14ac:dyDescent="0.3">
      <c r="G7839" s="101"/>
      <c r="H7839" s="101"/>
      <c r="I7839" s="101"/>
      <c r="K7839" s="226"/>
      <c r="L7839" s="226"/>
      <c r="M7839" s="101"/>
      <c r="N7839" s="101"/>
    </row>
    <row r="7840" spans="7:14" hidden="1" x14ac:dyDescent="0.3">
      <c r="G7840" s="101"/>
      <c r="H7840" s="101"/>
      <c r="I7840" s="101"/>
      <c r="K7840" s="226"/>
      <c r="L7840" s="226"/>
      <c r="M7840" s="101"/>
      <c r="N7840" s="101"/>
    </row>
    <row r="7841" spans="7:14" hidden="1" x14ac:dyDescent="0.3">
      <c r="G7841" s="101"/>
      <c r="H7841" s="101"/>
      <c r="I7841" s="101"/>
      <c r="K7841" s="226"/>
      <c r="L7841" s="226"/>
      <c r="M7841" s="101"/>
      <c r="N7841" s="101"/>
    </row>
    <row r="7842" spans="7:14" hidden="1" x14ac:dyDescent="0.3">
      <c r="G7842" s="101"/>
      <c r="H7842" s="101"/>
      <c r="I7842" s="101"/>
      <c r="K7842" s="226"/>
      <c r="L7842" s="226"/>
      <c r="M7842" s="101"/>
      <c r="N7842" s="101"/>
    </row>
    <row r="7843" spans="7:14" hidden="1" x14ac:dyDescent="0.3">
      <c r="G7843" s="101"/>
      <c r="H7843" s="101"/>
      <c r="I7843" s="101"/>
      <c r="K7843" s="226"/>
      <c r="L7843" s="226"/>
      <c r="M7843" s="101"/>
      <c r="N7843" s="101"/>
    </row>
    <row r="7844" spans="7:14" hidden="1" x14ac:dyDescent="0.3">
      <c r="G7844" s="101"/>
      <c r="H7844" s="101"/>
      <c r="I7844" s="101"/>
      <c r="K7844" s="226"/>
      <c r="L7844" s="226"/>
      <c r="M7844" s="101"/>
      <c r="N7844" s="101"/>
    </row>
    <row r="7845" spans="7:14" hidden="1" x14ac:dyDescent="0.3">
      <c r="G7845" s="101"/>
      <c r="H7845" s="101"/>
      <c r="I7845" s="101"/>
      <c r="K7845" s="226"/>
      <c r="L7845" s="226"/>
      <c r="M7845" s="101"/>
      <c r="N7845" s="101"/>
    </row>
    <row r="7846" spans="7:14" hidden="1" x14ac:dyDescent="0.3">
      <c r="G7846" s="101"/>
      <c r="H7846" s="101"/>
      <c r="I7846" s="101"/>
      <c r="K7846" s="226"/>
      <c r="L7846" s="226"/>
      <c r="M7846" s="101"/>
      <c r="N7846" s="101"/>
    </row>
    <row r="7847" spans="7:14" hidden="1" x14ac:dyDescent="0.3">
      <c r="G7847" s="101"/>
      <c r="H7847" s="101"/>
      <c r="I7847" s="101"/>
      <c r="K7847" s="226"/>
      <c r="L7847" s="226"/>
      <c r="M7847" s="101"/>
      <c r="N7847" s="101"/>
    </row>
    <row r="7848" spans="7:14" hidden="1" x14ac:dyDescent="0.3">
      <c r="G7848" s="101"/>
      <c r="H7848" s="101"/>
      <c r="I7848" s="101"/>
      <c r="K7848" s="226"/>
      <c r="L7848" s="226"/>
      <c r="M7848" s="101"/>
      <c r="N7848" s="101"/>
    </row>
    <row r="7849" spans="7:14" hidden="1" x14ac:dyDescent="0.3">
      <c r="G7849" s="101"/>
      <c r="H7849" s="101"/>
      <c r="I7849" s="101"/>
      <c r="K7849" s="226"/>
      <c r="L7849" s="226"/>
      <c r="M7849" s="101"/>
      <c r="N7849" s="101"/>
    </row>
    <row r="7850" spans="7:14" hidden="1" x14ac:dyDescent="0.3">
      <c r="G7850" s="101"/>
      <c r="H7850" s="101"/>
      <c r="I7850" s="101"/>
      <c r="K7850" s="226"/>
      <c r="L7850" s="226"/>
      <c r="M7850" s="101"/>
      <c r="N7850" s="101"/>
    </row>
    <row r="7851" spans="7:14" hidden="1" x14ac:dyDescent="0.3">
      <c r="G7851" s="101"/>
      <c r="H7851" s="101"/>
      <c r="I7851" s="101"/>
      <c r="K7851" s="226"/>
      <c r="L7851" s="226"/>
      <c r="M7851" s="101"/>
      <c r="N7851" s="101"/>
    </row>
    <row r="7852" spans="7:14" hidden="1" x14ac:dyDescent="0.3">
      <c r="G7852" s="101"/>
      <c r="H7852" s="101"/>
      <c r="I7852" s="101"/>
      <c r="K7852" s="226"/>
      <c r="L7852" s="226"/>
      <c r="M7852" s="101"/>
      <c r="N7852" s="101"/>
    </row>
    <row r="7853" spans="7:14" hidden="1" x14ac:dyDescent="0.3">
      <c r="G7853" s="101"/>
      <c r="H7853" s="101"/>
      <c r="I7853" s="101"/>
      <c r="K7853" s="226"/>
      <c r="L7853" s="226"/>
      <c r="M7853" s="101"/>
      <c r="N7853" s="101"/>
    </row>
    <row r="7854" spans="7:14" hidden="1" x14ac:dyDescent="0.3">
      <c r="G7854" s="101"/>
      <c r="H7854" s="101"/>
      <c r="I7854" s="101"/>
      <c r="K7854" s="226"/>
      <c r="L7854" s="226"/>
      <c r="M7854" s="101"/>
      <c r="N7854" s="101"/>
    </row>
    <row r="7855" spans="7:14" hidden="1" x14ac:dyDescent="0.3">
      <c r="G7855" s="101"/>
      <c r="H7855" s="101"/>
      <c r="I7855" s="101"/>
      <c r="K7855" s="226"/>
      <c r="L7855" s="226"/>
      <c r="M7855" s="101"/>
      <c r="N7855" s="101"/>
    </row>
    <row r="7856" spans="7:14" hidden="1" x14ac:dyDescent="0.3">
      <c r="G7856" s="101"/>
      <c r="H7856" s="101"/>
      <c r="I7856" s="101"/>
      <c r="K7856" s="226"/>
      <c r="L7856" s="226"/>
      <c r="M7856" s="101"/>
      <c r="N7856" s="101"/>
    </row>
    <row r="7857" spans="7:14" hidden="1" x14ac:dyDescent="0.3">
      <c r="G7857" s="101"/>
      <c r="H7857" s="101"/>
      <c r="I7857" s="101"/>
      <c r="K7857" s="226"/>
      <c r="L7857" s="226"/>
      <c r="M7857" s="101"/>
      <c r="N7857" s="101"/>
    </row>
    <row r="7858" spans="7:14" hidden="1" x14ac:dyDescent="0.3">
      <c r="G7858" s="101"/>
      <c r="H7858" s="101"/>
      <c r="I7858" s="101"/>
      <c r="K7858" s="226"/>
      <c r="L7858" s="226"/>
      <c r="M7858" s="101"/>
      <c r="N7858" s="101"/>
    </row>
    <row r="7859" spans="7:14" hidden="1" x14ac:dyDescent="0.3">
      <c r="G7859" s="101"/>
      <c r="H7859" s="101"/>
      <c r="I7859" s="101"/>
      <c r="K7859" s="226"/>
      <c r="L7859" s="226"/>
      <c r="M7859" s="101"/>
      <c r="N7859" s="101"/>
    </row>
    <row r="7860" spans="7:14" hidden="1" x14ac:dyDescent="0.3">
      <c r="G7860" s="101"/>
      <c r="H7860" s="101"/>
      <c r="I7860" s="101"/>
      <c r="K7860" s="226"/>
      <c r="L7860" s="226"/>
      <c r="M7860" s="101"/>
      <c r="N7860" s="101"/>
    </row>
    <row r="7861" spans="7:14" hidden="1" x14ac:dyDescent="0.3">
      <c r="G7861" s="101"/>
      <c r="H7861" s="101"/>
      <c r="I7861" s="101"/>
      <c r="K7861" s="226"/>
      <c r="L7861" s="226"/>
      <c r="M7861" s="101"/>
      <c r="N7861" s="101"/>
    </row>
    <row r="7862" spans="7:14" hidden="1" x14ac:dyDescent="0.3">
      <c r="G7862" s="101"/>
      <c r="H7862" s="101"/>
      <c r="I7862" s="101"/>
      <c r="K7862" s="226"/>
      <c r="L7862" s="226"/>
      <c r="M7862" s="101"/>
      <c r="N7862" s="101"/>
    </row>
    <row r="7863" spans="7:14" hidden="1" x14ac:dyDescent="0.3">
      <c r="G7863" s="101"/>
      <c r="H7863" s="101"/>
      <c r="I7863" s="101"/>
      <c r="K7863" s="226"/>
      <c r="L7863" s="226"/>
      <c r="M7863" s="101"/>
      <c r="N7863" s="101"/>
    </row>
    <row r="7864" spans="7:14" hidden="1" x14ac:dyDescent="0.3">
      <c r="G7864" s="101"/>
      <c r="H7864" s="101"/>
      <c r="I7864" s="101"/>
      <c r="K7864" s="226"/>
      <c r="L7864" s="226"/>
      <c r="M7864" s="101"/>
      <c r="N7864" s="101"/>
    </row>
    <row r="7865" spans="7:14" hidden="1" x14ac:dyDescent="0.3">
      <c r="G7865" s="101"/>
      <c r="H7865" s="101"/>
      <c r="I7865" s="101"/>
      <c r="K7865" s="226"/>
      <c r="L7865" s="226"/>
      <c r="M7865" s="101"/>
      <c r="N7865" s="101"/>
    </row>
    <row r="7866" spans="7:14" hidden="1" x14ac:dyDescent="0.3">
      <c r="G7866" s="101"/>
      <c r="H7866" s="101"/>
      <c r="I7866" s="101"/>
      <c r="K7866" s="226"/>
      <c r="L7866" s="226"/>
      <c r="M7866" s="101"/>
      <c r="N7866" s="101"/>
    </row>
    <row r="7867" spans="7:14" hidden="1" x14ac:dyDescent="0.3">
      <c r="G7867" s="101"/>
      <c r="H7867" s="101"/>
      <c r="I7867" s="101"/>
      <c r="K7867" s="226"/>
      <c r="L7867" s="226"/>
      <c r="M7867" s="101"/>
      <c r="N7867" s="101"/>
    </row>
    <row r="7868" spans="7:14" hidden="1" x14ac:dyDescent="0.3">
      <c r="G7868" s="101"/>
      <c r="H7868" s="101"/>
      <c r="I7868" s="101"/>
      <c r="K7868" s="226"/>
      <c r="L7868" s="226"/>
      <c r="M7868" s="101"/>
      <c r="N7868" s="101"/>
    </row>
    <row r="7869" spans="7:14" hidden="1" x14ac:dyDescent="0.3">
      <c r="G7869" s="101"/>
      <c r="H7869" s="101"/>
      <c r="I7869" s="101"/>
      <c r="K7869" s="226"/>
      <c r="L7869" s="226"/>
      <c r="M7869" s="101"/>
      <c r="N7869" s="101"/>
    </row>
    <row r="7870" spans="7:14" hidden="1" x14ac:dyDescent="0.3">
      <c r="G7870" s="101"/>
      <c r="H7870" s="101"/>
      <c r="I7870" s="101"/>
      <c r="K7870" s="226"/>
      <c r="L7870" s="226"/>
      <c r="M7870" s="101"/>
      <c r="N7870" s="101"/>
    </row>
    <row r="7871" spans="7:14" hidden="1" x14ac:dyDescent="0.3">
      <c r="G7871" s="101"/>
      <c r="H7871" s="101"/>
      <c r="I7871" s="101"/>
      <c r="K7871" s="226"/>
      <c r="L7871" s="226"/>
      <c r="M7871" s="101"/>
      <c r="N7871" s="101"/>
    </row>
    <row r="7872" spans="7:14" hidden="1" x14ac:dyDescent="0.3">
      <c r="G7872" s="101"/>
      <c r="H7872" s="101"/>
      <c r="I7872" s="101"/>
      <c r="K7872" s="226"/>
      <c r="L7872" s="226"/>
      <c r="M7872" s="101"/>
      <c r="N7872" s="101"/>
    </row>
    <row r="7873" spans="7:14" hidden="1" x14ac:dyDescent="0.3">
      <c r="G7873" s="101"/>
      <c r="H7873" s="101"/>
      <c r="I7873" s="101"/>
      <c r="K7873" s="226"/>
      <c r="L7873" s="226"/>
      <c r="M7873" s="101"/>
      <c r="N7873" s="101"/>
    </row>
    <row r="7874" spans="7:14" hidden="1" x14ac:dyDescent="0.3">
      <c r="G7874" s="101"/>
      <c r="H7874" s="101"/>
      <c r="I7874" s="101"/>
      <c r="K7874" s="226"/>
      <c r="L7874" s="226"/>
      <c r="M7874" s="101"/>
      <c r="N7874" s="101"/>
    </row>
    <row r="7875" spans="7:14" hidden="1" x14ac:dyDescent="0.3">
      <c r="G7875" s="101"/>
      <c r="H7875" s="101"/>
      <c r="I7875" s="101"/>
      <c r="K7875" s="226"/>
      <c r="L7875" s="226"/>
      <c r="M7875" s="101"/>
      <c r="N7875" s="101"/>
    </row>
    <row r="7876" spans="7:14" hidden="1" x14ac:dyDescent="0.3">
      <c r="G7876" s="101"/>
      <c r="H7876" s="101"/>
      <c r="I7876" s="101"/>
      <c r="K7876" s="226"/>
      <c r="L7876" s="226"/>
      <c r="M7876" s="101"/>
      <c r="N7876" s="101"/>
    </row>
    <row r="7877" spans="7:14" hidden="1" x14ac:dyDescent="0.3">
      <c r="G7877" s="101"/>
      <c r="H7877" s="101"/>
      <c r="I7877" s="101"/>
      <c r="K7877" s="226"/>
      <c r="L7877" s="226"/>
      <c r="M7877" s="101"/>
      <c r="N7877" s="101"/>
    </row>
    <row r="7878" spans="7:14" hidden="1" x14ac:dyDescent="0.3">
      <c r="G7878" s="101"/>
      <c r="H7878" s="101"/>
      <c r="I7878" s="101"/>
      <c r="K7878" s="226"/>
      <c r="L7878" s="226"/>
      <c r="M7878" s="101"/>
      <c r="N7878" s="101"/>
    </row>
    <row r="7879" spans="7:14" hidden="1" x14ac:dyDescent="0.3">
      <c r="G7879" s="101"/>
      <c r="H7879" s="101"/>
      <c r="I7879" s="101"/>
      <c r="K7879" s="226"/>
      <c r="L7879" s="226"/>
      <c r="M7879" s="101"/>
      <c r="N7879" s="101"/>
    </row>
    <row r="7880" spans="7:14" hidden="1" x14ac:dyDescent="0.3">
      <c r="G7880" s="101"/>
      <c r="H7880" s="101"/>
      <c r="I7880" s="101"/>
      <c r="K7880" s="226"/>
      <c r="L7880" s="226"/>
      <c r="M7880" s="101"/>
      <c r="N7880" s="101"/>
    </row>
    <row r="7881" spans="7:14" hidden="1" x14ac:dyDescent="0.3">
      <c r="G7881" s="101"/>
      <c r="H7881" s="101"/>
      <c r="I7881" s="101"/>
      <c r="K7881" s="226"/>
      <c r="L7881" s="226"/>
      <c r="M7881" s="101"/>
      <c r="N7881" s="101"/>
    </row>
    <row r="7882" spans="7:14" hidden="1" x14ac:dyDescent="0.3">
      <c r="G7882" s="101"/>
      <c r="H7882" s="101"/>
      <c r="I7882" s="101"/>
      <c r="K7882" s="226"/>
      <c r="L7882" s="226"/>
      <c r="M7882" s="101"/>
      <c r="N7882" s="101"/>
    </row>
    <row r="7883" spans="7:14" hidden="1" x14ac:dyDescent="0.3">
      <c r="G7883" s="101"/>
      <c r="H7883" s="101"/>
      <c r="I7883" s="101"/>
      <c r="K7883" s="226"/>
      <c r="L7883" s="226"/>
      <c r="M7883" s="101"/>
      <c r="N7883" s="101"/>
    </row>
    <row r="7884" spans="7:14" hidden="1" x14ac:dyDescent="0.3">
      <c r="G7884" s="101"/>
      <c r="H7884" s="101"/>
      <c r="I7884" s="101"/>
      <c r="K7884" s="226"/>
      <c r="L7884" s="226"/>
      <c r="M7884" s="101"/>
      <c r="N7884" s="101"/>
    </row>
    <row r="7885" spans="7:14" hidden="1" x14ac:dyDescent="0.3">
      <c r="G7885" s="101"/>
      <c r="H7885" s="101"/>
      <c r="I7885" s="101"/>
      <c r="K7885" s="226"/>
      <c r="L7885" s="226"/>
      <c r="M7885" s="101"/>
      <c r="N7885" s="101"/>
    </row>
    <row r="7886" spans="7:14" hidden="1" x14ac:dyDescent="0.3">
      <c r="G7886" s="101"/>
      <c r="H7886" s="101"/>
      <c r="I7886" s="101"/>
      <c r="K7886" s="226"/>
      <c r="L7886" s="226"/>
      <c r="M7886" s="101"/>
      <c r="N7886" s="101"/>
    </row>
    <row r="7887" spans="7:14" hidden="1" x14ac:dyDescent="0.3">
      <c r="G7887" s="101"/>
      <c r="H7887" s="101"/>
      <c r="I7887" s="101"/>
      <c r="K7887" s="226"/>
      <c r="L7887" s="226"/>
      <c r="M7887" s="101"/>
      <c r="N7887" s="101"/>
    </row>
    <row r="7888" spans="7:14" hidden="1" x14ac:dyDescent="0.3">
      <c r="G7888" s="101"/>
      <c r="H7888" s="101"/>
      <c r="I7888" s="101"/>
      <c r="K7888" s="226"/>
      <c r="L7888" s="226"/>
      <c r="M7888" s="101"/>
      <c r="N7888" s="101"/>
    </row>
    <row r="7889" spans="7:14" hidden="1" x14ac:dyDescent="0.3">
      <c r="G7889" s="101"/>
      <c r="H7889" s="101"/>
      <c r="I7889" s="101"/>
      <c r="K7889" s="226"/>
      <c r="L7889" s="226"/>
      <c r="M7889" s="101"/>
      <c r="N7889" s="101"/>
    </row>
    <row r="7890" spans="7:14" hidden="1" x14ac:dyDescent="0.3">
      <c r="G7890" s="101"/>
      <c r="H7890" s="101"/>
      <c r="I7890" s="101"/>
      <c r="K7890" s="226"/>
      <c r="L7890" s="226"/>
      <c r="M7890" s="101"/>
      <c r="N7890" s="101"/>
    </row>
    <row r="7891" spans="7:14" hidden="1" x14ac:dyDescent="0.3">
      <c r="G7891" s="101"/>
      <c r="H7891" s="101"/>
      <c r="I7891" s="101"/>
      <c r="K7891" s="226"/>
      <c r="L7891" s="226"/>
      <c r="M7891" s="101"/>
      <c r="N7891" s="101"/>
    </row>
    <row r="7892" spans="7:14" hidden="1" x14ac:dyDescent="0.3">
      <c r="G7892" s="101"/>
      <c r="H7892" s="101"/>
      <c r="I7892" s="101"/>
      <c r="K7892" s="226"/>
      <c r="L7892" s="226"/>
      <c r="M7892" s="101"/>
      <c r="N7892" s="101"/>
    </row>
    <row r="7893" spans="7:14" hidden="1" x14ac:dyDescent="0.3">
      <c r="G7893" s="101"/>
      <c r="H7893" s="101"/>
      <c r="I7893" s="101"/>
      <c r="K7893" s="226"/>
      <c r="L7893" s="226"/>
      <c r="M7893" s="101"/>
      <c r="N7893" s="101"/>
    </row>
    <row r="7894" spans="7:14" hidden="1" x14ac:dyDescent="0.3">
      <c r="G7894" s="101"/>
      <c r="H7894" s="101"/>
      <c r="I7894" s="101"/>
      <c r="K7894" s="226"/>
      <c r="L7894" s="226"/>
      <c r="M7894" s="101"/>
      <c r="N7894" s="101"/>
    </row>
    <row r="7895" spans="7:14" hidden="1" x14ac:dyDescent="0.3">
      <c r="G7895" s="101"/>
      <c r="H7895" s="101"/>
      <c r="I7895" s="101"/>
      <c r="K7895" s="226"/>
      <c r="L7895" s="226"/>
      <c r="M7895" s="101"/>
      <c r="N7895" s="101"/>
    </row>
    <row r="7896" spans="7:14" hidden="1" x14ac:dyDescent="0.3">
      <c r="G7896" s="101"/>
      <c r="H7896" s="101"/>
      <c r="I7896" s="101"/>
      <c r="K7896" s="226"/>
      <c r="L7896" s="226"/>
      <c r="M7896" s="101"/>
      <c r="N7896" s="101"/>
    </row>
    <row r="7897" spans="7:14" hidden="1" x14ac:dyDescent="0.3">
      <c r="G7897" s="101"/>
      <c r="H7897" s="101"/>
      <c r="I7897" s="101"/>
      <c r="K7897" s="226"/>
      <c r="L7897" s="226"/>
      <c r="M7897" s="101"/>
      <c r="N7897" s="101"/>
    </row>
    <row r="7898" spans="7:14" hidden="1" x14ac:dyDescent="0.3">
      <c r="G7898" s="101"/>
      <c r="H7898" s="101"/>
      <c r="I7898" s="101"/>
      <c r="K7898" s="226"/>
      <c r="L7898" s="226"/>
      <c r="M7898" s="101"/>
      <c r="N7898" s="101"/>
    </row>
    <row r="7899" spans="7:14" hidden="1" x14ac:dyDescent="0.3">
      <c r="G7899" s="101"/>
      <c r="H7899" s="101"/>
      <c r="I7899" s="101"/>
      <c r="K7899" s="226"/>
      <c r="L7899" s="226"/>
      <c r="M7899" s="101"/>
      <c r="N7899" s="101"/>
    </row>
    <row r="7900" spans="7:14" hidden="1" x14ac:dyDescent="0.3">
      <c r="G7900" s="101"/>
      <c r="H7900" s="101"/>
      <c r="I7900" s="101"/>
      <c r="K7900" s="226"/>
      <c r="L7900" s="226"/>
      <c r="M7900" s="101"/>
      <c r="N7900" s="101"/>
    </row>
    <row r="7901" spans="7:14" hidden="1" x14ac:dyDescent="0.3">
      <c r="G7901" s="101"/>
      <c r="H7901" s="101"/>
      <c r="I7901" s="101"/>
      <c r="K7901" s="226"/>
      <c r="L7901" s="226"/>
      <c r="M7901" s="101"/>
      <c r="N7901" s="101"/>
    </row>
    <row r="7902" spans="7:14" hidden="1" x14ac:dyDescent="0.3">
      <c r="G7902" s="101"/>
      <c r="H7902" s="101"/>
      <c r="I7902" s="101"/>
      <c r="K7902" s="226"/>
      <c r="L7902" s="226"/>
      <c r="M7902" s="101"/>
      <c r="N7902" s="101"/>
    </row>
    <row r="7903" spans="7:14" hidden="1" x14ac:dyDescent="0.3">
      <c r="G7903" s="101"/>
      <c r="H7903" s="101"/>
      <c r="I7903" s="101"/>
      <c r="K7903" s="226"/>
      <c r="L7903" s="226"/>
      <c r="M7903" s="101"/>
      <c r="N7903" s="101"/>
    </row>
    <row r="7904" spans="7:14" hidden="1" x14ac:dyDescent="0.3">
      <c r="G7904" s="101"/>
      <c r="H7904" s="101"/>
      <c r="I7904" s="101"/>
      <c r="K7904" s="226"/>
      <c r="L7904" s="226"/>
      <c r="M7904" s="101"/>
      <c r="N7904" s="101"/>
    </row>
    <row r="7905" spans="7:14" hidden="1" x14ac:dyDescent="0.3">
      <c r="G7905" s="101"/>
      <c r="H7905" s="101"/>
      <c r="I7905" s="101"/>
      <c r="K7905" s="226"/>
      <c r="L7905" s="226"/>
      <c r="M7905" s="101"/>
      <c r="N7905" s="101"/>
    </row>
    <row r="7906" spans="7:14" hidden="1" x14ac:dyDescent="0.3">
      <c r="G7906" s="101"/>
      <c r="H7906" s="101"/>
      <c r="I7906" s="101"/>
      <c r="K7906" s="226"/>
      <c r="L7906" s="226"/>
      <c r="M7906" s="101"/>
      <c r="N7906" s="101"/>
    </row>
    <row r="7907" spans="7:14" hidden="1" x14ac:dyDescent="0.3">
      <c r="G7907" s="101"/>
      <c r="H7907" s="101"/>
      <c r="I7907" s="101"/>
      <c r="K7907" s="226"/>
      <c r="L7907" s="226"/>
      <c r="M7907" s="101"/>
      <c r="N7907" s="101"/>
    </row>
    <row r="7908" spans="7:14" hidden="1" x14ac:dyDescent="0.3">
      <c r="G7908" s="101"/>
      <c r="H7908" s="101"/>
      <c r="I7908" s="101"/>
      <c r="K7908" s="226"/>
      <c r="L7908" s="226"/>
      <c r="M7908" s="101"/>
      <c r="N7908" s="101"/>
    </row>
    <row r="7909" spans="7:14" hidden="1" x14ac:dyDescent="0.3">
      <c r="G7909" s="101"/>
      <c r="H7909" s="101"/>
      <c r="I7909" s="101"/>
      <c r="K7909" s="226"/>
      <c r="L7909" s="226"/>
      <c r="M7909" s="101"/>
      <c r="N7909" s="101"/>
    </row>
    <row r="7910" spans="7:14" hidden="1" x14ac:dyDescent="0.3">
      <c r="G7910" s="101"/>
      <c r="H7910" s="101"/>
      <c r="I7910" s="101"/>
      <c r="K7910" s="226"/>
      <c r="L7910" s="226"/>
      <c r="M7910" s="101"/>
      <c r="N7910" s="101"/>
    </row>
    <row r="7911" spans="7:14" hidden="1" x14ac:dyDescent="0.3">
      <c r="G7911" s="101"/>
      <c r="H7911" s="101"/>
      <c r="I7911" s="101"/>
      <c r="K7911" s="226"/>
      <c r="L7911" s="226"/>
      <c r="M7911" s="101"/>
      <c r="N7911" s="101"/>
    </row>
    <row r="7912" spans="7:14" hidden="1" x14ac:dyDescent="0.3">
      <c r="G7912" s="101"/>
      <c r="H7912" s="101"/>
      <c r="I7912" s="101"/>
      <c r="K7912" s="226"/>
      <c r="L7912" s="226"/>
      <c r="M7912" s="101"/>
      <c r="N7912" s="101"/>
    </row>
    <row r="7913" spans="7:14" hidden="1" x14ac:dyDescent="0.3">
      <c r="G7913" s="101"/>
      <c r="H7913" s="101"/>
      <c r="I7913" s="101"/>
      <c r="K7913" s="226"/>
      <c r="L7913" s="226"/>
      <c r="M7913" s="101"/>
      <c r="N7913" s="101"/>
    </row>
    <row r="7914" spans="7:14" hidden="1" x14ac:dyDescent="0.3">
      <c r="G7914" s="101"/>
      <c r="H7914" s="101"/>
      <c r="I7914" s="101"/>
      <c r="K7914" s="226"/>
      <c r="L7914" s="226"/>
      <c r="M7914" s="101"/>
      <c r="N7914" s="101"/>
    </row>
    <row r="7915" spans="7:14" hidden="1" x14ac:dyDescent="0.3">
      <c r="G7915" s="101"/>
      <c r="H7915" s="101"/>
      <c r="I7915" s="101"/>
      <c r="K7915" s="226"/>
      <c r="L7915" s="226"/>
      <c r="M7915" s="101"/>
      <c r="N7915" s="101"/>
    </row>
    <row r="7916" spans="7:14" hidden="1" x14ac:dyDescent="0.3">
      <c r="G7916" s="101"/>
      <c r="H7916" s="101"/>
      <c r="I7916" s="101"/>
      <c r="K7916" s="226"/>
      <c r="L7916" s="226"/>
      <c r="M7916" s="101"/>
      <c r="N7916" s="101"/>
    </row>
    <row r="7917" spans="7:14" hidden="1" x14ac:dyDescent="0.3">
      <c r="G7917" s="101"/>
      <c r="H7917" s="101"/>
      <c r="I7917" s="101"/>
      <c r="K7917" s="226"/>
      <c r="L7917" s="226"/>
      <c r="M7917" s="101"/>
      <c r="N7917" s="101"/>
    </row>
    <row r="7918" spans="7:14" hidden="1" x14ac:dyDescent="0.3">
      <c r="G7918" s="101"/>
      <c r="H7918" s="101"/>
      <c r="I7918" s="101"/>
      <c r="K7918" s="226"/>
      <c r="L7918" s="226"/>
      <c r="M7918" s="101"/>
      <c r="N7918" s="101"/>
    </row>
    <row r="7919" spans="7:14" hidden="1" x14ac:dyDescent="0.3">
      <c r="G7919" s="101"/>
      <c r="H7919" s="101"/>
      <c r="I7919" s="101"/>
      <c r="K7919" s="226"/>
      <c r="L7919" s="226"/>
      <c r="M7919" s="101"/>
      <c r="N7919" s="101"/>
    </row>
    <row r="7920" spans="7:14" hidden="1" x14ac:dyDescent="0.3">
      <c r="G7920" s="101"/>
      <c r="H7920" s="101"/>
      <c r="I7920" s="101"/>
      <c r="K7920" s="226"/>
      <c r="L7920" s="226"/>
      <c r="M7920" s="101"/>
      <c r="N7920" s="101"/>
    </row>
    <row r="7921" spans="7:14" hidden="1" x14ac:dyDescent="0.3">
      <c r="G7921" s="101"/>
      <c r="H7921" s="101"/>
      <c r="I7921" s="101"/>
      <c r="K7921" s="226"/>
      <c r="L7921" s="226"/>
      <c r="M7921" s="101"/>
      <c r="N7921" s="101"/>
    </row>
    <row r="7922" spans="7:14" hidden="1" x14ac:dyDescent="0.3">
      <c r="G7922" s="101"/>
      <c r="H7922" s="101"/>
      <c r="I7922" s="101"/>
      <c r="K7922" s="226"/>
      <c r="L7922" s="226"/>
      <c r="M7922" s="101"/>
      <c r="N7922" s="101"/>
    </row>
    <row r="7923" spans="7:14" hidden="1" x14ac:dyDescent="0.3">
      <c r="G7923" s="101"/>
      <c r="H7923" s="101"/>
      <c r="I7923" s="101"/>
      <c r="K7923" s="226"/>
      <c r="L7923" s="226"/>
      <c r="M7923" s="101"/>
      <c r="N7923" s="101"/>
    </row>
    <row r="7924" spans="7:14" hidden="1" x14ac:dyDescent="0.3">
      <c r="G7924" s="101"/>
      <c r="H7924" s="101"/>
      <c r="I7924" s="101"/>
      <c r="K7924" s="226"/>
      <c r="L7924" s="226"/>
      <c r="M7924" s="101"/>
      <c r="N7924" s="101"/>
    </row>
    <row r="7925" spans="7:14" hidden="1" x14ac:dyDescent="0.3">
      <c r="G7925" s="101"/>
      <c r="H7925" s="101"/>
      <c r="I7925" s="101"/>
      <c r="K7925" s="226"/>
      <c r="L7925" s="226"/>
      <c r="M7925" s="101"/>
      <c r="N7925" s="101"/>
    </row>
    <row r="7926" spans="7:14" hidden="1" x14ac:dyDescent="0.3">
      <c r="G7926" s="101"/>
      <c r="H7926" s="101"/>
      <c r="I7926" s="101"/>
      <c r="K7926" s="226"/>
      <c r="L7926" s="226"/>
      <c r="M7926" s="101"/>
      <c r="N7926" s="101"/>
    </row>
    <row r="7927" spans="7:14" hidden="1" x14ac:dyDescent="0.3">
      <c r="G7927" s="101"/>
      <c r="H7927" s="101"/>
      <c r="I7927" s="101"/>
      <c r="K7927" s="226"/>
      <c r="L7927" s="226"/>
      <c r="M7927" s="101"/>
      <c r="N7927" s="101"/>
    </row>
    <row r="7928" spans="7:14" hidden="1" x14ac:dyDescent="0.3">
      <c r="G7928" s="101"/>
      <c r="H7928" s="101"/>
      <c r="I7928" s="101"/>
      <c r="K7928" s="226"/>
      <c r="L7928" s="226"/>
      <c r="M7928" s="101"/>
      <c r="N7928" s="101"/>
    </row>
    <row r="7929" spans="7:14" hidden="1" x14ac:dyDescent="0.3">
      <c r="G7929" s="101"/>
      <c r="H7929" s="101"/>
      <c r="I7929" s="101"/>
      <c r="K7929" s="226"/>
      <c r="L7929" s="226"/>
      <c r="M7929" s="101"/>
      <c r="N7929" s="101"/>
    </row>
    <row r="7930" spans="7:14" hidden="1" x14ac:dyDescent="0.3">
      <c r="G7930" s="101"/>
      <c r="H7930" s="101"/>
      <c r="I7930" s="101"/>
      <c r="K7930" s="226"/>
      <c r="L7930" s="226"/>
      <c r="M7930" s="101"/>
      <c r="N7930" s="101"/>
    </row>
    <row r="7931" spans="7:14" hidden="1" x14ac:dyDescent="0.3">
      <c r="G7931" s="101"/>
      <c r="H7931" s="101"/>
      <c r="I7931" s="101"/>
      <c r="K7931" s="226"/>
      <c r="L7931" s="226"/>
      <c r="M7931" s="101"/>
      <c r="N7931" s="101"/>
    </row>
    <row r="7932" spans="7:14" hidden="1" x14ac:dyDescent="0.3">
      <c r="G7932" s="101"/>
      <c r="H7932" s="101"/>
      <c r="I7932" s="101"/>
      <c r="K7932" s="226"/>
      <c r="L7932" s="226"/>
      <c r="M7932" s="101"/>
      <c r="N7932" s="101"/>
    </row>
    <row r="7933" spans="7:14" hidden="1" x14ac:dyDescent="0.3">
      <c r="G7933" s="101"/>
      <c r="H7933" s="101"/>
      <c r="I7933" s="101"/>
      <c r="K7933" s="226"/>
      <c r="L7933" s="226"/>
      <c r="M7933" s="101"/>
      <c r="N7933" s="101"/>
    </row>
    <row r="7934" spans="7:14" hidden="1" x14ac:dyDescent="0.3">
      <c r="G7934" s="101"/>
      <c r="H7934" s="101"/>
      <c r="I7934" s="101"/>
      <c r="K7934" s="226"/>
      <c r="L7934" s="226"/>
      <c r="M7934" s="101"/>
      <c r="N7934" s="101"/>
    </row>
    <row r="7935" spans="7:14" hidden="1" x14ac:dyDescent="0.3">
      <c r="G7935" s="101"/>
      <c r="H7935" s="101"/>
      <c r="I7935" s="101"/>
      <c r="K7935" s="226"/>
      <c r="L7935" s="226"/>
      <c r="M7935" s="101"/>
      <c r="N7935" s="101"/>
    </row>
    <row r="7936" spans="7:14" hidden="1" x14ac:dyDescent="0.3">
      <c r="G7936" s="101"/>
      <c r="H7936" s="101"/>
      <c r="I7936" s="101"/>
      <c r="K7936" s="226"/>
      <c r="L7936" s="226"/>
      <c r="M7936" s="101"/>
      <c r="N7936" s="101"/>
    </row>
    <row r="7937" spans="7:14" hidden="1" x14ac:dyDescent="0.3">
      <c r="G7937" s="101"/>
      <c r="H7937" s="101"/>
      <c r="I7937" s="101"/>
      <c r="K7937" s="226"/>
      <c r="L7937" s="226"/>
      <c r="M7937" s="101"/>
      <c r="N7937" s="101"/>
    </row>
    <row r="7938" spans="7:14" hidden="1" x14ac:dyDescent="0.3">
      <c r="G7938" s="101"/>
      <c r="H7938" s="101"/>
      <c r="I7938" s="101"/>
      <c r="K7938" s="226"/>
      <c r="L7938" s="226"/>
      <c r="M7938" s="101"/>
      <c r="N7938" s="101"/>
    </row>
    <row r="7939" spans="7:14" hidden="1" x14ac:dyDescent="0.3">
      <c r="G7939" s="101"/>
      <c r="H7939" s="101"/>
      <c r="I7939" s="101"/>
      <c r="K7939" s="226"/>
      <c r="L7939" s="226"/>
      <c r="M7939" s="101"/>
      <c r="N7939" s="101"/>
    </row>
    <row r="7940" spans="7:14" hidden="1" x14ac:dyDescent="0.3">
      <c r="G7940" s="101"/>
      <c r="H7940" s="101"/>
      <c r="I7940" s="101"/>
      <c r="K7940" s="226"/>
      <c r="L7940" s="226"/>
      <c r="M7940" s="101"/>
      <c r="N7940" s="101"/>
    </row>
    <row r="7941" spans="7:14" hidden="1" x14ac:dyDescent="0.3">
      <c r="G7941" s="101"/>
      <c r="H7941" s="101"/>
      <c r="I7941" s="101"/>
      <c r="K7941" s="226"/>
      <c r="L7941" s="226"/>
      <c r="M7941" s="101"/>
      <c r="N7941" s="101"/>
    </row>
    <row r="7942" spans="7:14" hidden="1" x14ac:dyDescent="0.3">
      <c r="G7942" s="101"/>
      <c r="H7942" s="101"/>
      <c r="I7942" s="101"/>
      <c r="K7942" s="226"/>
      <c r="L7942" s="226"/>
      <c r="M7942" s="101"/>
      <c r="N7942" s="101"/>
    </row>
    <row r="7943" spans="7:14" hidden="1" x14ac:dyDescent="0.3">
      <c r="G7943" s="101"/>
      <c r="H7943" s="101"/>
      <c r="I7943" s="101"/>
      <c r="K7943" s="226"/>
      <c r="L7943" s="226"/>
      <c r="M7943" s="101"/>
      <c r="N7943" s="101"/>
    </row>
    <row r="7944" spans="7:14" hidden="1" x14ac:dyDescent="0.3">
      <c r="G7944" s="101"/>
      <c r="H7944" s="101"/>
      <c r="I7944" s="101"/>
      <c r="K7944" s="226"/>
      <c r="L7944" s="226"/>
      <c r="M7944" s="101"/>
      <c r="N7944" s="101"/>
    </row>
    <row r="7945" spans="7:14" hidden="1" x14ac:dyDescent="0.3">
      <c r="G7945" s="101"/>
      <c r="H7945" s="101"/>
      <c r="I7945" s="101"/>
      <c r="K7945" s="226"/>
      <c r="L7945" s="226"/>
      <c r="M7945" s="101"/>
      <c r="N7945" s="101"/>
    </row>
    <row r="7946" spans="7:14" hidden="1" x14ac:dyDescent="0.3">
      <c r="G7946" s="101"/>
      <c r="H7946" s="101"/>
      <c r="I7946" s="101"/>
      <c r="K7946" s="226"/>
      <c r="L7946" s="226"/>
      <c r="M7946" s="101"/>
      <c r="N7946" s="101"/>
    </row>
    <row r="7947" spans="7:14" hidden="1" x14ac:dyDescent="0.3">
      <c r="G7947" s="101"/>
      <c r="H7947" s="101"/>
      <c r="I7947" s="101"/>
      <c r="K7947" s="226"/>
      <c r="L7947" s="226"/>
      <c r="M7947" s="101"/>
      <c r="N7947" s="101"/>
    </row>
    <row r="7948" spans="7:14" hidden="1" x14ac:dyDescent="0.3">
      <c r="G7948" s="101"/>
      <c r="H7948" s="101"/>
      <c r="I7948" s="101"/>
      <c r="K7948" s="226"/>
      <c r="L7948" s="226"/>
      <c r="M7948" s="101"/>
      <c r="N7948" s="101"/>
    </row>
    <row r="7949" spans="7:14" hidden="1" x14ac:dyDescent="0.3">
      <c r="G7949" s="101"/>
      <c r="H7949" s="101"/>
      <c r="I7949" s="101"/>
      <c r="K7949" s="226"/>
      <c r="L7949" s="226"/>
      <c r="M7949" s="101"/>
      <c r="N7949" s="101"/>
    </row>
    <row r="7950" spans="7:14" hidden="1" x14ac:dyDescent="0.3">
      <c r="G7950" s="101"/>
      <c r="H7950" s="101"/>
      <c r="I7950" s="101"/>
      <c r="K7950" s="226"/>
      <c r="L7950" s="226"/>
      <c r="M7950" s="101"/>
      <c r="N7950" s="101"/>
    </row>
    <row r="7951" spans="7:14" hidden="1" x14ac:dyDescent="0.3">
      <c r="G7951" s="101"/>
      <c r="H7951" s="101"/>
      <c r="I7951" s="101"/>
      <c r="K7951" s="226"/>
      <c r="L7951" s="226"/>
      <c r="M7951" s="101"/>
      <c r="N7951" s="101"/>
    </row>
    <row r="7952" spans="7:14" hidden="1" x14ac:dyDescent="0.3">
      <c r="G7952" s="101"/>
      <c r="H7952" s="101"/>
      <c r="I7952" s="101"/>
      <c r="K7952" s="226"/>
      <c r="L7952" s="226"/>
      <c r="M7952" s="101"/>
      <c r="N7952" s="101"/>
    </row>
    <row r="7953" spans="7:14" hidden="1" x14ac:dyDescent="0.3">
      <c r="G7953" s="101"/>
      <c r="H7953" s="101"/>
      <c r="I7953" s="101"/>
      <c r="K7953" s="226"/>
      <c r="L7953" s="226"/>
      <c r="M7953" s="101"/>
      <c r="N7953" s="101"/>
    </row>
    <row r="7954" spans="7:14" hidden="1" x14ac:dyDescent="0.3">
      <c r="G7954" s="101"/>
      <c r="H7954" s="101"/>
      <c r="I7954" s="101"/>
      <c r="K7954" s="226"/>
      <c r="L7954" s="226"/>
      <c r="M7954" s="101"/>
      <c r="N7954" s="101"/>
    </row>
    <row r="7955" spans="7:14" hidden="1" x14ac:dyDescent="0.3">
      <c r="G7955" s="101"/>
      <c r="H7955" s="101"/>
      <c r="I7955" s="101"/>
      <c r="K7955" s="226"/>
      <c r="L7955" s="226"/>
      <c r="M7955" s="101"/>
      <c r="N7955" s="101"/>
    </row>
    <row r="7956" spans="7:14" hidden="1" x14ac:dyDescent="0.3">
      <c r="G7956" s="101"/>
      <c r="H7956" s="101"/>
      <c r="I7956" s="101"/>
      <c r="K7956" s="226"/>
      <c r="L7956" s="226"/>
      <c r="M7956" s="101"/>
      <c r="N7956" s="101"/>
    </row>
    <row r="7957" spans="7:14" hidden="1" x14ac:dyDescent="0.3">
      <c r="G7957" s="101"/>
      <c r="H7957" s="101"/>
      <c r="I7957" s="101"/>
      <c r="K7957" s="226"/>
      <c r="L7957" s="226"/>
      <c r="M7957" s="101"/>
      <c r="N7957" s="101"/>
    </row>
    <row r="7958" spans="7:14" hidden="1" x14ac:dyDescent="0.3">
      <c r="G7958" s="101"/>
      <c r="H7958" s="101"/>
      <c r="I7958" s="101"/>
      <c r="K7958" s="226"/>
      <c r="L7958" s="226"/>
      <c r="M7958" s="101"/>
      <c r="N7958" s="101"/>
    </row>
    <row r="7959" spans="7:14" hidden="1" x14ac:dyDescent="0.3">
      <c r="G7959" s="101"/>
      <c r="H7959" s="101"/>
      <c r="I7959" s="101"/>
      <c r="K7959" s="226"/>
      <c r="L7959" s="226"/>
      <c r="M7959" s="101"/>
      <c r="N7959" s="101"/>
    </row>
    <row r="7960" spans="7:14" hidden="1" x14ac:dyDescent="0.3">
      <c r="G7960" s="101"/>
      <c r="H7960" s="101"/>
      <c r="I7960" s="101"/>
      <c r="K7960" s="226"/>
      <c r="L7960" s="226"/>
      <c r="M7960" s="101"/>
      <c r="N7960" s="101"/>
    </row>
    <row r="7961" spans="7:14" hidden="1" x14ac:dyDescent="0.3">
      <c r="G7961" s="101"/>
      <c r="H7961" s="101"/>
      <c r="I7961" s="101"/>
      <c r="K7961" s="226"/>
      <c r="L7961" s="226"/>
      <c r="M7961" s="101"/>
      <c r="N7961" s="101"/>
    </row>
    <row r="7962" spans="7:14" hidden="1" x14ac:dyDescent="0.3">
      <c r="G7962" s="101"/>
      <c r="H7962" s="101"/>
      <c r="I7962" s="101"/>
      <c r="K7962" s="226"/>
      <c r="L7962" s="226"/>
      <c r="M7962" s="101"/>
      <c r="N7962" s="101"/>
    </row>
    <row r="7963" spans="7:14" hidden="1" x14ac:dyDescent="0.3">
      <c r="G7963" s="101"/>
      <c r="H7963" s="101"/>
      <c r="I7963" s="101"/>
      <c r="K7963" s="226"/>
      <c r="L7963" s="226"/>
      <c r="M7963" s="101"/>
      <c r="N7963" s="101"/>
    </row>
    <row r="7964" spans="7:14" hidden="1" x14ac:dyDescent="0.3">
      <c r="G7964" s="101"/>
      <c r="H7964" s="101"/>
      <c r="I7964" s="101"/>
      <c r="K7964" s="226"/>
      <c r="L7964" s="226"/>
      <c r="M7964" s="101"/>
      <c r="N7964" s="101"/>
    </row>
    <row r="7965" spans="7:14" hidden="1" x14ac:dyDescent="0.3">
      <c r="G7965" s="101"/>
      <c r="H7965" s="101"/>
      <c r="I7965" s="101"/>
      <c r="K7965" s="226"/>
      <c r="L7965" s="226"/>
      <c r="M7965" s="101"/>
      <c r="N7965" s="101"/>
    </row>
    <row r="7966" spans="7:14" hidden="1" x14ac:dyDescent="0.3">
      <c r="G7966" s="101"/>
      <c r="H7966" s="101"/>
      <c r="I7966" s="101"/>
      <c r="K7966" s="226"/>
      <c r="L7966" s="226"/>
      <c r="M7966" s="101"/>
      <c r="N7966" s="101"/>
    </row>
    <row r="7967" spans="7:14" hidden="1" x14ac:dyDescent="0.3">
      <c r="G7967" s="101"/>
      <c r="H7967" s="101"/>
      <c r="I7967" s="101"/>
      <c r="K7967" s="226"/>
      <c r="L7967" s="226"/>
      <c r="M7967" s="101"/>
      <c r="N7967" s="101"/>
    </row>
    <row r="7968" spans="7:14" hidden="1" x14ac:dyDescent="0.3">
      <c r="G7968" s="101"/>
      <c r="H7968" s="101"/>
      <c r="I7968" s="101"/>
      <c r="K7968" s="226"/>
      <c r="L7968" s="226"/>
      <c r="M7968" s="101"/>
      <c r="N7968" s="101"/>
    </row>
    <row r="7969" spans="7:14" hidden="1" x14ac:dyDescent="0.3">
      <c r="G7969" s="101"/>
      <c r="H7969" s="101"/>
      <c r="I7969" s="101"/>
      <c r="K7969" s="226"/>
      <c r="L7969" s="226"/>
      <c r="M7969" s="101"/>
      <c r="N7969" s="101"/>
    </row>
    <row r="7970" spans="7:14" hidden="1" x14ac:dyDescent="0.3">
      <c r="G7970" s="101"/>
      <c r="H7970" s="101"/>
      <c r="I7970" s="101"/>
      <c r="K7970" s="226"/>
      <c r="L7970" s="226"/>
      <c r="M7970" s="101"/>
      <c r="N7970" s="101"/>
    </row>
    <row r="7971" spans="7:14" hidden="1" x14ac:dyDescent="0.3">
      <c r="G7971" s="101"/>
      <c r="H7971" s="101"/>
      <c r="I7971" s="101"/>
      <c r="K7971" s="226"/>
      <c r="L7971" s="226"/>
      <c r="M7971" s="101"/>
      <c r="N7971" s="101"/>
    </row>
    <row r="7972" spans="7:14" hidden="1" x14ac:dyDescent="0.3">
      <c r="G7972" s="101"/>
      <c r="H7972" s="101"/>
      <c r="I7972" s="101"/>
      <c r="K7972" s="226"/>
      <c r="L7972" s="226"/>
      <c r="M7972" s="101"/>
      <c r="N7972" s="101"/>
    </row>
    <row r="7973" spans="7:14" hidden="1" x14ac:dyDescent="0.3">
      <c r="G7973" s="101"/>
      <c r="H7973" s="101"/>
      <c r="I7973" s="101"/>
      <c r="K7973" s="226"/>
      <c r="L7973" s="226"/>
      <c r="M7973" s="101"/>
      <c r="N7973" s="101"/>
    </row>
    <row r="7974" spans="7:14" hidden="1" x14ac:dyDescent="0.3">
      <c r="G7974" s="101"/>
      <c r="H7974" s="101"/>
      <c r="I7974" s="101"/>
      <c r="K7974" s="226"/>
      <c r="L7974" s="226"/>
      <c r="M7974" s="101"/>
      <c r="N7974" s="101"/>
    </row>
    <row r="7975" spans="7:14" hidden="1" x14ac:dyDescent="0.3">
      <c r="G7975" s="101"/>
      <c r="H7975" s="101"/>
      <c r="I7975" s="101"/>
      <c r="K7975" s="226"/>
      <c r="L7975" s="226"/>
      <c r="M7975" s="101"/>
      <c r="N7975" s="101"/>
    </row>
    <row r="7976" spans="7:14" hidden="1" x14ac:dyDescent="0.3">
      <c r="G7976" s="101"/>
      <c r="H7976" s="101"/>
      <c r="I7976" s="101"/>
      <c r="K7976" s="226"/>
      <c r="L7976" s="226"/>
      <c r="M7976" s="101"/>
      <c r="N7976" s="101"/>
    </row>
    <row r="7977" spans="7:14" hidden="1" x14ac:dyDescent="0.3">
      <c r="G7977" s="101"/>
      <c r="H7977" s="101"/>
      <c r="I7977" s="101"/>
      <c r="K7977" s="226"/>
      <c r="L7977" s="226"/>
      <c r="M7977" s="101"/>
      <c r="N7977" s="101"/>
    </row>
    <row r="7978" spans="7:14" hidden="1" x14ac:dyDescent="0.3">
      <c r="G7978" s="101"/>
      <c r="H7978" s="101"/>
      <c r="I7978" s="101"/>
      <c r="K7978" s="226"/>
      <c r="L7978" s="226"/>
      <c r="M7978" s="101"/>
      <c r="N7978" s="101"/>
    </row>
    <row r="7979" spans="7:14" hidden="1" x14ac:dyDescent="0.3">
      <c r="G7979" s="101"/>
      <c r="H7979" s="101"/>
      <c r="I7979" s="101"/>
      <c r="K7979" s="226"/>
      <c r="L7979" s="226"/>
      <c r="M7979" s="101"/>
      <c r="N7979" s="101"/>
    </row>
    <row r="7980" spans="7:14" hidden="1" x14ac:dyDescent="0.3">
      <c r="G7980" s="101"/>
      <c r="H7980" s="101"/>
      <c r="I7980" s="101"/>
      <c r="K7980" s="226"/>
      <c r="L7980" s="226"/>
      <c r="M7980" s="101"/>
      <c r="N7980" s="101"/>
    </row>
    <row r="7981" spans="7:14" hidden="1" x14ac:dyDescent="0.3">
      <c r="G7981" s="101"/>
      <c r="H7981" s="101"/>
      <c r="I7981" s="101"/>
      <c r="K7981" s="226"/>
      <c r="L7981" s="226"/>
      <c r="M7981" s="101"/>
      <c r="N7981" s="101"/>
    </row>
    <row r="7982" spans="7:14" hidden="1" x14ac:dyDescent="0.3">
      <c r="G7982" s="101"/>
      <c r="H7982" s="101"/>
      <c r="I7982" s="101"/>
      <c r="K7982" s="226"/>
      <c r="L7982" s="226"/>
      <c r="M7982" s="101"/>
      <c r="N7982" s="101"/>
    </row>
    <row r="7983" spans="7:14" hidden="1" x14ac:dyDescent="0.3">
      <c r="G7983" s="101"/>
      <c r="H7983" s="101"/>
      <c r="I7983" s="101"/>
      <c r="K7983" s="226"/>
      <c r="L7983" s="226"/>
      <c r="M7983" s="101"/>
      <c r="N7983" s="101"/>
    </row>
    <row r="7984" spans="7:14" hidden="1" x14ac:dyDescent="0.3">
      <c r="G7984" s="101"/>
      <c r="H7984" s="101"/>
      <c r="I7984" s="101"/>
      <c r="K7984" s="226"/>
      <c r="L7984" s="226"/>
      <c r="M7984" s="101"/>
      <c r="N7984" s="101"/>
    </row>
    <row r="7985" spans="7:14" hidden="1" x14ac:dyDescent="0.3">
      <c r="G7985" s="101"/>
      <c r="H7985" s="101"/>
      <c r="I7985" s="101"/>
      <c r="K7985" s="226"/>
      <c r="L7985" s="226"/>
      <c r="M7985" s="101"/>
      <c r="N7985" s="101"/>
    </row>
    <row r="7986" spans="7:14" hidden="1" x14ac:dyDescent="0.3">
      <c r="G7986" s="101"/>
      <c r="H7986" s="101"/>
      <c r="I7986" s="101"/>
      <c r="K7986" s="226"/>
      <c r="L7986" s="226"/>
      <c r="M7986" s="101"/>
      <c r="N7986" s="101"/>
    </row>
    <row r="7987" spans="7:14" hidden="1" x14ac:dyDescent="0.3">
      <c r="G7987" s="101"/>
      <c r="H7987" s="101"/>
      <c r="I7987" s="101"/>
      <c r="K7987" s="226"/>
      <c r="L7987" s="226"/>
      <c r="M7987" s="101"/>
      <c r="N7987" s="101"/>
    </row>
    <row r="7988" spans="7:14" hidden="1" x14ac:dyDescent="0.3">
      <c r="G7988" s="101"/>
      <c r="H7988" s="101"/>
      <c r="I7988" s="101"/>
      <c r="K7988" s="226"/>
      <c r="L7988" s="226"/>
      <c r="M7988" s="101"/>
      <c r="N7988" s="101"/>
    </row>
    <row r="7989" spans="7:14" hidden="1" x14ac:dyDescent="0.3">
      <c r="G7989" s="101"/>
      <c r="H7989" s="101"/>
      <c r="I7989" s="101"/>
      <c r="K7989" s="226"/>
      <c r="L7989" s="226"/>
      <c r="M7989" s="101"/>
      <c r="N7989" s="101"/>
    </row>
    <row r="7990" spans="7:14" hidden="1" x14ac:dyDescent="0.3">
      <c r="G7990" s="101"/>
      <c r="H7990" s="101"/>
      <c r="I7990" s="101"/>
      <c r="K7990" s="226"/>
      <c r="L7990" s="226"/>
      <c r="M7990" s="101"/>
      <c r="N7990" s="101"/>
    </row>
    <row r="7991" spans="7:14" hidden="1" x14ac:dyDescent="0.3">
      <c r="G7991" s="101"/>
      <c r="H7991" s="101"/>
      <c r="I7991" s="101"/>
      <c r="K7991" s="226"/>
      <c r="L7991" s="226"/>
      <c r="M7991" s="101"/>
      <c r="N7991" s="101"/>
    </row>
    <row r="7992" spans="7:14" hidden="1" x14ac:dyDescent="0.3">
      <c r="G7992" s="101"/>
      <c r="H7992" s="101"/>
      <c r="I7992" s="101"/>
      <c r="K7992" s="226"/>
      <c r="L7992" s="226"/>
      <c r="M7992" s="101"/>
      <c r="N7992" s="101"/>
    </row>
    <row r="7993" spans="7:14" hidden="1" x14ac:dyDescent="0.3">
      <c r="G7993" s="101"/>
      <c r="H7993" s="101"/>
      <c r="I7993" s="101"/>
      <c r="K7993" s="226"/>
      <c r="L7993" s="226"/>
      <c r="M7993" s="101"/>
      <c r="N7993" s="101"/>
    </row>
    <row r="7994" spans="7:14" hidden="1" x14ac:dyDescent="0.3">
      <c r="G7994" s="101"/>
      <c r="H7994" s="101"/>
      <c r="I7994" s="101"/>
      <c r="K7994" s="226"/>
      <c r="L7994" s="226"/>
      <c r="M7994" s="101"/>
      <c r="N7994" s="101"/>
    </row>
    <row r="7995" spans="7:14" hidden="1" x14ac:dyDescent="0.3">
      <c r="G7995" s="101"/>
      <c r="H7995" s="101"/>
      <c r="I7995" s="101"/>
      <c r="K7995" s="226"/>
      <c r="L7995" s="226"/>
      <c r="M7995" s="101"/>
      <c r="N7995" s="101"/>
    </row>
    <row r="7996" spans="7:14" hidden="1" x14ac:dyDescent="0.3">
      <c r="G7996" s="101"/>
      <c r="H7996" s="101"/>
      <c r="I7996" s="101"/>
      <c r="K7996" s="226"/>
      <c r="L7996" s="226"/>
      <c r="M7996" s="101"/>
      <c r="N7996" s="101"/>
    </row>
    <row r="7997" spans="7:14" hidden="1" x14ac:dyDescent="0.3">
      <c r="G7997" s="101"/>
      <c r="H7997" s="101"/>
      <c r="I7997" s="101"/>
      <c r="K7997" s="226"/>
      <c r="L7997" s="226"/>
      <c r="M7997" s="101"/>
      <c r="N7997" s="101"/>
    </row>
    <row r="7998" spans="7:14" hidden="1" x14ac:dyDescent="0.3">
      <c r="G7998" s="101"/>
      <c r="H7998" s="101"/>
      <c r="I7998" s="101"/>
      <c r="K7998" s="226"/>
      <c r="L7998" s="226"/>
      <c r="M7998" s="101"/>
      <c r="N7998" s="101"/>
    </row>
    <row r="7999" spans="7:14" hidden="1" x14ac:dyDescent="0.3">
      <c r="G7999" s="101"/>
      <c r="H7999" s="101"/>
      <c r="I7999" s="101"/>
      <c r="K7999" s="226"/>
      <c r="L7999" s="226"/>
      <c r="M7999" s="101"/>
      <c r="N7999" s="101"/>
    </row>
    <row r="8000" spans="7:14" hidden="1" x14ac:dyDescent="0.3">
      <c r="G8000" s="101"/>
      <c r="H8000" s="101"/>
      <c r="I8000" s="101"/>
      <c r="K8000" s="226"/>
      <c r="L8000" s="226"/>
      <c r="M8000" s="101"/>
      <c r="N8000" s="101"/>
    </row>
    <row r="8001" spans="7:14" hidden="1" x14ac:dyDescent="0.3">
      <c r="G8001" s="101"/>
      <c r="H8001" s="101"/>
      <c r="I8001" s="101"/>
      <c r="K8001" s="226"/>
      <c r="L8001" s="226"/>
      <c r="M8001" s="101"/>
      <c r="N8001" s="101"/>
    </row>
    <row r="8002" spans="7:14" hidden="1" x14ac:dyDescent="0.3">
      <c r="G8002" s="101"/>
      <c r="H8002" s="101"/>
      <c r="I8002" s="101"/>
      <c r="K8002" s="226"/>
      <c r="L8002" s="226"/>
      <c r="M8002" s="101"/>
      <c r="N8002" s="101"/>
    </row>
    <row r="8003" spans="7:14" hidden="1" x14ac:dyDescent="0.3">
      <c r="G8003" s="101"/>
      <c r="H8003" s="101"/>
      <c r="I8003" s="101"/>
      <c r="K8003" s="226"/>
      <c r="L8003" s="226"/>
      <c r="M8003" s="101"/>
      <c r="N8003" s="101"/>
    </row>
    <row r="8004" spans="7:14" hidden="1" x14ac:dyDescent="0.3">
      <c r="G8004" s="101"/>
      <c r="H8004" s="101"/>
      <c r="I8004" s="101"/>
      <c r="K8004" s="226"/>
      <c r="L8004" s="226"/>
      <c r="M8004" s="101"/>
      <c r="N8004" s="101"/>
    </row>
    <row r="8005" spans="7:14" hidden="1" x14ac:dyDescent="0.3">
      <c r="G8005" s="101"/>
      <c r="H8005" s="101"/>
      <c r="I8005" s="101"/>
      <c r="K8005" s="226"/>
      <c r="L8005" s="226"/>
      <c r="M8005" s="101"/>
      <c r="N8005" s="101"/>
    </row>
    <row r="8006" spans="7:14" hidden="1" x14ac:dyDescent="0.3">
      <c r="G8006" s="101"/>
      <c r="H8006" s="101"/>
      <c r="I8006" s="101"/>
      <c r="K8006" s="226"/>
      <c r="L8006" s="226"/>
      <c r="M8006" s="101"/>
      <c r="N8006" s="101"/>
    </row>
    <row r="8007" spans="7:14" hidden="1" x14ac:dyDescent="0.3">
      <c r="G8007" s="101"/>
      <c r="H8007" s="101"/>
      <c r="I8007" s="101"/>
      <c r="K8007" s="226"/>
      <c r="L8007" s="226"/>
      <c r="M8007" s="101"/>
      <c r="N8007" s="101"/>
    </row>
    <row r="8008" spans="7:14" hidden="1" x14ac:dyDescent="0.3">
      <c r="G8008" s="101"/>
      <c r="H8008" s="101"/>
      <c r="I8008" s="101"/>
      <c r="K8008" s="226"/>
      <c r="L8008" s="226"/>
      <c r="M8008" s="101"/>
      <c r="N8008" s="101"/>
    </row>
    <row r="8009" spans="7:14" hidden="1" x14ac:dyDescent="0.3">
      <c r="G8009" s="101"/>
      <c r="H8009" s="101"/>
      <c r="I8009" s="101"/>
      <c r="K8009" s="226"/>
      <c r="L8009" s="226"/>
      <c r="M8009" s="101"/>
      <c r="N8009" s="101"/>
    </row>
    <row r="8010" spans="7:14" hidden="1" x14ac:dyDescent="0.3">
      <c r="G8010" s="101"/>
      <c r="H8010" s="101"/>
      <c r="I8010" s="101"/>
      <c r="K8010" s="226"/>
      <c r="L8010" s="226"/>
      <c r="M8010" s="101"/>
      <c r="N8010" s="101"/>
    </row>
    <row r="8011" spans="7:14" hidden="1" x14ac:dyDescent="0.3">
      <c r="G8011" s="101"/>
      <c r="H8011" s="101"/>
      <c r="I8011" s="101"/>
      <c r="K8011" s="226"/>
      <c r="L8011" s="226"/>
      <c r="M8011" s="101"/>
      <c r="N8011" s="101"/>
    </row>
    <row r="8012" spans="7:14" hidden="1" x14ac:dyDescent="0.3">
      <c r="G8012" s="101"/>
      <c r="H8012" s="101"/>
      <c r="I8012" s="101"/>
      <c r="K8012" s="226"/>
      <c r="L8012" s="226"/>
      <c r="M8012" s="101"/>
      <c r="N8012" s="101"/>
    </row>
    <row r="8013" spans="7:14" hidden="1" x14ac:dyDescent="0.3">
      <c r="G8013" s="101"/>
      <c r="H8013" s="101"/>
      <c r="I8013" s="101"/>
      <c r="K8013" s="226"/>
      <c r="L8013" s="226"/>
      <c r="M8013" s="101"/>
      <c r="N8013" s="101"/>
    </row>
    <row r="8014" spans="7:14" hidden="1" x14ac:dyDescent="0.3">
      <c r="G8014" s="101"/>
      <c r="H8014" s="101"/>
      <c r="I8014" s="101"/>
      <c r="K8014" s="226"/>
      <c r="L8014" s="226"/>
      <c r="M8014" s="101"/>
      <c r="N8014" s="101"/>
    </row>
    <row r="8015" spans="7:14" hidden="1" x14ac:dyDescent="0.3">
      <c r="G8015" s="101"/>
      <c r="H8015" s="101"/>
      <c r="I8015" s="101"/>
      <c r="K8015" s="226"/>
      <c r="L8015" s="226"/>
      <c r="M8015" s="101"/>
      <c r="N8015" s="101"/>
    </row>
    <row r="8016" spans="7:14" hidden="1" x14ac:dyDescent="0.3">
      <c r="G8016" s="101"/>
      <c r="H8016" s="101"/>
      <c r="I8016" s="101"/>
      <c r="K8016" s="226"/>
      <c r="L8016" s="226"/>
      <c r="M8016" s="101"/>
      <c r="N8016" s="101"/>
    </row>
    <row r="8017" spans="7:14" hidden="1" x14ac:dyDescent="0.3">
      <c r="G8017" s="101"/>
      <c r="H8017" s="101"/>
      <c r="I8017" s="101"/>
      <c r="K8017" s="226"/>
      <c r="L8017" s="226"/>
      <c r="M8017" s="101"/>
      <c r="N8017" s="101"/>
    </row>
    <row r="8018" spans="7:14" hidden="1" x14ac:dyDescent="0.3">
      <c r="G8018" s="101"/>
      <c r="H8018" s="101"/>
      <c r="I8018" s="101"/>
      <c r="K8018" s="226"/>
      <c r="L8018" s="226"/>
      <c r="M8018" s="101"/>
      <c r="N8018" s="101"/>
    </row>
    <row r="8019" spans="7:14" hidden="1" x14ac:dyDescent="0.3">
      <c r="G8019" s="101"/>
      <c r="H8019" s="101"/>
      <c r="I8019" s="101"/>
      <c r="K8019" s="226"/>
      <c r="L8019" s="226"/>
      <c r="M8019" s="101"/>
      <c r="N8019" s="101"/>
    </row>
    <row r="8020" spans="7:14" hidden="1" x14ac:dyDescent="0.3">
      <c r="G8020" s="101"/>
      <c r="H8020" s="101"/>
      <c r="I8020" s="101"/>
      <c r="K8020" s="226"/>
      <c r="L8020" s="226"/>
      <c r="M8020" s="101"/>
      <c r="N8020" s="101"/>
    </row>
    <row r="8021" spans="7:14" hidden="1" x14ac:dyDescent="0.3">
      <c r="G8021" s="101"/>
      <c r="H8021" s="101"/>
      <c r="I8021" s="101"/>
      <c r="K8021" s="226"/>
      <c r="L8021" s="226"/>
      <c r="M8021" s="101"/>
      <c r="N8021" s="101"/>
    </row>
    <row r="8022" spans="7:14" hidden="1" x14ac:dyDescent="0.3">
      <c r="G8022" s="101"/>
      <c r="H8022" s="101"/>
      <c r="I8022" s="101"/>
      <c r="K8022" s="226"/>
      <c r="L8022" s="226"/>
      <c r="M8022" s="101"/>
      <c r="N8022" s="101"/>
    </row>
    <row r="8023" spans="7:14" hidden="1" x14ac:dyDescent="0.3">
      <c r="G8023" s="101"/>
      <c r="H8023" s="101"/>
      <c r="I8023" s="101"/>
      <c r="K8023" s="226"/>
      <c r="L8023" s="226"/>
      <c r="M8023" s="101"/>
      <c r="N8023" s="101"/>
    </row>
    <row r="8024" spans="7:14" hidden="1" x14ac:dyDescent="0.3">
      <c r="G8024" s="101"/>
      <c r="H8024" s="101"/>
      <c r="I8024" s="101"/>
      <c r="K8024" s="226"/>
      <c r="L8024" s="226"/>
      <c r="M8024" s="101"/>
      <c r="N8024" s="101"/>
    </row>
    <row r="8025" spans="7:14" hidden="1" x14ac:dyDescent="0.3">
      <c r="G8025" s="101"/>
      <c r="H8025" s="101"/>
      <c r="I8025" s="101"/>
      <c r="K8025" s="226"/>
      <c r="L8025" s="226"/>
      <c r="M8025" s="101"/>
      <c r="N8025" s="101"/>
    </row>
    <row r="8026" spans="7:14" hidden="1" x14ac:dyDescent="0.3">
      <c r="G8026" s="101"/>
      <c r="H8026" s="101"/>
      <c r="I8026" s="101"/>
      <c r="K8026" s="226"/>
      <c r="L8026" s="226"/>
      <c r="M8026" s="101"/>
      <c r="N8026" s="101"/>
    </row>
    <row r="8027" spans="7:14" hidden="1" x14ac:dyDescent="0.3">
      <c r="G8027" s="101"/>
      <c r="H8027" s="101"/>
      <c r="I8027" s="101"/>
      <c r="K8027" s="226"/>
      <c r="L8027" s="226"/>
      <c r="M8027" s="101"/>
      <c r="N8027" s="101"/>
    </row>
    <row r="8028" spans="7:14" hidden="1" x14ac:dyDescent="0.3">
      <c r="G8028" s="101"/>
      <c r="H8028" s="101"/>
      <c r="I8028" s="101"/>
      <c r="K8028" s="226"/>
      <c r="L8028" s="226"/>
      <c r="M8028" s="101"/>
      <c r="N8028" s="101"/>
    </row>
    <row r="8029" spans="7:14" hidden="1" x14ac:dyDescent="0.3">
      <c r="G8029" s="101"/>
      <c r="H8029" s="101"/>
      <c r="I8029" s="101"/>
      <c r="K8029" s="226"/>
      <c r="L8029" s="226"/>
      <c r="M8029" s="101"/>
      <c r="N8029" s="101"/>
    </row>
    <row r="8030" spans="7:14" hidden="1" x14ac:dyDescent="0.3">
      <c r="G8030" s="101"/>
      <c r="H8030" s="101"/>
      <c r="I8030" s="101"/>
      <c r="K8030" s="226"/>
      <c r="L8030" s="226"/>
      <c r="M8030" s="101"/>
      <c r="N8030" s="101"/>
    </row>
    <row r="8031" spans="7:14" hidden="1" x14ac:dyDescent="0.3">
      <c r="G8031" s="101"/>
      <c r="H8031" s="101"/>
      <c r="I8031" s="101"/>
      <c r="K8031" s="226"/>
      <c r="L8031" s="226"/>
      <c r="M8031" s="101"/>
      <c r="N8031" s="101"/>
    </row>
    <row r="8032" spans="7:14" hidden="1" x14ac:dyDescent="0.3">
      <c r="G8032" s="101"/>
      <c r="H8032" s="101"/>
      <c r="I8032" s="101"/>
      <c r="K8032" s="226"/>
      <c r="L8032" s="226"/>
      <c r="M8032" s="101"/>
      <c r="N8032" s="101"/>
    </row>
    <row r="8033" spans="7:14" hidden="1" x14ac:dyDescent="0.3">
      <c r="G8033" s="101"/>
      <c r="H8033" s="101"/>
      <c r="I8033" s="101"/>
      <c r="K8033" s="226"/>
      <c r="L8033" s="226"/>
      <c r="M8033" s="101"/>
      <c r="N8033" s="101"/>
    </row>
    <row r="8034" spans="7:14" hidden="1" x14ac:dyDescent="0.3">
      <c r="G8034" s="101"/>
      <c r="H8034" s="101"/>
      <c r="I8034" s="101"/>
      <c r="K8034" s="226"/>
      <c r="L8034" s="226"/>
      <c r="M8034" s="101"/>
      <c r="N8034" s="101"/>
    </row>
    <row r="8035" spans="7:14" hidden="1" x14ac:dyDescent="0.3">
      <c r="G8035" s="101"/>
      <c r="H8035" s="101"/>
      <c r="I8035" s="101"/>
      <c r="K8035" s="226"/>
      <c r="L8035" s="226"/>
      <c r="M8035" s="101"/>
      <c r="N8035" s="101"/>
    </row>
    <row r="8036" spans="7:14" hidden="1" x14ac:dyDescent="0.3">
      <c r="G8036" s="101"/>
      <c r="H8036" s="101"/>
      <c r="I8036" s="101"/>
      <c r="K8036" s="226"/>
      <c r="L8036" s="226"/>
      <c r="M8036" s="101"/>
      <c r="N8036" s="101"/>
    </row>
    <row r="8037" spans="7:14" hidden="1" x14ac:dyDescent="0.3">
      <c r="G8037" s="101"/>
      <c r="H8037" s="101"/>
      <c r="I8037" s="101"/>
      <c r="K8037" s="226"/>
      <c r="L8037" s="226"/>
      <c r="M8037" s="101"/>
      <c r="N8037" s="101"/>
    </row>
    <row r="8038" spans="7:14" hidden="1" x14ac:dyDescent="0.3">
      <c r="G8038" s="101"/>
      <c r="H8038" s="101"/>
      <c r="I8038" s="101"/>
      <c r="K8038" s="226"/>
      <c r="L8038" s="226"/>
      <c r="M8038" s="101"/>
      <c r="N8038" s="101"/>
    </row>
    <row r="8039" spans="7:14" hidden="1" x14ac:dyDescent="0.3">
      <c r="G8039" s="101"/>
      <c r="H8039" s="101"/>
      <c r="I8039" s="101"/>
      <c r="K8039" s="226"/>
      <c r="L8039" s="226"/>
      <c r="M8039" s="101"/>
      <c r="N8039" s="101"/>
    </row>
    <row r="8040" spans="7:14" hidden="1" x14ac:dyDescent="0.3">
      <c r="G8040" s="101"/>
      <c r="H8040" s="101"/>
      <c r="I8040" s="101"/>
      <c r="K8040" s="226"/>
      <c r="L8040" s="226"/>
      <c r="M8040" s="101"/>
      <c r="N8040" s="101"/>
    </row>
    <row r="8041" spans="7:14" hidden="1" x14ac:dyDescent="0.3">
      <c r="G8041" s="101"/>
      <c r="H8041" s="101"/>
      <c r="I8041" s="101"/>
      <c r="K8041" s="226"/>
      <c r="L8041" s="226"/>
      <c r="M8041" s="101"/>
      <c r="N8041" s="101"/>
    </row>
    <row r="8042" spans="7:14" hidden="1" x14ac:dyDescent="0.3">
      <c r="G8042" s="101"/>
      <c r="H8042" s="101"/>
      <c r="I8042" s="101"/>
      <c r="K8042" s="226"/>
      <c r="L8042" s="226"/>
      <c r="M8042" s="101"/>
      <c r="N8042" s="101"/>
    </row>
    <row r="8043" spans="7:14" hidden="1" x14ac:dyDescent="0.3">
      <c r="G8043" s="101"/>
      <c r="H8043" s="101"/>
      <c r="I8043" s="101"/>
      <c r="K8043" s="226"/>
      <c r="L8043" s="226"/>
      <c r="M8043" s="101"/>
      <c r="N8043" s="101"/>
    </row>
    <row r="8044" spans="7:14" hidden="1" x14ac:dyDescent="0.3">
      <c r="G8044" s="101"/>
      <c r="H8044" s="101"/>
      <c r="I8044" s="101"/>
      <c r="K8044" s="226"/>
      <c r="L8044" s="226"/>
      <c r="M8044" s="101"/>
      <c r="N8044" s="101"/>
    </row>
    <row r="8045" spans="7:14" hidden="1" x14ac:dyDescent="0.3">
      <c r="G8045" s="101"/>
      <c r="H8045" s="101"/>
      <c r="I8045" s="101"/>
      <c r="K8045" s="226"/>
      <c r="L8045" s="226"/>
      <c r="M8045" s="101"/>
      <c r="N8045" s="101"/>
    </row>
    <row r="8046" spans="7:14" hidden="1" x14ac:dyDescent="0.3">
      <c r="G8046" s="101"/>
      <c r="H8046" s="101"/>
      <c r="I8046" s="101"/>
      <c r="K8046" s="226"/>
      <c r="L8046" s="226"/>
      <c r="M8046" s="101"/>
      <c r="N8046" s="101"/>
    </row>
    <row r="8047" spans="7:14" hidden="1" x14ac:dyDescent="0.3">
      <c r="G8047" s="101"/>
      <c r="H8047" s="101"/>
      <c r="I8047" s="101"/>
      <c r="K8047" s="226"/>
      <c r="L8047" s="226"/>
      <c r="M8047" s="101"/>
      <c r="N8047" s="101"/>
    </row>
    <row r="8048" spans="7:14" hidden="1" x14ac:dyDescent="0.3">
      <c r="G8048" s="101"/>
      <c r="H8048" s="101"/>
      <c r="I8048" s="101"/>
      <c r="K8048" s="226"/>
      <c r="L8048" s="226"/>
      <c r="M8048" s="101"/>
      <c r="N8048" s="101"/>
    </row>
    <row r="8049" spans="7:14" hidden="1" x14ac:dyDescent="0.3">
      <c r="G8049" s="101"/>
      <c r="H8049" s="101"/>
      <c r="I8049" s="101"/>
      <c r="K8049" s="226"/>
      <c r="L8049" s="226"/>
      <c r="M8049" s="101"/>
      <c r="N8049" s="101"/>
    </row>
    <row r="8050" spans="7:14" hidden="1" x14ac:dyDescent="0.3">
      <c r="G8050" s="101"/>
      <c r="H8050" s="101"/>
      <c r="I8050" s="101"/>
      <c r="K8050" s="226"/>
      <c r="L8050" s="226"/>
      <c r="M8050" s="101"/>
      <c r="N8050" s="101"/>
    </row>
    <row r="8051" spans="7:14" hidden="1" x14ac:dyDescent="0.3">
      <c r="G8051" s="101"/>
      <c r="H8051" s="101"/>
      <c r="I8051" s="101"/>
      <c r="K8051" s="226"/>
      <c r="L8051" s="226"/>
      <c r="M8051" s="101"/>
      <c r="N8051" s="101"/>
    </row>
    <row r="8052" spans="7:14" hidden="1" x14ac:dyDescent="0.3">
      <c r="G8052" s="101"/>
      <c r="H8052" s="101"/>
      <c r="I8052" s="101"/>
      <c r="K8052" s="226"/>
      <c r="L8052" s="226"/>
      <c r="M8052" s="101"/>
      <c r="N8052" s="101"/>
    </row>
    <row r="8053" spans="7:14" hidden="1" x14ac:dyDescent="0.3">
      <c r="G8053" s="101"/>
      <c r="H8053" s="101"/>
      <c r="I8053" s="101"/>
      <c r="K8053" s="226"/>
      <c r="L8053" s="226"/>
      <c r="M8053" s="101"/>
      <c r="N8053" s="101"/>
    </row>
    <row r="8054" spans="7:14" hidden="1" x14ac:dyDescent="0.3">
      <c r="G8054" s="101"/>
      <c r="H8054" s="101"/>
      <c r="I8054" s="101"/>
      <c r="K8054" s="226"/>
      <c r="L8054" s="226"/>
      <c r="M8054" s="101"/>
      <c r="N8054" s="101"/>
    </row>
    <row r="8055" spans="7:14" hidden="1" x14ac:dyDescent="0.3">
      <c r="G8055" s="101"/>
      <c r="H8055" s="101"/>
      <c r="I8055" s="101"/>
      <c r="K8055" s="226"/>
      <c r="L8055" s="226"/>
      <c r="M8055" s="101"/>
      <c r="N8055" s="101"/>
    </row>
    <row r="8056" spans="7:14" hidden="1" x14ac:dyDescent="0.3">
      <c r="G8056" s="101"/>
      <c r="H8056" s="101"/>
      <c r="I8056" s="101"/>
      <c r="K8056" s="226"/>
      <c r="L8056" s="226"/>
      <c r="M8056" s="101"/>
      <c r="N8056" s="101"/>
    </row>
    <row r="8057" spans="7:14" hidden="1" x14ac:dyDescent="0.3">
      <c r="G8057" s="101"/>
      <c r="H8057" s="101"/>
      <c r="I8057" s="101"/>
      <c r="K8057" s="226"/>
      <c r="L8057" s="226"/>
      <c r="M8057" s="101"/>
      <c r="N8057" s="101"/>
    </row>
    <row r="8058" spans="7:14" hidden="1" x14ac:dyDescent="0.3">
      <c r="G8058" s="101"/>
      <c r="H8058" s="101"/>
      <c r="I8058" s="101"/>
      <c r="K8058" s="226"/>
      <c r="L8058" s="226"/>
      <c r="M8058" s="101"/>
      <c r="N8058" s="101"/>
    </row>
    <row r="8059" spans="7:14" hidden="1" x14ac:dyDescent="0.3">
      <c r="G8059" s="101"/>
      <c r="H8059" s="101"/>
      <c r="I8059" s="101"/>
      <c r="K8059" s="226"/>
      <c r="L8059" s="226"/>
      <c r="M8059" s="101"/>
      <c r="N8059" s="101"/>
    </row>
    <row r="8060" spans="7:14" hidden="1" x14ac:dyDescent="0.3">
      <c r="G8060" s="101"/>
      <c r="H8060" s="101"/>
      <c r="I8060" s="101"/>
      <c r="K8060" s="226"/>
      <c r="L8060" s="226"/>
      <c r="M8060" s="101"/>
      <c r="N8060" s="101"/>
    </row>
    <row r="8061" spans="7:14" hidden="1" x14ac:dyDescent="0.3">
      <c r="G8061" s="101"/>
      <c r="H8061" s="101"/>
      <c r="I8061" s="101"/>
      <c r="K8061" s="226"/>
      <c r="L8061" s="226"/>
      <c r="M8061" s="101"/>
      <c r="N8061" s="101"/>
    </row>
    <row r="8062" spans="7:14" hidden="1" x14ac:dyDescent="0.3">
      <c r="G8062" s="101"/>
      <c r="H8062" s="101"/>
      <c r="I8062" s="101"/>
      <c r="K8062" s="226"/>
      <c r="L8062" s="226"/>
      <c r="M8062" s="101"/>
      <c r="N8062" s="101"/>
    </row>
    <row r="8063" spans="7:14" hidden="1" x14ac:dyDescent="0.3">
      <c r="G8063" s="101"/>
      <c r="H8063" s="101"/>
      <c r="I8063" s="101"/>
      <c r="K8063" s="226"/>
      <c r="L8063" s="226"/>
      <c r="M8063" s="101"/>
      <c r="N8063" s="101"/>
    </row>
    <row r="8064" spans="7:14" hidden="1" x14ac:dyDescent="0.3">
      <c r="G8064" s="101"/>
      <c r="H8064" s="101"/>
      <c r="I8064" s="101"/>
      <c r="K8064" s="226"/>
      <c r="L8064" s="226"/>
      <c r="M8064" s="101"/>
      <c r="N8064" s="101"/>
    </row>
    <row r="8065" spans="7:14" hidden="1" x14ac:dyDescent="0.3">
      <c r="G8065" s="101"/>
      <c r="H8065" s="101"/>
      <c r="I8065" s="101"/>
      <c r="K8065" s="226"/>
      <c r="L8065" s="226"/>
      <c r="M8065" s="101"/>
      <c r="N8065" s="101"/>
    </row>
    <row r="8066" spans="7:14" hidden="1" x14ac:dyDescent="0.3">
      <c r="G8066" s="101"/>
      <c r="H8066" s="101"/>
      <c r="I8066" s="101"/>
      <c r="K8066" s="226"/>
      <c r="L8066" s="226"/>
      <c r="M8066" s="101"/>
      <c r="N8066" s="101"/>
    </row>
    <row r="8067" spans="7:14" hidden="1" x14ac:dyDescent="0.3">
      <c r="G8067" s="101"/>
      <c r="H8067" s="101"/>
      <c r="I8067" s="101"/>
      <c r="K8067" s="226"/>
      <c r="L8067" s="226"/>
      <c r="M8067" s="101"/>
      <c r="N8067" s="101"/>
    </row>
    <row r="8068" spans="7:14" hidden="1" x14ac:dyDescent="0.3">
      <c r="G8068" s="101"/>
      <c r="H8068" s="101"/>
      <c r="I8068" s="101"/>
      <c r="K8068" s="226"/>
      <c r="L8068" s="226"/>
      <c r="M8068" s="101"/>
      <c r="N8068" s="101"/>
    </row>
    <row r="8069" spans="7:14" hidden="1" x14ac:dyDescent="0.3">
      <c r="G8069" s="101"/>
      <c r="H8069" s="101"/>
      <c r="I8069" s="101"/>
      <c r="K8069" s="226"/>
      <c r="L8069" s="226"/>
      <c r="M8069" s="101"/>
      <c r="N8069" s="101"/>
    </row>
    <row r="8070" spans="7:14" hidden="1" x14ac:dyDescent="0.3">
      <c r="G8070" s="101"/>
      <c r="H8070" s="101"/>
      <c r="I8070" s="101"/>
      <c r="K8070" s="226"/>
      <c r="L8070" s="226"/>
      <c r="M8070" s="101"/>
      <c r="N8070" s="101"/>
    </row>
    <row r="8071" spans="7:14" hidden="1" x14ac:dyDescent="0.3">
      <c r="G8071" s="101"/>
      <c r="H8071" s="101"/>
      <c r="I8071" s="101"/>
      <c r="K8071" s="226"/>
      <c r="L8071" s="226"/>
      <c r="M8071" s="101"/>
      <c r="N8071" s="101"/>
    </row>
    <row r="8072" spans="7:14" hidden="1" x14ac:dyDescent="0.3">
      <c r="G8072" s="101"/>
      <c r="H8072" s="101"/>
      <c r="I8072" s="101"/>
      <c r="K8072" s="226"/>
      <c r="L8072" s="226"/>
      <c r="M8072" s="101"/>
      <c r="N8072" s="101"/>
    </row>
    <row r="8073" spans="7:14" hidden="1" x14ac:dyDescent="0.3">
      <c r="G8073" s="101"/>
      <c r="H8073" s="101"/>
      <c r="I8073" s="101"/>
      <c r="K8073" s="226"/>
      <c r="L8073" s="226"/>
      <c r="M8073" s="101"/>
      <c r="N8073" s="101"/>
    </row>
    <row r="8074" spans="7:14" hidden="1" x14ac:dyDescent="0.3">
      <c r="G8074" s="101"/>
      <c r="H8074" s="101"/>
      <c r="I8074" s="101"/>
      <c r="K8074" s="226"/>
      <c r="L8074" s="226"/>
      <c r="M8074" s="101"/>
      <c r="N8074" s="101"/>
    </row>
    <row r="8075" spans="7:14" hidden="1" x14ac:dyDescent="0.3">
      <c r="G8075" s="101"/>
      <c r="H8075" s="101"/>
      <c r="I8075" s="101"/>
      <c r="K8075" s="226"/>
      <c r="L8075" s="226"/>
      <c r="M8075" s="101"/>
      <c r="N8075" s="101"/>
    </row>
    <row r="8076" spans="7:14" hidden="1" x14ac:dyDescent="0.3">
      <c r="G8076" s="101"/>
      <c r="H8076" s="101"/>
      <c r="I8076" s="101"/>
      <c r="K8076" s="226"/>
      <c r="L8076" s="226"/>
      <c r="M8076" s="101"/>
      <c r="N8076" s="101"/>
    </row>
    <row r="8077" spans="7:14" hidden="1" x14ac:dyDescent="0.3">
      <c r="G8077" s="101"/>
      <c r="H8077" s="101"/>
      <c r="I8077" s="101"/>
      <c r="K8077" s="226"/>
      <c r="L8077" s="226"/>
      <c r="M8077" s="101"/>
      <c r="N8077" s="101"/>
    </row>
    <row r="8078" spans="7:14" hidden="1" x14ac:dyDescent="0.3">
      <c r="G8078" s="101"/>
      <c r="H8078" s="101"/>
      <c r="I8078" s="101"/>
      <c r="K8078" s="226"/>
      <c r="L8078" s="226"/>
      <c r="M8078" s="101"/>
      <c r="N8078" s="101"/>
    </row>
    <row r="8079" spans="7:14" hidden="1" x14ac:dyDescent="0.3">
      <c r="G8079" s="101"/>
      <c r="H8079" s="101"/>
      <c r="I8079" s="101"/>
      <c r="K8079" s="226"/>
      <c r="L8079" s="226"/>
      <c r="M8079" s="101"/>
      <c r="N8079" s="101"/>
    </row>
    <row r="8080" spans="7:14" hidden="1" x14ac:dyDescent="0.3">
      <c r="G8080" s="101"/>
      <c r="H8080" s="101"/>
      <c r="I8080" s="101"/>
      <c r="K8080" s="226"/>
      <c r="L8080" s="226"/>
      <c r="M8080" s="101"/>
      <c r="N8080" s="101"/>
    </row>
    <row r="8081" spans="7:14" hidden="1" x14ac:dyDescent="0.3">
      <c r="G8081" s="101"/>
      <c r="H8081" s="101"/>
      <c r="I8081" s="101"/>
      <c r="K8081" s="226"/>
      <c r="L8081" s="226"/>
      <c r="M8081" s="101"/>
      <c r="N8081" s="101"/>
    </row>
    <row r="8082" spans="7:14" hidden="1" x14ac:dyDescent="0.3">
      <c r="G8082" s="101"/>
      <c r="H8082" s="101"/>
      <c r="I8082" s="101"/>
      <c r="K8082" s="226"/>
      <c r="L8082" s="226"/>
      <c r="M8082" s="101"/>
      <c r="N8082" s="101"/>
    </row>
    <row r="8083" spans="7:14" hidden="1" x14ac:dyDescent="0.3">
      <c r="G8083" s="101"/>
      <c r="H8083" s="101"/>
      <c r="I8083" s="101"/>
      <c r="K8083" s="226"/>
      <c r="L8083" s="226"/>
      <c r="M8083" s="101"/>
      <c r="N8083" s="101"/>
    </row>
    <row r="8084" spans="7:14" hidden="1" x14ac:dyDescent="0.3">
      <c r="G8084" s="101"/>
      <c r="H8084" s="101"/>
      <c r="I8084" s="101"/>
      <c r="K8084" s="226"/>
      <c r="L8084" s="226"/>
      <c r="M8084" s="101"/>
      <c r="N8084" s="101"/>
    </row>
    <row r="8085" spans="7:14" hidden="1" x14ac:dyDescent="0.3">
      <c r="G8085" s="101"/>
      <c r="H8085" s="101"/>
      <c r="I8085" s="101"/>
      <c r="K8085" s="226"/>
      <c r="L8085" s="226"/>
      <c r="M8085" s="101"/>
      <c r="N8085" s="101"/>
    </row>
    <row r="8086" spans="7:14" hidden="1" x14ac:dyDescent="0.3">
      <c r="G8086" s="101"/>
      <c r="H8086" s="101"/>
      <c r="I8086" s="101"/>
      <c r="K8086" s="226"/>
      <c r="L8086" s="226"/>
      <c r="M8086" s="101"/>
      <c r="N8086" s="101"/>
    </row>
    <row r="8087" spans="7:14" hidden="1" x14ac:dyDescent="0.3">
      <c r="G8087" s="101"/>
      <c r="H8087" s="101"/>
      <c r="I8087" s="101"/>
      <c r="K8087" s="226"/>
      <c r="L8087" s="226"/>
      <c r="M8087" s="101"/>
      <c r="N8087" s="101"/>
    </row>
    <row r="8088" spans="7:14" hidden="1" x14ac:dyDescent="0.3">
      <c r="G8088" s="101"/>
      <c r="H8088" s="101"/>
      <c r="I8088" s="101"/>
      <c r="K8088" s="226"/>
      <c r="L8088" s="226"/>
      <c r="M8088" s="101"/>
      <c r="N8088" s="101"/>
    </row>
    <row r="8089" spans="7:14" hidden="1" x14ac:dyDescent="0.3">
      <c r="G8089" s="101"/>
      <c r="H8089" s="101"/>
      <c r="I8089" s="101"/>
      <c r="K8089" s="226"/>
      <c r="L8089" s="226"/>
      <c r="M8089" s="101"/>
      <c r="N8089" s="101"/>
    </row>
    <row r="8090" spans="7:14" hidden="1" x14ac:dyDescent="0.3">
      <c r="G8090" s="101"/>
      <c r="H8090" s="101"/>
      <c r="I8090" s="101"/>
      <c r="K8090" s="226"/>
      <c r="L8090" s="226"/>
      <c r="M8090" s="101"/>
      <c r="N8090" s="101"/>
    </row>
    <row r="8091" spans="7:14" hidden="1" x14ac:dyDescent="0.3">
      <c r="G8091" s="101"/>
      <c r="H8091" s="101"/>
      <c r="I8091" s="101"/>
      <c r="K8091" s="226"/>
      <c r="L8091" s="226"/>
      <c r="M8091" s="101"/>
      <c r="N8091" s="101"/>
    </row>
    <row r="8092" spans="7:14" hidden="1" x14ac:dyDescent="0.3">
      <c r="G8092" s="101"/>
      <c r="H8092" s="101"/>
      <c r="I8092" s="101"/>
      <c r="K8092" s="226"/>
      <c r="L8092" s="226"/>
      <c r="M8092" s="101"/>
      <c r="N8092" s="101"/>
    </row>
    <row r="8093" spans="7:14" hidden="1" x14ac:dyDescent="0.3">
      <c r="G8093" s="101"/>
      <c r="H8093" s="101"/>
      <c r="I8093" s="101"/>
      <c r="K8093" s="226"/>
      <c r="L8093" s="226"/>
      <c r="M8093" s="101"/>
      <c r="N8093" s="101"/>
    </row>
    <row r="8094" spans="7:14" hidden="1" x14ac:dyDescent="0.3">
      <c r="G8094" s="101"/>
      <c r="H8094" s="101"/>
      <c r="I8094" s="101"/>
      <c r="K8094" s="226"/>
      <c r="L8094" s="226"/>
      <c r="M8094" s="101"/>
      <c r="N8094" s="101"/>
    </row>
    <row r="8095" spans="7:14" hidden="1" x14ac:dyDescent="0.3">
      <c r="G8095" s="101"/>
      <c r="H8095" s="101"/>
      <c r="I8095" s="101"/>
      <c r="K8095" s="226"/>
      <c r="L8095" s="226"/>
      <c r="M8095" s="101"/>
      <c r="N8095" s="101"/>
    </row>
    <row r="8096" spans="7:14" hidden="1" x14ac:dyDescent="0.3">
      <c r="G8096" s="101"/>
      <c r="H8096" s="101"/>
      <c r="I8096" s="101"/>
      <c r="K8096" s="226"/>
      <c r="L8096" s="226"/>
      <c r="M8096" s="101"/>
      <c r="N8096" s="101"/>
    </row>
    <row r="8097" spans="7:14" hidden="1" x14ac:dyDescent="0.3">
      <c r="G8097" s="101"/>
      <c r="H8097" s="101"/>
      <c r="I8097" s="101"/>
      <c r="K8097" s="226"/>
      <c r="L8097" s="226"/>
      <c r="M8097" s="101"/>
      <c r="N8097" s="101"/>
    </row>
    <row r="8098" spans="7:14" hidden="1" x14ac:dyDescent="0.3">
      <c r="G8098" s="101"/>
      <c r="H8098" s="101"/>
      <c r="I8098" s="101"/>
      <c r="K8098" s="226"/>
      <c r="L8098" s="226"/>
      <c r="M8098" s="101"/>
      <c r="N8098" s="101"/>
    </row>
    <row r="8099" spans="7:14" hidden="1" x14ac:dyDescent="0.3">
      <c r="G8099" s="101"/>
      <c r="H8099" s="101"/>
      <c r="I8099" s="101"/>
      <c r="K8099" s="226"/>
      <c r="L8099" s="226"/>
      <c r="M8099" s="101"/>
      <c r="N8099" s="101"/>
    </row>
    <row r="8100" spans="7:14" hidden="1" x14ac:dyDescent="0.3">
      <c r="G8100" s="101"/>
      <c r="H8100" s="101"/>
      <c r="I8100" s="101"/>
      <c r="K8100" s="226"/>
      <c r="L8100" s="226"/>
      <c r="M8100" s="101"/>
      <c r="N8100" s="101"/>
    </row>
    <row r="8101" spans="7:14" hidden="1" x14ac:dyDescent="0.3">
      <c r="G8101" s="101"/>
      <c r="H8101" s="101"/>
      <c r="I8101" s="101"/>
      <c r="K8101" s="226"/>
      <c r="L8101" s="226"/>
      <c r="M8101" s="101"/>
      <c r="N8101" s="101"/>
    </row>
    <row r="8102" spans="7:14" hidden="1" x14ac:dyDescent="0.3">
      <c r="G8102" s="101"/>
      <c r="H8102" s="101"/>
      <c r="I8102" s="101"/>
      <c r="K8102" s="226"/>
      <c r="L8102" s="226"/>
      <c r="M8102" s="101"/>
      <c r="N8102" s="101"/>
    </row>
    <row r="8103" spans="7:14" hidden="1" x14ac:dyDescent="0.3">
      <c r="G8103" s="101"/>
      <c r="H8103" s="101"/>
      <c r="I8103" s="101"/>
      <c r="K8103" s="226"/>
      <c r="L8103" s="226"/>
      <c r="M8103" s="101"/>
      <c r="N8103" s="101"/>
    </row>
    <row r="8104" spans="7:14" hidden="1" x14ac:dyDescent="0.3">
      <c r="G8104" s="101"/>
      <c r="H8104" s="101"/>
      <c r="I8104" s="101"/>
      <c r="K8104" s="226"/>
      <c r="L8104" s="226"/>
      <c r="M8104" s="101"/>
      <c r="N8104" s="101"/>
    </row>
    <row r="8105" spans="7:14" hidden="1" x14ac:dyDescent="0.3">
      <c r="G8105" s="101"/>
      <c r="H8105" s="101"/>
      <c r="I8105" s="101"/>
      <c r="K8105" s="226"/>
      <c r="L8105" s="226"/>
      <c r="M8105" s="101"/>
      <c r="N8105" s="101"/>
    </row>
    <row r="8106" spans="7:14" hidden="1" x14ac:dyDescent="0.3">
      <c r="G8106" s="101"/>
      <c r="H8106" s="101"/>
      <c r="I8106" s="101"/>
      <c r="K8106" s="226"/>
      <c r="L8106" s="226"/>
      <c r="M8106" s="101"/>
      <c r="N8106" s="101"/>
    </row>
    <row r="8107" spans="7:14" hidden="1" x14ac:dyDescent="0.3">
      <c r="G8107" s="101"/>
      <c r="H8107" s="101"/>
      <c r="I8107" s="101"/>
      <c r="K8107" s="226"/>
      <c r="L8107" s="226"/>
      <c r="M8107" s="101"/>
      <c r="N8107" s="101"/>
    </row>
    <row r="8108" spans="7:14" hidden="1" x14ac:dyDescent="0.3">
      <c r="G8108" s="101"/>
      <c r="H8108" s="101"/>
      <c r="I8108" s="101"/>
      <c r="K8108" s="226"/>
      <c r="L8108" s="226"/>
      <c r="M8108" s="101"/>
      <c r="N8108" s="101"/>
    </row>
    <row r="8109" spans="7:14" hidden="1" x14ac:dyDescent="0.3">
      <c r="G8109" s="101"/>
      <c r="H8109" s="101"/>
      <c r="I8109" s="101"/>
      <c r="K8109" s="226"/>
      <c r="L8109" s="226"/>
      <c r="M8109" s="101"/>
      <c r="N8109" s="101"/>
    </row>
    <row r="8110" spans="7:14" hidden="1" x14ac:dyDescent="0.3">
      <c r="G8110" s="101"/>
      <c r="H8110" s="101"/>
      <c r="I8110" s="101"/>
      <c r="K8110" s="226"/>
      <c r="L8110" s="226"/>
      <c r="M8110" s="101"/>
      <c r="N8110" s="101"/>
    </row>
    <row r="8111" spans="7:14" hidden="1" x14ac:dyDescent="0.3">
      <c r="G8111" s="101"/>
      <c r="H8111" s="101"/>
      <c r="I8111" s="101"/>
      <c r="K8111" s="226"/>
      <c r="L8111" s="226"/>
      <c r="M8111" s="101"/>
      <c r="N8111" s="101"/>
    </row>
    <row r="8112" spans="7:14" hidden="1" x14ac:dyDescent="0.3">
      <c r="G8112" s="101"/>
      <c r="H8112" s="101"/>
      <c r="I8112" s="101"/>
      <c r="K8112" s="226"/>
      <c r="L8112" s="226"/>
      <c r="M8112" s="101"/>
      <c r="N8112" s="101"/>
    </row>
    <row r="8113" spans="7:14" hidden="1" x14ac:dyDescent="0.3">
      <c r="G8113" s="101"/>
      <c r="H8113" s="101"/>
      <c r="I8113" s="101"/>
      <c r="K8113" s="226"/>
      <c r="L8113" s="226"/>
      <c r="M8113" s="101"/>
      <c r="N8113" s="101"/>
    </row>
    <row r="8114" spans="7:14" hidden="1" x14ac:dyDescent="0.3">
      <c r="G8114" s="101"/>
      <c r="H8114" s="101"/>
      <c r="I8114" s="101"/>
      <c r="K8114" s="226"/>
      <c r="L8114" s="226"/>
      <c r="M8114" s="101"/>
      <c r="N8114" s="101"/>
    </row>
    <row r="8115" spans="7:14" hidden="1" x14ac:dyDescent="0.3">
      <c r="G8115" s="101"/>
      <c r="H8115" s="101"/>
      <c r="I8115" s="101"/>
      <c r="K8115" s="226"/>
      <c r="L8115" s="226"/>
      <c r="M8115" s="101"/>
      <c r="N8115" s="101"/>
    </row>
    <row r="8116" spans="7:14" hidden="1" x14ac:dyDescent="0.3">
      <c r="G8116" s="101"/>
      <c r="H8116" s="101"/>
      <c r="I8116" s="101"/>
      <c r="K8116" s="226"/>
      <c r="L8116" s="226"/>
      <c r="M8116" s="101"/>
      <c r="N8116" s="101"/>
    </row>
    <row r="8117" spans="7:14" hidden="1" x14ac:dyDescent="0.3">
      <c r="G8117" s="101"/>
      <c r="H8117" s="101"/>
      <c r="I8117" s="101"/>
      <c r="K8117" s="226"/>
      <c r="L8117" s="226"/>
      <c r="M8117" s="101"/>
      <c r="N8117" s="101"/>
    </row>
    <row r="8118" spans="7:14" hidden="1" x14ac:dyDescent="0.3">
      <c r="G8118" s="101"/>
      <c r="H8118" s="101"/>
      <c r="I8118" s="101"/>
      <c r="K8118" s="226"/>
      <c r="L8118" s="226"/>
      <c r="M8118" s="101"/>
      <c r="N8118" s="101"/>
    </row>
    <row r="8119" spans="7:14" hidden="1" x14ac:dyDescent="0.3">
      <c r="G8119" s="101"/>
      <c r="H8119" s="101"/>
      <c r="I8119" s="101"/>
      <c r="K8119" s="226"/>
      <c r="L8119" s="226"/>
      <c r="M8119" s="101"/>
      <c r="N8119" s="101"/>
    </row>
    <row r="8120" spans="7:14" hidden="1" x14ac:dyDescent="0.3">
      <c r="G8120" s="101"/>
      <c r="H8120" s="101"/>
      <c r="I8120" s="101"/>
      <c r="K8120" s="226"/>
      <c r="L8120" s="226"/>
      <c r="M8120" s="101"/>
      <c r="N8120" s="101"/>
    </row>
    <row r="8121" spans="7:14" hidden="1" x14ac:dyDescent="0.3">
      <c r="G8121" s="101"/>
      <c r="H8121" s="101"/>
      <c r="I8121" s="101"/>
      <c r="K8121" s="226"/>
      <c r="L8121" s="226"/>
      <c r="M8121" s="101"/>
      <c r="N8121" s="101"/>
    </row>
    <row r="8122" spans="7:14" hidden="1" x14ac:dyDescent="0.3">
      <c r="G8122" s="101"/>
      <c r="H8122" s="101"/>
      <c r="I8122" s="101"/>
      <c r="K8122" s="226"/>
      <c r="L8122" s="226"/>
      <c r="M8122" s="101"/>
      <c r="N8122" s="101"/>
    </row>
    <row r="8123" spans="7:14" hidden="1" x14ac:dyDescent="0.3">
      <c r="G8123" s="101"/>
      <c r="H8123" s="101"/>
      <c r="I8123" s="101"/>
      <c r="K8123" s="226"/>
      <c r="L8123" s="226"/>
      <c r="M8123" s="101"/>
      <c r="N8123" s="101"/>
    </row>
    <row r="8124" spans="7:14" hidden="1" x14ac:dyDescent="0.3">
      <c r="G8124" s="101"/>
      <c r="H8124" s="101"/>
      <c r="I8124" s="101"/>
      <c r="K8124" s="226"/>
      <c r="L8124" s="226"/>
      <c r="M8124" s="101"/>
      <c r="N8124" s="101"/>
    </row>
    <row r="8125" spans="7:14" hidden="1" x14ac:dyDescent="0.3">
      <c r="G8125" s="101"/>
      <c r="H8125" s="101"/>
      <c r="I8125" s="101"/>
      <c r="K8125" s="226"/>
      <c r="L8125" s="226"/>
      <c r="M8125" s="101"/>
      <c r="N8125" s="101"/>
    </row>
    <row r="8126" spans="7:14" hidden="1" x14ac:dyDescent="0.3">
      <c r="G8126" s="101"/>
      <c r="H8126" s="101"/>
      <c r="I8126" s="101"/>
      <c r="K8126" s="226"/>
      <c r="L8126" s="226"/>
      <c r="M8126" s="101"/>
      <c r="N8126" s="101"/>
    </row>
    <row r="8127" spans="7:14" hidden="1" x14ac:dyDescent="0.3">
      <c r="G8127" s="101"/>
      <c r="H8127" s="101"/>
      <c r="I8127" s="101"/>
      <c r="K8127" s="226"/>
      <c r="L8127" s="226"/>
      <c r="M8127" s="101"/>
      <c r="N8127" s="101"/>
    </row>
    <row r="8128" spans="7:14" hidden="1" x14ac:dyDescent="0.3">
      <c r="G8128" s="101"/>
      <c r="H8128" s="101"/>
      <c r="I8128" s="101"/>
      <c r="K8128" s="226"/>
      <c r="L8128" s="226"/>
      <c r="M8128" s="101"/>
      <c r="N8128" s="101"/>
    </row>
    <row r="8129" spans="7:14" hidden="1" x14ac:dyDescent="0.3">
      <c r="G8129" s="101"/>
      <c r="H8129" s="101"/>
      <c r="I8129" s="101"/>
      <c r="K8129" s="226"/>
      <c r="L8129" s="226"/>
      <c r="M8129" s="101"/>
      <c r="N8129" s="101"/>
    </row>
    <row r="8130" spans="7:14" hidden="1" x14ac:dyDescent="0.3">
      <c r="G8130" s="101"/>
      <c r="H8130" s="101"/>
      <c r="I8130" s="101"/>
      <c r="K8130" s="226"/>
      <c r="L8130" s="226"/>
      <c r="M8130" s="101"/>
      <c r="N8130" s="101"/>
    </row>
    <row r="8131" spans="7:14" hidden="1" x14ac:dyDescent="0.3">
      <c r="G8131" s="101"/>
      <c r="H8131" s="101"/>
      <c r="I8131" s="101"/>
      <c r="K8131" s="226"/>
      <c r="L8131" s="226"/>
      <c r="M8131" s="101"/>
      <c r="N8131" s="101"/>
    </row>
    <row r="8132" spans="7:14" hidden="1" x14ac:dyDescent="0.3">
      <c r="G8132" s="101"/>
      <c r="H8132" s="101"/>
      <c r="I8132" s="101"/>
      <c r="K8132" s="226"/>
      <c r="L8132" s="226"/>
      <c r="M8132" s="101"/>
      <c r="N8132" s="101"/>
    </row>
    <row r="8133" spans="7:14" hidden="1" x14ac:dyDescent="0.3">
      <c r="G8133" s="101"/>
      <c r="H8133" s="101"/>
      <c r="I8133" s="101"/>
      <c r="K8133" s="226"/>
      <c r="L8133" s="226"/>
      <c r="M8133" s="101"/>
      <c r="N8133" s="101"/>
    </row>
    <row r="8134" spans="7:14" hidden="1" x14ac:dyDescent="0.3">
      <c r="G8134" s="101"/>
      <c r="H8134" s="101"/>
      <c r="I8134" s="101"/>
      <c r="K8134" s="226"/>
      <c r="L8134" s="226"/>
      <c r="M8134" s="101"/>
      <c r="N8134" s="101"/>
    </row>
    <row r="8135" spans="7:14" hidden="1" x14ac:dyDescent="0.3">
      <c r="G8135" s="101"/>
      <c r="H8135" s="101"/>
      <c r="I8135" s="101"/>
      <c r="K8135" s="226"/>
      <c r="L8135" s="226"/>
      <c r="M8135" s="101"/>
      <c r="N8135" s="101"/>
    </row>
    <row r="8136" spans="7:14" hidden="1" x14ac:dyDescent="0.3">
      <c r="G8136" s="101"/>
      <c r="H8136" s="101"/>
      <c r="I8136" s="101"/>
      <c r="K8136" s="226"/>
      <c r="L8136" s="226"/>
      <c r="M8136" s="101"/>
      <c r="N8136" s="101"/>
    </row>
    <row r="8137" spans="7:14" hidden="1" x14ac:dyDescent="0.3">
      <c r="G8137" s="101"/>
      <c r="H8137" s="101"/>
      <c r="I8137" s="101"/>
      <c r="K8137" s="226"/>
      <c r="L8137" s="226"/>
      <c r="M8137" s="101"/>
      <c r="N8137" s="101"/>
    </row>
    <row r="8138" spans="7:14" hidden="1" x14ac:dyDescent="0.3">
      <c r="G8138" s="101"/>
      <c r="H8138" s="101"/>
      <c r="I8138" s="101"/>
      <c r="K8138" s="226"/>
      <c r="L8138" s="226"/>
      <c r="M8138" s="101"/>
      <c r="N8138" s="101"/>
    </row>
    <row r="8139" spans="7:14" hidden="1" x14ac:dyDescent="0.3">
      <c r="G8139" s="101"/>
      <c r="H8139" s="101"/>
      <c r="I8139" s="101"/>
      <c r="K8139" s="226"/>
      <c r="L8139" s="226"/>
      <c r="M8139" s="101"/>
      <c r="N8139" s="101"/>
    </row>
    <row r="8140" spans="7:14" hidden="1" x14ac:dyDescent="0.3">
      <c r="G8140" s="101"/>
      <c r="H8140" s="101"/>
      <c r="I8140" s="101"/>
      <c r="K8140" s="226"/>
      <c r="L8140" s="226"/>
      <c r="M8140" s="101"/>
      <c r="N8140" s="101"/>
    </row>
    <row r="8141" spans="7:14" hidden="1" x14ac:dyDescent="0.3">
      <c r="G8141" s="101"/>
      <c r="H8141" s="101"/>
      <c r="I8141" s="101"/>
      <c r="K8141" s="226"/>
      <c r="L8141" s="226"/>
      <c r="M8141" s="101"/>
      <c r="N8141" s="101"/>
    </row>
    <row r="8142" spans="7:14" hidden="1" x14ac:dyDescent="0.3">
      <c r="G8142" s="101"/>
      <c r="H8142" s="101"/>
      <c r="I8142" s="101"/>
      <c r="K8142" s="226"/>
      <c r="L8142" s="226"/>
      <c r="M8142" s="101"/>
      <c r="N8142" s="101"/>
    </row>
    <row r="8143" spans="7:14" hidden="1" x14ac:dyDescent="0.3">
      <c r="G8143" s="101"/>
      <c r="H8143" s="101"/>
      <c r="I8143" s="101"/>
      <c r="K8143" s="226"/>
      <c r="L8143" s="226"/>
      <c r="M8143" s="101"/>
      <c r="N8143" s="101"/>
    </row>
    <row r="8144" spans="7:14" hidden="1" x14ac:dyDescent="0.3">
      <c r="G8144" s="101"/>
      <c r="H8144" s="101"/>
      <c r="I8144" s="101"/>
      <c r="K8144" s="226"/>
      <c r="L8144" s="226"/>
      <c r="M8144" s="101"/>
      <c r="N8144" s="101"/>
    </row>
    <row r="8145" spans="7:14" hidden="1" x14ac:dyDescent="0.3">
      <c r="G8145" s="101"/>
      <c r="H8145" s="101"/>
      <c r="I8145" s="101"/>
      <c r="K8145" s="226"/>
      <c r="L8145" s="226"/>
      <c r="M8145" s="101"/>
      <c r="N8145" s="101"/>
    </row>
    <row r="8146" spans="7:14" hidden="1" x14ac:dyDescent="0.3">
      <c r="G8146" s="101"/>
      <c r="H8146" s="101"/>
      <c r="I8146" s="101"/>
      <c r="K8146" s="226"/>
      <c r="L8146" s="226"/>
      <c r="M8146" s="101"/>
      <c r="N8146" s="101"/>
    </row>
    <row r="8147" spans="7:14" hidden="1" x14ac:dyDescent="0.3">
      <c r="G8147" s="101"/>
      <c r="H8147" s="101"/>
      <c r="I8147" s="101"/>
      <c r="K8147" s="226"/>
      <c r="L8147" s="226"/>
      <c r="M8147" s="101"/>
      <c r="N8147" s="101"/>
    </row>
    <row r="8148" spans="7:14" hidden="1" x14ac:dyDescent="0.3">
      <c r="G8148" s="101"/>
      <c r="H8148" s="101"/>
      <c r="I8148" s="101"/>
      <c r="K8148" s="226"/>
      <c r="L8148" s="226"/>
      <c r="M8148" s="101"/>
      <c r="N8148" s="101"/>
    </row>
    <row r="8149" spans="7:14" hidden="1" x14ac:dyDescent="0.3">
      <c r="G8149" s="101"/>
      <c r="H8149" s="101"/>
      <c r="I8149" s="101"/>
      <c r="K8149" s="226"/>
      <c r="L8149" s="226"/>
      <c r="M8149" s="101"/>
      <c r="N8149" s="101"/>
    </row>
    <row r="8150" spans="7:14" hidden="1" x14ac:dyDescent="0.3">
      <c r="G8150" s="101"/>
      <c r="H8150" s="101"/>
      <c r="I8150" s="101"/>
      <c r="K8150" s="226"/>
      <c r="L8150" s="226"/>
      <c r="M8150" s="101"/>
      <c r="N8150" s="101"/>
    </row>
    <row r="8151" spans="7:14" hidden="1" x14ac:dyDescent="0.3">
      <c r="G8151" s="101"/>
      <c r="H8151" s="101"/>
      <c r="I8151" s="101"/>
      <c r="K8151" s="226"/>
      <c r="L8151" s="226"/>
      <c r="M8151" s="101"/>
      <c r="N8151" s="101"/>
    </row>
    <row r="8152" spans="7:14" hidden="1" x14ac:dyDescent="0.3">
      <c r="G8152" s="101"/>
      <c r="H8152" s="101"/>
      <c r="I8152" s="101"/>
      <c r="K8152" s="226"/>
      <c r="L8152" s="226"/>
      <c r="M8152" s="101"/>
      <c r="N8152" s="101"/>
    </row>
    <row r="8153" spans="7:14" hidden="1" x14ac:dyDescent="0.3">
      <c r="G8153" s="101"/>
      <c r="H8153" s="101"/>
      <c r="I8153" s="101"/>
      <c r="K8153" s="226"/>
      <c r="L8153" s="226"/>
      <c r="M8153" s="101"/>
      <c r="N8153" s="101"/>
    </row>
    <row r="8154" spans="7:14" hidden="1" x14ac:dyDescent="0.3">
      <c r="G8154" s="101"/>
      <c r="H8154" s="101"/>
      <c r="I8154" s="101"/>
      <c r="K8154" s="226"/>
      <c r="L8154" s="226"/>
      <c r="M8154" s="101"/>
      <c r="N8154" s="101"/>
    </row>
    <row r="8155" spans="7:14" hidden="1" x14ac:dyDescent="0.3">
      <c r="G8155" s="101"/>
      <c r="H8155" s="101"/>
      <c r="I8155" s="101"/>
      <c r="K8155" s="226"/>
      <c r="L8155" s="226"/>
      <c r="M8155" s="101"/>
      <c r="N8155" s="101"/>
    </row>
    <row r="8156" spans="7:14" hidden="1" x14ac:dyDescent="0.3">
      <c r="G8156" s="101"/>
      <c r="H8156" s="101"/>
      <c r="I8156" s="101"/>
      <c r="K8156" s="226"/>
      <c r="L8156" s="226"/>
      <c r="M8156" s="101"/>
      <c r="N8156" s="101"/>
    </row>
    <row r="8157" spans="7:14" hidden="1" x14ac:dyDescent="0.3">
      <c r="G8157" s="101"/>
      <c r="H8157" s="101"/>
      <c r="I8157" s="101"/>
      <c r="K8157" s="226"/>
      <c r="L8157" s="226"/>
      <c r="M8157" s="101"/>
      <c r="N8157" s="101"/>
    </row>
    <row r="8158" spans="7:14" hidden="1" x14ac:dyDescent="0.3">
      <c r="G8158" s="101"/>
      <c r="H8158" s="101"/>
      <c r="I8158" s="101"/>
      <c r="K8158" s="226"/>
      <c r="L8158" s="226"/>
      <c r="M8158" s="101"/>
      <c r="N8158" s="101"/>
    </row>
    <row r="8159" spans="7:14" hidden="1" x14ac:dyDescent="0.3">
      <c r="G8159" s="101"/>
      <c r="H8159" s="101"/>
      <c r="I8159" s="101"/>
      <c r="K8159" s="226"/>
      <c r="L8159" s="226"/>
      <c r="M8159" s="101"/>
      <c r="N8159" s="101"/>
    </row>
    <row r="8160" spans="7:14" hidden="1" x14ac:dyDescent="0.3">
      <c r="G8160" s="101"/>
      <c r="H8160" s="101"/>
      <c r="I8160" s="101"/>
      <c r="K8160" s="226"/>
      <c r="L8160" s="226"/>
      <c r="M8160" s="101"/>
      <c r="N8160" s="101"/>
    </row>
    <row r="8161" spans="7:14" hidden="1" x14ac:dyDescent="0.3">
      <c r="G8161" s="101"/>
      <c r="H8161" s="101"/>
      <c r="I8161" s="101"/>
      <c r="K8161" s="226"/>
      <c r="L8161" s="226"/>
      <c r="M8161" s="101"/>
      <c r="N8161" s="101"/>
    </row>
    <row r="8162" spans="7:14" hidden="1" x14ac:dyDescent="0.3">
      <c r="G8162" s="101"/>
      <c r="H8162" s="101"/>
      <c r="I8162" s="101"/>
      <c r="K8162" s="226"/>
      <c r="L8162" s="226"/>
      <c r="M8162" s="101"/>
      <c r="N8162" s="101"/>
    </row>
    <row r="8163" spans="7:14" hidden="1" x14ac:dyDescent="0.3">
      <c r="G8163" s="101"/>
      <c r="H8163" s="101"/>
      <c r="I8163" s="101"/>
      <c r="K8163" s="226"/>
      <c r="L8163" s="226"/>
      <c r="M8163" s="101"/>
      <c r="N8163" s="101"/>
    </row>
    <row r="8164" spans="7:14" hidden="1" x14ac:dyDescent="0.3">
      <c r="G8164" s="101"/>
      <c r="H8164" s="101"/>
      <c r="I8164" s="101"/>
      <c r="K8164" s="226"/>
      <c r="L8164" s="226"/>
      <c r="M8164" s="101"/>
      <c r="N8164" s="101"/>
    </row>
    <row r="8165" spans="7:14" hidden="1" x14ac:dyDescent="0.3">
      <c r="G8165" s="101"/>
      <c r="H8165" s="101"/>
      <c r="I8165" s="101"/>
      <c r="K8165" s="226"/>
      <c r="L8165" s="226"/>
      <c r="M8165" s="101"/>
      <c r="N8165" s="101"/>
    </row>
    <row r="8166" spans="7:14" hidden="1" x14ac:dyDescent="0.3">
      <c r="G8166" s="101"/>
      <c r="H8166" s="101"/>
      <c r="I8166" s="101"/>
      <c r="K8166" s="226"/>
      <c r="L8166" s="226"/>
      <c r="M8166" s="101"/>
      <c r="N8166" s="101"/>
    </row>
    <row r="8167" spans="7:14" hidden="1" x14ac:dyDescent="0.3">
      <c r="G8167" s="101"/>
      <c r="H8167" s="101"/>
      <c r="I8167" s="101"/>
      <c r="K8167" s="226"/>
      <c r="L8167" s="226"/>
      <c r="M8167" s="101"/>
      <c r="N8167" s="101"/>
    </row>
    <row r="8168" spans="7:14" hidden="1" x14ac:dyDescent="0.3">
      <c r="G8168" s="101"/>
      <c r="H8168" s="101"/>
      <c r="I8168" s="101"/>
      <c r="K8168" s="226"/>
      <c r="L8168" s="226"/>
      <c r="M8168" s="101"/>
      <c r="N8168" s="101"/>
    </row>
    <row r="8169" spans="7:14" hidden="1" x14ac:dyDescent="0.3">
      <c r="G8169" s="101"/>
      <c r="H8169" s="101"/>
      <c r="I8169" s="101"/>
      <c r="K8169" s="226"/>
      <c r="L8169" s="226"/>
      <c r="M8169" s="101"/>
      <c r="N8169" s="101"/>
    </row>
    <row r="8170" spans="7:14" hidden="1" x14ac:dyDescent="0.3">
      <c r="G8170" s="101"/>
      <c r="H8170" s="101"/>
      <c r="I8170" s="101"/>
      <c r="K8170" s="226"/>
      <c r="L8170" s="226"/>
      <c r="M8170" s="101"/>
      <c r="N8170" s="101"/>
    </row>
    <row r="8171" spans="7:14" hidden="1" x14ac:dyDescent="0.3">
      <c r="G8171" s="101"/>
      <c r="H8171" s="101"/>
      <c r="I8171" s="101"/>
      <c r="K8171" s="226"/>
      <c r="L8171" s="226"/>
      <c r="M8171" s="101"/>
      <c r="N8171" s="101"/>
    </row>
    <row r="8172" spans="7:14" hidden="1" x14ac:dyDescent="0.3">
      <c r="G8172" s="101"/>
      <c r="H8172" s="101"/>
      <c r="I8172" s="101"/>
      <c r="K8172" s="226"/>
      <c r="L8172" s="226"/>
      <c r="M8172" s="101"/>
      <c r="N8172" s="101"/>
    </row>
    <row r="8173" spans="7:14" hidden="1" x14ac:dyDescent="0.3">
      <c r="G8173" s="101"/>
      <c r="H8173" s="101"/>
      <c r="I8173" s="101"/>
      <c r="K8173" s="226"/>
      <c r="L8173" s="226"/>
      <c r="M8173" s="101"/>
      <c r="N8173" s="101"/>
    </row>
    <row r="8174" spans="7:14" hidden="1" x14ac:dyDescent="0.3">
      <c r="G8174" s="101"/>
      <c r="H8174" s="101"/>
      <c r="I8174" s="101"/>
      <c r="K8174" s="226"/>
      <c r="L8174" s="226"/>
      <c r="M8174" s="101"/>
      <c r="N8174" s="101"/>
    </row>
    <row r="8175" spans="7:14" hidden="1" x14ac:dyDescent="0.3">
      <c r="G8175" s="101"/>
      <c r="H8175" s="101"/>
      <c r="I8175" s="101"/>
      <c r="K8175" s="226"/>
      <c r="L8175" s="226"/>
      <c r="M8175" s="101"/>
      <c r="N8175" s="101"/>
    </row>
    <row r="8176" spans="7:14" hidden="1" x14ac:dyDescent="0.3">
      <c r="G8176" s="101"/>
      <c r="H8176" s="101"/>
      <c r="I8176" s="101"/>
      <c r="K8176" s="226"/>
      <c r="L8176" s="226"/>
      <c r="M8176" s="101"/>
      <c r="N8176" s="101"/>
    </row>
    <row r="8177" spans="7:14" hidden="1" x14ac:dyDescent="0.3">
      <c r="G8177" s="101"/>
      <c r="H8177" s="101"/>
      <c r="I8177" s="101"/>
      <c r="K8177" s="226"/>
      <c r="L8177" s="226"/>
      <c r="M8177" s="101"/>
      <c r="N8177" s="101"/>
    </row>
    <row r="8178" spans="7:14" hidden="1" x14ac:dyDescent="0.3">
      <c r="G8178" s="101"/>
      <c r="H8178" s="101"/>
      <c r="I8178" s="101"/>
      <c r="K8178" s="226"/>
      <c r="L8178" s="226"/>
      <c r="M8178" s="101"/>
      <c r="N8178" s="101"/>
    </row>
    <row r="8179" spans="7:14" hidden="1" x14ac:dyDescent="0.3">
      <c r="G8179" s="101"/>
      <c r="H8179" s="101"/>
      <c r="I8179" s="101"/>
      <c r="K8179" s="226"/>
      <c r="L8179" s="226"/>
      <c r="M8179" s="101"/>
      <c r="N8179" s="101"/>
    </row>
    <row r="8180" spans="7:14" hidden="1" x14ac:dyDescent="0.3">
      <c r="G8180" s="101"/>
      <c r="H8180" s="101"/>
      <c r="I8180" s="101"/>
      <c r="K8180" s="226"/>
      <c r="L8180" s="226"/>
      <c r="M8180" s="101"/>
      <c r="N8180" s="101"/>
    </row>
    <row r="8181" spans="7:14" hidden="1" x14ac:dyDescent="0.3">
      <c r="G8181" s="101"/>
      <c r="H8181" s="101"/>
      <c r="I8181" s="101"/>
      <c r="K8181" s="226"/>
      <c r="L8181" s="226"/>
      <c r="M8181" s="101"/>
      <c r="N8181" s="101"/>
    </row>
    <row r="8182" spans="7:14" hidden="1" x14ac:dyDescent="0.3">
      <c r="G8182" s="101"/>
      <c r="H8182" s="101"/>
      <c r="I8182" s="101"/>
      <c r="K8182" s="226"/>
      <c r="L8182" s="226"/>
      <c r="M8182" s="101"/>
      <c r="N8182" s="101"/>
    </row>
    <row r="8183" spans="7:14" hidden="1" x14ac:dyDescent="0.3">
      <c r="G8183" s="101"/>
      <c r="H8183" s="101"/>
      <c r="I8183" s="101"/>
      <c r="K8183" s="226"/>
      <c r="L8183" s="226"/>
      <c r="M8183" s="101"/>
      <c r="N8183" s="101"/>
    </row>
    <row r="8184" spans="7:14" hidden="1" x14ac:dyDescent="0.3">
      <c r="G8184" s="101"/>
      <c r="H8184" s="101"/>
      <c r="I8184" s="101"/>
      <c r="K8184" s="226"/>
      <c r="L8184" s="226"/>
      <c r="M8184" s="101"/>
      <c r="N8184" s="101"/>
    </row>
    <row r="8185" spans="7:14" hidden="1" x14ac:dyDescent="0.3">
      <c r="G8185" s="101"/>
      <c r="H8185" s="101"/>
      <c r="I8185" s="101"/>
      <c r="K8185" s="226"/>
      <c r="L8185" s="226"/>
      <c r="M8185" s="101"/>
      <c r="N8185" s="101"/>
    </row>
    <row r="8186" spans="7:14" hidden="1" x14ac:dyDescent="0.3">
      <c r="G8186" s="101"/>
      <c r="H8186" s="101"/>
      <c r="I8186" s="101"/>
      <c r="K8186" s="226"/>
      <c r="L8186" s="226"/>
      <c r="M8186" s="101"/>
      <c r="N8186" s="101"/>
    </row>
    <row r="8187" spans="7:14" hidden="1" x14ac:dyDescent="0.3">
      <c r="G8187" s="101"/>
      <c r="H8187" s="101"/>
      <c r="I8187" s="101"/>
      <c r="K8187" s="226"/>
      <c r="L8187" s="226"/>
      <c r="M8187" s="101"/>
      <c r="N8187" s="101"/>
    </row>
    <row r="8188" spans="7:14" hidden="1" x14ac:dyDescent="0.3">
      <c r="G8188" s="101"/>
      <c r="H8188" s="101"/>
      <c r="I8188" s="101"/>
      <c r="K8188" s="226"/>
      <c r="L8188" s="226"/>
      <c r="M8188" s="101"/>
      <c r="N8188" s="101"/>
    </row>
    <row r="8189" spans="7:14" hidden="1" x14ac:dyDescent="0.3">
      <c r="G8189" s="101"/>
      <c r="H8189" s="101"/>
      <c r="I8189" s="101"/>
      <c r="K8189" s="226"/>
      <c r="L8189" s="226"/>
      <c r="M8189" s="101"/>
      <c r="N8189" s="101"/>
    </row>
    <row r="8190" spans="7:14" hidden="1" x14ac:dyDescent="0.3">
      <c r="G8190" s="101"/>
      <c r="H8190" s="101"/>
      <c r="I8190" s="101"/>
      <c r="K8190" s="226"/>
      <c r="L8190" s="226"/>
      <c r="M8190" s="101"/>
      <c r="N8190" s="101"/>
    </row>
    <row r="8191" spans="7:14" hidden="1" x14ac:dyDescent="0.3">
      <c r="G8191" s="101"/>
      <c r="H8191" s="101"/>
      <c r="I8191" s="101"/>
      <c r="K8191" s="226"/>
      <c r="L8191" s="226"/>
      <c r="M8191" s="101"/>
      <c r="N8191" s="101"/>
    </row>
    <row r="8192" spans="7:14" hidden="1" x14ac:dyDescent="0.3">
      <c r="G8192" s="101"/>
      <c r="H8192" s="101"/>
      <c r="I8192" s="101"/>
      <c r="K8192" s="226"/>
      <c r="L8192" s="226"/>
      <c r="M8192" s="101"/>
      <c r="N8192" s="101"/>
    </row>
    <row r="8193" spans="7:14" hidden="1" x14ac:dyDescent="0.3">
      <c r="G8193" s="101"/>
      <c r="H8193" s="101"/>
      <c r="I8193" s="101"/>
      <c r="K8193" s="226"/>
      <c r="L8193" s="226"/>
      <c r="M8193" s="101"/>
      <c r="N8193" s="101"/>
    </row>
    <row r="8194" spans="7:14" hidden="1" x14ac:dyDescent="0.3">
      <c r="G8194" s="101"/>
      <c r="H8194" s="101"/>
      <c r="I8194" s="101"/>
      <c r="K8194" s="226"/>
      <c r="L8194" s="226"/>
      <c r="M8194" s="101"/>
      <c r="N8194" s="101"/>
    </row>
    <row r="8195" spans="7:14" hidden="1" x14ac:dyDescent="0.3">
      <c r="G8195" s="101"/>
      <c r="H8195" s="101"/>
      <c r="I8195" s="101"/>
      <c r="K8195" s="226"/>
      <c r="L8195" s="226"/>
      <c r="M8195" s="101"/>
      <c r="N8195" s="101"/>
    </row>
    <row r="8196" spans="7:14" hidden="1" x14ac:dyDescent="0.3">
      <c r="G8196" s="101"/>
      <c r="H8196" s="101"/>
      <c r="I8196" s="101"/>
      <c r="K8196" s="226"/>
      <c r="L8196" s="226"/>
      <c r="M8196" s="101"/>
      <c r="N8196" s="101"/>
    </row>
    <row r="8197" spans="7:14" hidden="1" x14ac:dyDescent="0.3">
      <c r="G8197" s="101"/>
      <c r="H8197" s="101"/>
      <c r="I8197" s="101"/>
      <c r="K8197" s="226"/>
      <c r="L8197" s="226"/>
      <c r="M8197" s="101"/>
      <c r="N8197" s="101"/>
    </row>
    <row r="8198" spans="7:14" hidden="1" x14ac:dyDescent="0.3">
      <c r="G8198" s="101"/>
      <c r="H8198" s="101"/>
      <c r="I8198" s="101"/>
      <c r="K8198" s="226"/>
      <c r="L8198" s="226"/>
      <c r="M8198" s="101"/>
      <c r="N8198" s="101"/>
    </row>
    <row r="8199" spans="7:14" hidden="1" x14ac:dyDescent="0.3">
      <c r="G8199" s="101"/>
      <c r="H8199" s="101"/>
      <c r="I8199" s="101"/>
      <c r="K8199" s="226"/>
      <c r="L8199" s="226"/>
      <c r="M8199" s="101"/>
      <c r="N8199" s="101"/>
    </row>
    <row r="8200" spans="7:14" hidden="1" x14ac:dyDescent="0.3">
      <c r="G8200" s="101"/>
      <c r="H8200" s="101"/>
      <c r="I8200" s="101"/>
      <c r="K8200" s="226"/>
      <c r="L8200" s="226"/>
      <c r="M8200" s="101"/>
      <c r="N8200" s="101"/>
    </row>
    <row r="8201" spans="7:14" hidden="1" x14ac:dyDescent="0.3">
      <c r="G8201" s="101"/>
      <c r="H8201" s="101"/>
      <c r="I8201" s="101"/>
      <c r="K8201" s="226"/>
      <c r="L8201" s="226"/>
      <c r="M8201" s="101"/>
      <c r="N8201" s="101"/>
    </row>
    <row r="8202" spans="7:14" hidden="1" x14ac:dyDescent="0.3">
      <c r="G8202" s="101"/>
      <c r="H8202" s="101"/>
      <c r="I8202" s="101"/>
      <c r="K8202" s="226"/>
      <c r="L8202" s="226"/>
      <c r="M8202" s="101"/>
      <c r="N8202" s="101"/>
    </row>
    <row r="8203" spans="7:14" hidden="1" x14ac:dyDescent="0.3">
      <c r="G8203" s="101"/>
      <c r="H8203" s="101"/>
      <c r="I8203" s="101"/>
      <c r="K8203" s="226"/>
      <c r="L8203" s="226"/>
      <c r="M8203" s="101"/>
      <c r="N8203" s="101"/>
    </row>
    <row r="8204" spans="7:14" hidden="1" x14ac:dyDescent="0.3">
      <c r="G8204" s="101"/>
      <c r="H8204" s="101"/>
      <c r="I8204" s="101"/>
      <c r="K8204" s="226"/>
      <c r="L8204" s="226"/>
      <c r="M8204" s="101"/>
      <c r="N8204" s="101"/>
    </row>
    <row r="8205" spans="7:14" hidden="1" x14ac:dyDescent="0.3">
      <c r="G8205" s="101"/>
      <c r="H8205" s="101"/>
      <c r="I8205" s="101"/>
      <c r="K8205" s="226"/>
      <c r="L8205" s="226"/>
      <c r="M8205" s="101"/>
      <c r="N8205" s="101"/>
    </row>
    <row r="8206" spans="7:14" hidden="1" x14ac:dyDescent="0.3">
      <c r="G8206" s="101"/>
      <c r="H8206" s="101"/>
      <c r="I8206" s="101"/>
      <c r="K8206" s="226"/>
      <c r="L8206" s="226"/>
      <c r="M8206" s="101"/>
      <c r="N8206" s="101"/>
    </row>
    <row r="8207" spans="7:14" hidden="1" x14ac:dyDescent="0.3">
      <c r="G8207" s="101"/>
      <c r="H8207" s="101"/>
      <c r="I8207" s="101"/>
      <c r="K8207" s="226"/>
      <c r="L8207" s="226"/>
      <c r="M8207" s="101"/>
      <c r="N8207" s="101"/>
    </row>
    <row r="8208" spans="7:14" hidden="1" x14ac:dyDescent="0.3">
      <c r="G8208" s="101"/>
      <c r="H8208" s="101"/>
      <c r="I8208" s="101"/>
      <c r="K8208" s="226"/>
      <c r="L8208" s="226"/>
      <c r="M8208" s="101"/>
      <c r="N8208" s="101"/>
    </row>
    <row r="8209" spans="7:14" hidden="1" x14ac:dyDescent="0.3">
      <c r="G8209" s="101"/>
      <c r="H8209" s="101"/>
      <c r="I8209" s="101"/>
      <c r="K8209" s="226"/>
      <c r="L8209" s="226"/>
      <c r="M8209" s="101"/>
      <c r="N8209" s="101"/>
    </row>
    <row r="8210" spans="7:14" hidden="1" x14ac:dyDescent="0.3">
      <c r="G8210" s="101"/>
      <c r="H8210" s="101"/>
      <c r="I8210" s="101"/>
      <c r="K8210" s="226"/>
      <c r="L8210" s="226"/>
      <c r="M8210" s="101"/>
      <c r="N8210" s="101"/>
    </row>
    <row r="8211" spans="7:14" hidden="1" x14ac:dyDescent="0.3">
      <c r="G8211" s="101"/>
      <c r="H8211" s="101"/>
      <c r="I8211" s="101"/>
      <c r="K8211" s="226"/>
      <c r="L8211" s="226"/>
      <c r="M8211" s="101"/>
      <c r="N8211" s="101"/>
    </row>
    <row r="8212" spans="7:14" hidden="1" x14ac:dyDescent="0.3">
      <c r="G8212" s="101"/>
      <c r="H8212" s="101"/>
      <c r="I8212" s="101"/>
      <c r="K8212" s="226"/>
      <c r="L8212" s="226"/>
      <c r="M8212" s="101"/>
      <c r="N8212" s="101"/>
    </row>
    <row r="8213" spans="7:14" hidden="1" x14ac:dyDescent="0.3">
      <c r="G8213" s="101"/>
      <c r="H8213" s="101"/>
      <c r="I8213" s="101"/>
      <c r="K8213" s="226"/>
      <c r="L8213" s="226"/>
      <c r="M8213" s="101"/>
      <c r="N8213" s="101"/>
    </row>
    <row r="8214" spans="7:14" hidden="1" x14ac:dyDescent="0.3">
      <c r="G8214" s="101"/>
      <c r="H8214" s="101"/>
      <c r="I8214" s="101"/>
      <c r="K8214" s="226"/>
      <c r="L8214" s="226"/>
      <c r="M8214" s="101"/>
      <c r="N8214" s="101"/>
    </row>
    <row r="8215" spans="7:14" hidden="1" x14ac:dyDescent="0.3">
      <c r="G8215" s="101"/>
      <c r="H8215" s="101"/>
      <c r="I8215" s="101"/>
      <c r="K8215" s="226"/>
      <c r="L8215" s="226"/>
      <c r="M8215" s="101"/>
      <c r="N8215" s="101"/>
    </row>
    <row r="8216" spans="7:14" hidden="1" x14ac:dyDescent="0.3">
      <c r="G8216" s="101"/>
      <c r="H8216" s="101"/>
      <c r="I8216" s="101"/>
      <c r="K8216" s="226"/>
      <c r="L8216" s="226"/>
      <c r="M8216" s="101"/>
      <c r="N8216" s="101"/>
    </row>
    <row r="8217" spans="7:14" hidden="1" x14ac:dyDescent="0.3">
      <c r="G8217" s="101"/>
      <c r="H8217" s="101"/>
      <c r="I8217" s="101"/>
      <c r="K8217" s="226"/>
      <c r="L8217" s="226"/>
      <c r="M8217" s="101"/>
      <c r="N8217" s="101"/>
    </row>
    <row r="8218" spans="7:14" hidden="1" x14ac:dyDescent="0.3">
      <c r="G8218" s="101"/>
      <c r="H8218" s="101"/>
      <c r="I8218" s="101"/>
      <c r="K8218" s="226"/>
      <c r="L8218" s="226"/>
      <c r="M8218" s="101"/>
      <c r="N8218" s="101"/>
    </row>
    <row r="8219" spans="7:14" hidden="1" x14ac:dyDescent="0.3">
      <c r="G8219" s="101"/>
      <c r="H8219" s="101"/>
      <c r="I8219" s="101"/>
      <c r="K8219" s="226"/>
      <c r="L8219" s="226"/>
      <c r="M8219" s="101"/>
      <c r="N8219" s="101"/>
    </row>
    <row r="8220" spans="7:14" hidden="1" x14ac:dyDescent="0.3">
      <c r="G8220" s="101"/>
      <c r="H8220" s="101"/>
      <c r="I8220" s="101"/>
      <c r="K8220" s="226"/>
      <c r="L8220" s="226"/>
      <c r="M8220" s="101"/>
      <c r="N8220" s="101"/>
    </row>
    <row r="8221" spans="7:14" hidden="1" x14ac:dyDescent="0.3">
      <c r="G8221" s="101"/>
      <c r="H8221" s="101"/>
      <c r="I8221" s="101"/>
      <c r="K8221" s="226"/>
      <c r="L8221" s="226"/>
      <c r="M8221" s="101"/>
      <c r="N8221" s="101"/>
    </row>
    <row r="8222" spans="7:14" hidden="1" x14ac:dyDescent="0.3">
      <c r="G8222" s="101"/>
      <c r="H8222" s="101"/>
      <c r="I8222" s="101"/>
      <c r="K8222" s="226"/>
      <c r="L8222" s="226"/>
      <c r="M8222" s="101"/>
      <c r="N8222" s="101"/>
    </row>
    <row r="8223" spans="7:14" hidden="1" x14ac:dyDescent="0.3">
      <c r="G8223" s="101"/>
      <c r="H8223" s="101"/>
      <c r="I8223" s="101"/>
      <c r="K8223" s="226"/>
      <c r="L8223" s="226"/>
      <c r="M8223" s="101"/>
      <c r="N8223" s="101"/>
    </row>
    <row r="8224" spans="7:14" hidden="1" x14ac:dyDescent="0.3">
      <c r="G8224" s="101"/>
      <c r="H8224" s="101"/>
      <c r="I8224" s="101"/>
      <c r="K8224" s="226"/>
      <c r="L8224" s="226"/>
      <c r="M8224" s="101"/>
      <c r="N8224" s="101"/>
    </row>
    <row r="8225" spans="7:14" hidden="1" x14ac:dyDescent="0.3">
      <c r="G8225" s="101"/>
      <c r="H8225" s="101"/>
      <c r="I8225" s="101"/>
      <c r="K8225" s="226"/>
      <c r="L8225" s="226"/>
      <c r="M8225" s="101"/>
      <c r="N8225" s="101"/>
    </row>
    <row r="8226" spans="7:14" hidden="1" x14ac:dyDescent="0.3">
      <c r="G8226" s="101"/>
      <c r="H8226" s="101"/>
      <c r="I8226" s="101"/>
      <c r="K8226" s="226"/>
      <c r="L8226" s="226"/>
      <c r="M8226" s="101"/>
      <c r="N8226" s="101"/>
    </row>
    <row r="8227" spans="7:14" hidden="1" x14ac:dyDescent="0.3">
      <c r="G8227" s="101"/>
      <c r="H8227" s="101"/>
      <c r="I8227" s="101"/>
      <c r="K8227" s="226"/>
      <c r="L8227" s="226"/>
      <c r="M8227" s="101"/>
      <c r="N8227" s="101"/>
    </row>
    <row r="8228" spans="7:14" hidden="1" x14ac:dyDescent="0.3">
      <c r="G8228" s="101"/>
      <c r="H8228" s="101"/>
      <c r="I8228" s="101"/>
      <c r="K8228" s="226"/>
      <c r="L8228" s="226"/>
      <c r="M8228" s="101"/>
      <c r="N8228" s="101"/>
    </row>
    <row r="8229" spans="7:14" hidden="1" x14ac:dyDescent="0.3">
      <c r="G8229" s="101"/>
      <c r="H8229" s="101"/>
      <c r="I8229" s="101"/>
      <c r="K8229" s="226"/>
      <c r="L8229" s="226"/>
      <c r="M8229" s="101"/>
      <c r="N8229" s="101"/>
    </row>
    <row r="8230" spans="7:14" hidden="1" x14ac:dyDescent="0.3">
      <c r="G8230" s="101"/>
      <c r="H8230" s="101"/>
      <c r="I8230" s="101"/>
      <c r="K8230" s="226"/>
      <c r="L8230" s="226"/>
      <c r="M8230" s="101"/>
      <c r="N8230" s="101"/>
    </row>
    <row r="8231" spans="7:14" hidden="1" x14ac:dyDescent="0.3">
      <c r="G8231" s="101"/>
      <c r="H8231" s="101"/>
      <c r="I8231" s="101"/>
      <c r="K8231" s="226"/>
      <c r="L8231" s="226"/>
      <c r="M8231" s="101"/>
      <c r="N8231" s="101"/>
    </row>
    <row r="8232" spans="7:14" hidden="1" x14ac:dyDescent="0.3">
      <c r="G8232" s="101"/>
      <c r="H8232" s="101"/>
      <c r="I8232" s="101"/>
      <c r="K8232" s="226"/>
      <c r="L8232" s="226"/>
      <c r="M8232" s="101"/>
      <c r="N8232" s="101"/>
    </row>
    <row r="8233" spans="7:14" hidden="1" x14ac:dyDescent="0.3">
      <c r="G8233" s="101"/>
      <c r="H8233" s="101"/>
      <c r="I8233" s="101"/>
      <c r="K8233" s="226"/>
      <c r="L8233" s="226"/>
      <c r="M8233" s="101"/>
      <c r="N8233" s="101"/>
    </row>
    <row r="8234" spans="7:14" hidden="1" x14ac:dyDescent="0.3">
      <c r="G8234" s="101"/>
      <c r="H8234" s="101"/>
      <c r="I8234" s="101"/>
      <c r="K8234" s="226"/>
      <c r="L8234" s="226"/>
      <c r="M8234" s="101"/>
      <c r="N8234" s="101"/>
    </row>
    <row r="8235" spans="7:14" hidden="1" x14ac:dyDescent="0.3">
      <c r="G8235" s="101"/>
      <c r="H8235" s="101"/>
      <c r="I8235" s="101"/>
      <c r="K8235" s="226"/>
      <c r="L8235" s="226"/>
      <c r="M8235" s="101"/>
      <c r="N8235" s="101"/>
    </row>
    <row r="8236" spans="7:14" hidden="1" x14ac:dyDescent="0.3">
      <c r="G8236" s="101"/>
      <c r="H8236" s="101"/>
      <c r="I8236" s="101"/>
      <c r="K8236" s="226"/>
      <c r="L8236" s="226"/>
      <c r="M8236" s="101"/>
      <c r="N8236" s="101"/>
    </row>
    <row r="8237" spans="7:14" hidden="1" x14ac:dyDescent="0.3">
      <c r="G8237" s="101"/>
      <c r="H8237" s="101"/>
      <c r="I8237" s="101"/>
      <c r="K8237" s="226"/>
      <c r="L8237" s="226"/>
      <c r="M8237" s="101"/>
      <c r="N8237" s="101"/>
    </row>
    <row r="8238" spans="7:14" hidden="1" x14ac:dyDescent="0.3">
      <c r="G8238" s="101"/>
      <c r="H8238" s="101"/>
      <c r="I8238" s="101"/>
      <c r="K8238" s="226"/>
      <c r="L8238" s="226"/>
      <c r="M8238" s="101"/>
      <c r="N8238" s="101"/>
    </row>
    <row r="8239" spans="7:14" hidden="1" x14ac:dyDescent="0.3">
      <c r="G8239" s="101"/>
      <c r="H8239" s="101"/>
      <c r="I8239" s="101"/>
      <c r="K8239" s="226"/>
      <c r="L8239" s="226"/>
      <c r="M8239" s="101"/>
      <c r="N8239" s="101"/>
    </row>
    <row r="8240" spans="7:14" hidden="1" x14ac:dyDescent="0.3">
      <c r="G8240" s="101"/>
      <c r="H8240" s="101"/>
      <c r="I8240" s="101"/>
      <c r="K8240" s="226"/>
      <c r="L8240" s="226"/>
      <c r="M8240" s="101"/>
      <c r="N8240" s="101"/>
    </row>
    <row r="8241" spans="7:14" hidden="1" x14ac:dyDescent="0.3">
      <c r="G8241" s="101"/>
      <c r="H8241" s="101"/>
      <c r="I8241" s="101"/>
      <c r="K8241" s="226"/>
      <c r="L8241" s="226"/>
      <c r="M8241" s="101"/>
      <c r="N8241" s="101"/>
    </row>
    <row r="8242" spans="7:14" hidden="1" x14ac:dyDescent="0.3">
      <c r="G8242" s="101"/>
      <c r="H8242" s="101"/>
      <c r="I8242" s="101"/>
      <c r="K8242" s="226"/>
      <c r="L8242" s="226"/>
      <c r="M8242" s="101"/>
      <c r="N8242" s="101"/>
    </row>
    <row r="8243" spans="7:14" hidden="1" x14ac:dyDescent="0.3">
      <c r="G8243" s="101"/>
      <c r="H8243" s="101"/>
      <c r="I8243" s="101"/>
      <c r="K8243" s="226"/>
      <c r="L8243" s="226"/>
      <c r="M8243" s="101"/>
      <c r="N8243" s="101"/>
    </row>
    <row r="8244" spans="7:14" hidden="1" x14ac:dyDescent="0.3">
      <c r="G8244" s="101"/>
      <c r="H8244" s="101"/>
      <c r="I8244" s="101"/>
      <c r="K8244" s="226"/>
      <c r="L8244" s="226"/>
      <c r="M8244" s="101"/>
      <c r="N8244" s="101"/>
    </row>
    <row r="8245" spans="7:14" hidden="1" x14ac:dyDescent="0.3">
      <c r="G8245" s="101"/>
      <c r="H8245" s="101"/>
      <c r="I8245" s="101"/>
      <c r="K8245" s="226"/>
      <c r="L8245" s="226"/>
      <c r="M8245" s="101"/>
      <c r="N8245" s="101"/>
    </row>
    <row r="8246" spans="7:14" hidden="1" x14ac:dyDescent="0.3">
      <c r="G8246" s="101"/>
      <c r="H8246" s="101"/>
      <c r="I8246" s="101"/>
      <c r="K8246" s="226"/>
      <c r="L8246" s="226"/>
      <c r="M8246" s="101"/>
      <c r="N8246" s="101"/>
    </row>
    <row r="8247" spans="7:14" hidden="1" x14ac:dyDescent="0.3">
      <c r="G8247" s="101"/>
      <c r="H8247" s="101"/>
      <c r="I8247" s="101"/>
      <c r="K8247" s="226"/>
      <c r="L8247" s="226"/>
      <c r="M8247" s="101"/>
      <c r="N8247" s="101"/>
    </row>
    <row r="8248" spans="7:14" hidden="1" x14ac:dyDescent="0.3">
      <c r="G8248" s="101"/>
      <c r="H8248" s="101"/>
      <c r="I8248" s="101"/>
      <c r="K8248" s="226"/>
      <c r="L8248" s="226"/>
      <c r="M8248" s="101"/>
      <c r="N8248" s="101"/>
    </row>
    <row r="8249" spans="7:14" hidden="1" x14ac:dyDescent="0.3">
      <c r="G8249" s="101"/>
      <c r="H8249" s="101"/>
      <c r="I8249" s="101"/>
      <c r="K8249" s="226"/>
      <c r="L8249" s="226"/>
      <c r="M8249" s="101"/>
      <c r="N8249" s="101"/>
    </row>
    <row r="8250" spans="7:14" hidden="1" x14ac:dyDescent="0.3">
      <c r="G8250" s="101"/>
      <c r="H8250" s="101"/>
      <c r="I8250" s="101"/>
      <c r="K8250" s="226"/>
      <c r="L8250" s="226"/>
      <c r="M8250" s="101"/>
      <c r="N8250" s="101"/>
    </row>
    <row r="8251" spans="7:14" hidden="1" x14ac:dyDescent="0.3">
      <c r="G8251" s="101"/>
      <c r="H8251" s="101"/>
      <c r="I8251" s="101"/>
      <c r="K8251" s="226"/>
      <c r="L8251" s="226"/>
      <c r="M8251" s="101"/>
      <c r="N8251" s="101"/>
    </row>
    <row r="8252" spans="7:14" hidden="1" x14ac:dyDescent="0.3">
      <c r="G8252" s="101"/>
      <c r="H8252" s="101"/>
      <c r="I8252" s="101"/>
      <c r="K8252" s="226"/>
      <c r="L8252" s="226"/>
      <c r="M8252" s="101"/>
      <c r="N8252" s="101"/>
    </row>
    <row r="8253" spans="7:14" hidden="1" x14ac:dyDescent="0.3">
      <c r="G8253" s="101"/>
      <c r="H8253" s="101"/>
      <c r="I8253" s="101"/>
      <c r="K8253" s="226"/>
      <c r="L8253" s="226"/>
      <c r="M8253" s="101"/>
      <c r="N8253" s="101"/>
    </row>
    <row r="8254" spans="7:14" hidden="1" x14ac:dyDescent="0.3">
      <c r="G8254" s="101"/>
      <c r="H8254" s="101"/>
      <c r="I8254" s="101"/>
      <c r="K8254" s="226"/>
      <c r="L8254" s="226"/>
      <c r="M8254" s="101"/>
      <c r="N8254" s="101"/>
    </row>
    <row r="8255" spans="7:14" hidden="1" x14ac:dyDescent="0.3">
      <c r="G8255" s="101"/>
      <c r="H8255" s="101"/>
      <c r="I8255" s="101"/>
      <c r="K8255" s="226"/>
      <c r="L8255" s="226"/>
      <c r="M8255" s="101"/>
      <c r="N8255" s="101"/>
    </row>
    <row r="8256" spans="7:14" hidden="1" x14ac:dyDescent="0.3">
      <c r="G8256" s="101"/>
      <c r="H8256" s="101"/>
      <c r="I8256" s="101"/>
      <c r="K8256" s="226"/>
      <c r="L8256" s="226"/>
      <c r="M8256" s="101"/>
      <c r="N8256" s="101"/>
    </row>
    <row r="8257" spans="7:14" hidden="1" x14ac:dyDescent="0.3">
      <c r="G8257" s="101"/>
      <c r="H8257" s="101"/>
      <c r="I8257" s="101"/>
      <c r="K8257" s="226"/>
      <c r="L8257" s="226"/>
      <c r="M8257" s="101"/>
      <c r="N8257" s="101"/>
    </row>
    <row r="8258" spans="7:14" hidden="1" x14ac:dyDescent="0.3">
      <c r="G8258" s="101"/>
      <c r="H8258" s="101"/>
      <c r="I8258" s="101"/>
      <c r="K8258" s="226"/>
      <c r="L8258" s="226"/>
      <c r="M8258" s="101"/>
      <c r="N8258" s="101"/>
    </row>
    <row r="8259" spans="7:14" hidden="1" x14ac:dyDescent="0.3">
      <c r="G8259" s="101"/>
      <c r="H8259" s="101"/>
      <c r="I8259" s="101"/>
      <c r="K8259" s="226"/>
      <c r="L8259" s="226"/>
      <c r="M8259" s="101"/>
      <c r="N8259" s="101"/>
    </row>
    <row r="8260" spans="7:14" hidden="1" x14ac:dyDescent="0.3">
      <c r="G8260" s="101"/>
      <c r="H8260" s="101"/>
      <c r="I8260" s="101"/>
      <c r="K8260" s="226"/>
      <c r="L8260" s="226"/>
      <c r="M8260" s="101"/>
      <c r="N8260" s="101"/>
    </row>
    <row r="8261" spans="7:14" hidden="1" x14ac:dyDescent="0.3">
      <c r="G8261" s="101"/>
      <c r="H8261" s="101"/>
      <c r="I8261" s="101"/>
      <c r="K8261" s="226"/>
      <c r="L8261" s="226"/>
      <c r="M8261" s="101"/>
      <c r="N8261" s="101"/>
    </row>
    <row r="8262" spans="7:14" hidden="1" x14ac:dyDescent="0.3">
      <c r="G8262" s="101"/>
      <c r="H8262" s="101"/>
      <c r="I8262" s="101"/>
      <c r="K8262" s="226"/>
      <c r="L8262" s="226"/>
      <c r="M8262" s="101"/>
      <c r="N8262" s="101"/>
    </row>
    <row r="8263" spans="7:14" hidden="1" x14ac:dyDescent="0.3">
      <c r="G8263" s="101"/>
      <c r="H8263" s="101"/>
      <c r="I8263" s="101"/>
      <c r="K8263" s="226"/>
      <c r="L8263" s="226"/>
      <c r="M8263" s="101"/>
      <c r="N8263" s="101"/>
    </row>
    <row r="8264" spans="7:14" hidden="1" x14ac:dyDescent="0.3">
      <c r="G8264" s="101"/>
      <c r="H8264" s="101"/>
      <c r="I8264" s="101"/>
      <c r="K8264" s="226"/>
      <c r="L8264" s="226"/>
      <c r="M8264" s="101"/>
      <c r="N8264" s="101"/>
    </row>
    <row r="8265" spans="7:14" hidden="1" x14ac:dyDescent="0.3">
      <c r="G8265" s="101"/>
      <c r="H8265" s="101"/>
      <c r="I8265" s="101"/>
      <c r="K8265" s="226"/>
      <c r="L8265" s="226"/>
      <c r="M8265" s="101"/>
      <c r="N8265" s="101"/>
    </row>
    <row r="8266" spans="7:14" hidden="1" x14ac:dyDescent="0.3">
      <c r="G8266" s="101"/>
      <c r="H8266" s="101"/>
      <c r="I8266" s="101"/>
      <c r="K8266" s="226"/>
      <c r="L8266" s="226"/>
      <c r="M8266" s="101"/>
      <c r="N8266" s="101"/>
    </row>
    <row r="8267" spans="7:14" hidden="1" x14ac:dyDescent="0.3">
      <c r="G8267" s="101"/>
      <c r="H8267" s="101"/>
      <c r="I8267" s="101"/>
      <c r="K8267" s="226"/>
      <c r="L8267" s="226"/>
      <c r="M8267" s="101"/>
      <c r="N8267" s="101"/>
    </row>
    <row r="8268" spans="7:14" hidden="1" x14ac:dyDescent="0.3">
      <c r="G8268" s="101"/>
      <c r="H8268" s="101"/>
      <c r="I8268" s="101"/>
      <c r="K8268" s="226"/>
      <c r="L8268" s="226"/>
      <c r="M8268" s="101"/>
      <c r="N8268" s="101"/>
    </row>
    <row r="8269" spans="7:14" hidden="1" x14ac:dyDescent="0.3">
      <c r="G8269" s="101"/>
      <c r="H8269" s="101"/>
      <c r="I8269" s="101"/>
      <c r="K8269" s="226"/>
      <c r="L8269" s="226"/>
      <c r="M8269" s="101"/>
      <c r="N8269" s="101"/>
    </row>
    <row r="8270" spans="7:14" hidden="1" x14ac:dyDescent="0.3">
      <c r="G8270" s="101"/>
      <c r="H8270" s="101"/>
      <c r="I8270" s="101"/>
      <c r="K8270" s="226"/>
      <c r="L8270" s="226"/>
      <c r="M8270" s="101"/>
      <c r="N8270" s="101"/>
    </row>
    <row r="8271" spans="7:14" hidden="1" x14ac:dyDescent="0.3">
      <c r="G8271" s="101"/>
      <c r="H8271" s="101"/>
      <c r="I8271" s="101"/>
      <c r="K8271" s="226"/>
      <c r="L8271" s="226"/>
      <c r="M8271" s="101"/>
      <c r="N8271" s="101"/>
    </row>
    <row r="8272" spans="7:14" hidden="1" x14ac:dyDescent="0.3">
      <c r="G8272" s="101"/>
      <c r="H8272" s="101"/>
      <c r="I8272" s="101"/>
      <c r="K8272" s="226"/>
      <c r="L8272" s="226"/>
      <c r="M8272" s="101"/>
      <c r="N8272" s="101"/>
    </row>
    <row r="8273" spans="7:14" hidden="1" x14ac:dyDescent="0.3">
      <c r="G8273" s="101"/>
      <c r="H8273" s="101"/>
      <c r="I8273" s="101"/>
      <c r="K8273" s="226"/>
      <c r="L8273" s="226"/>
      <c r="M8273" s="101"/>
      <c r="N8273" s="101"/>
    </row>
    <row r="8274" spans="7:14" hidden="1" x14ac:dyDescent="0.3">
      <c r="G8274" s="101"/>
      <c r="H8274" s="101"/>
      <c r="I8274" s="101"/>
      <c r="K8274" s="226"/>
      <c r="L8274" s="226"/>
      <c r="M8274" s="101"/>
      <c r="N8274" s="101"/>
    </row>
    <row r="8275" spans="7:14" hidden="1" x14ac:dyDescent="0.3">
      <c r="G8275" s="101"/>
      <c r="H8275" s="101"/>
      <c r="I8275" s="101"/>
      <c r="K8275" s="226"/>
      <c r="L8275" s="226"/>
      <c r="M8275" s="101"/>
      <c r="N8275" s="101"/>
    </row>
    <row r="8276" spans="7:14" hidden="1" x14ac:dyDescent="0.3">
      <c r="G8276" s="101"/>
      <c r="H8276" s="101"/>
      <c r="I8276" s="101"/>
      <c r="K8276" s="226"/>
      <c r="L8276" s="226"/>
      <c r="M8276" s="101"/>
      <c r="N8276" s="101"/>
    </row>
    <row r="8277" spans="7:14" hidden="1" x14ac:dyDescent="0.3">
      <c r="G8277" s="101"/>
      <c r="H8277" s="101"/>
      <c r="I8277" s="101"/>
      <c r="K8277" s="226"/>
      <c r="L8277" s="226"/>
      <c r="M8277" s="101"/>
      <c r="N8277" s="101"/>
    </row>
    <row r="8278" spans="7:14" hidden="1" x14ac:dyDescent="0.3">
      <c r="G8278" s="101"/>
      <c r="H8278" s="101"/>
      <c r="I8278" s="101"/>
      <c r="K8278" s="226"/>
      <c r="L8278" s="226"/>
      <c r="M8278" s="101"/>
      <c r="N8278" s="101"/>
    </row>
    <row r="8279" spans="7:14" hidden="1" x14ac:dyDescent="0.3">
      <c r="G8279" s="101"/>
      <c r="H8279" s="101"/>
      <c r="I8279" s="101"/>
      <c r="K8279" s="226"/>
      <c r="L8279" s="226"/>
      <c r="M8279" s="101"/>
      <c r="N8279" s="101"/>
    </row>
    <row r="8280" spans="7:14" hidden="1" x14ac:dyDescent="0.3">
      <c r="G8280" s="101"/>
      <c r="H8280" s="101"/>
      <c r="I8280" s="101"/>
      <c r="K8280" s="226"/>
      <c r="L8280" s="226"/>
      <c r="M8280" s="101"/>
      <c r="N8280" s="101"/>
    </row>
    <row r="8281" spans="7:14" hidden="1" x14ac:dyDescent="0.3">
      <c r="G8281" s="101"/>
      <c r="H8281" s="101"/>
      <c r="I8281" s="101"/>
      <c r="K8281" s="226"/>
      <c r="L8281" s="226"/>
      <c r="M8281" s="101"/>
      <c r="N8281" s="101"/>
    </row>
    <row r="8282" spans="7:14" hidden="1" x14ac:dyDescent="0.3">
      <c r="G8282" s="101"/>
      <c r="H8282" s="101"/>
      <c r="I8282" s="101"/>
      <c r="K8282" s="226"/>
      <c r="L8282" s="226"/>
      <c r="M8282" s="101"/>
      <c r="N8282" s="101"/>
    </row>
    <row r="8283" spans="7:14" hidden="1" x14ac:dyDescent="0.3">
      <c r="G8283" s="101"/>
      <c r="H8283" s="101"/>
      <c r="I8283" s="101"/>
      <c r="K8283" s="226"/>
      <c r="L8283" s="226"/>
      <c r="M8283" s="101"/>
      <c r="N8283" s="101"/>
    </row>
    <row r="8284" spans="7:14" hidden="1" x14ac:dyDescent="0.3">
      <c r="G8284" s="101"/>
      <c r="H8284" s="101"/>
      <c r="I8284" s="101"/>
      <c r="K8284" s="226"/>
      <c r="L8284" s="226"/>
      <c r="M8284" s="101"/>
      <c r="N8284" s="101"/>
    </row>
    <row r="8285" spans="7:14" hidden="1" x14ac:dyDescent="0.3">
      <c r="G8285" s="101"/>
      <c r="H8285" s="101"/>
      <c r="I8285" s="101"/>
      <c r="K8285" s="226"/>
      <c r="L8285" s="226"/>
      <c r="M8285" s="101"/>
      <c r="N8285" s="101"/>
    </row>
    <row r="8286" spans="7:14" hidden="1" x14ac:dyDescent="0.3">
      <c r="G8286" s="101"/>
      <c r="H8286" s="101"/>
      <c r="I8286" s="101"/>
      <c r="K8286" s="226"/>
      <c r="L8286" s="226"/>
      <c r="M8286" s="101"/>
      <c r="N8286" s="101"/>
    </row>
    <row r="8287" spans="7:14" hidden="1" x14ac:dyDescent="0.3">
      <c r="G8287" s="101"/>
      <c r="H8287" s="101"/>
      <c r="I8287" s="101"/>
      <c r="K8287" s="226"/>
      <c r="L8287" s="226"/>
      <c r="M8287" s="101"/>
      <c r="N8287" s="101"/>
    </row>
    <row r="8288" spans="7:14" hidden="1" x14ac:dyDescent="0.3">
      <c r="G8288" s="101"/>
      <c r="H8288" s="101"/>
      <c r="I8288" s="101"/>
      <c r="K8288" s="226"/>
      <c r="L8288" s="226"/>
      <c r="M8288" s="101"/>
      <c r="N8288" s="101"/>
    </row>
    <row r="8289" spans="7:14" hidden="1" x14ac:dyDescent="0.3">
      <c r="G8289" s="101"/>
      <c r="H8289" s="101"/>
      <c r="I8289" s="101"/>
      <c r="K8289" s="226"/>
      <c r="L8289" s="226"/>
      <c r="M8289" s="101"/>
      <c r="N8289" s="101"/>
    </row>
    <row r="8290" spans="7:14" hidden="1" x14ac:dyDescent="0.3">
      <c r="G8290" s="101"/>
      <c r="H8290" s="101"/>
      <c r="I8290" s="101"/>
      <c r="K8290" s="226"/>
      <c r="L8290" s="226"/>
      <c r="M8290" s="101"/>
      <c r="N8290" s="101"/>
    </row>
    <row r="8291" spans="7:14" hidden="1" x14ac:dyDescent="0.3">
      <c r="G8291" s="101"/>
      <c r="H8291" s="101"/>
      <c r="I8291" s="101"/>
      <c r="K8291" s="226"/>
      <c r="L8291" s="226"/>
      <c r="M8291" s="101"/>
      <c r="N8291" s="101"/>
    </row>
    <row r="8292" spans="7:14" hidden="1" x14ac:dyDescent="0.3">
      <c r="G8292" s="101"/>
      <c r="H8292" s="101"/>
      <c r="I8292" s="101"/>
      <c r="K8292" s="226"/>
      <c r="L8292" s="226"/>
      <c r="M8292" s="101"/>
      <c r="N8292" s="101"/>
    </row>
    <row r="8293" spans="7:14" hidden="1" x14ac:dyDescent="0.3">
      <c r="G8293" s="101"/>
      <c r="H8293" s="101"/>
      <c r="I8293" s="101"/>
      <c r="K8293" s="226"/>
      <c r="L8293" s="226"/>
      <c r="M8293" s="101"/>
      <c r="N8293" s="101"/>
    </row>
    <row r="8294" spans="7:14" hidden="1" x14ac:dyDescent="0.3">
      <c r="G8294" s="101"/>
      <c r="H8294" s="101"/>
      <c r="I8294" s="101"/>
      <c r="K8294" s="226"/>
      <c r="L8294" s="226"/>
      <c r="M8294" s="101"/>
      <c r="N8294" s="101"/>
    </row>
    <row r="8295" spans="7:14" hidden="1" x14ac:dyDescent="0.3">
      <c r="G8295" s="101"/>
      <c r="H8295" s="101"/>
      <c r="I8295" s="101"/>
      <c r="K8295" s="226"/>
      <c r="L8295" s="226"/>
      <c r="M8295" s="101"/>
      <c r="N8295" s="101"/>
    </row>
    <row r="8296" spans="7:14" hidden="1" x14ac:dyDescent="0.3">
      <c r="G8296" s="101"/>
      <c r="H8296" s="101"/>
      <c r="I8296" s="101"/>
      <c r="K8296" s="226"/>
      <c r="L8296" s="226"/>
      <c r="M8296" s="101"/>
      <c r="N8296" s="101"/>
    </row>
    <row r="8297" spans="7:14" hidden="1" x14ac:dyDescent="0.3">
      <c r="G8297" s="101"/>
      <c r="H8297" s="101"/>
      <c r="I8297" s="101"/>
      <c r="K8297" s="226"/>
      <c r="L8297" s="226"/>
      <c r="M8297" s="101"/>
      <c r="N8297" s="101"/>
    </row>
    <row r="8298" spans="7:14" hidden="1" x14ac:dyDescent="0.3">
      <c r="G8298" s="101"/>
      <c r="H8298" s="101"/>
      <c r="I8298" s="101"/>
      <c r="K8298" s="226"/>
      <c r="L8298" s="226"/>
      <c r="M8298" s="101"/>
      <c r="N8298" s="101"/>
    </row>
    <row r="8299" spans="7:14" hidden="1" x14ac:dyDescent="0.3">
      <c r="G8299" s="101"/>
      <c r="H8299" s="101"/>
      <c r="I8299" s="101"/>
      <c r="K8299" s="226"/>
      <c r="L8299" s="226"/>
      <c r="M8299" s="101"/>
      <c r="N8299" s="101"/>
    </row>
    <row r="8300" spans="7:14" hidden="1" x14ac:dyDescent="0.3">
      <c r="G8300" s="101"/>
      <c r="H8300" s="101"/>
      <c r="I8300" s="101"/>
      <c r="K8300" s="226"/>
      <c r="L8300" s="226"/>
      <c r="M8300" s="101"/>
      <c r="N8300" s="101"/>
    </row>
    <row r="8301" spans="7:14" hidden="1" x14ac:dyDescent="0.3">
      <c r="G8301" s="101"/>
      <c r="H8301" s="101"/>
      <c r="I8301" s="101"/>
      <c r="K8301" s="226"/>
      <c r="L8301" s="226"/>
      <c r="M8301" s="101"/>
      <c r="N8301" s="101"/>
    </row>
    <row r="8302" spans="7:14" hidden="1" x14ac:dyDescent="0.3">
      <c r="G8302" s="101"/>
      <c r="H8302" s="101"/>
      <c r="I8302" s="101"/>
      <c r="K8302" s="226"/>
      <c r="L8302" s="226"/>
      <c r="M8302" s="101"/>
      <c r="N8302" s="101"/>
    </row>
    <row r="8303" spans="7:14" hidden="1" x14ac:dyDescent="0.3">
      <c r="G8303" s="101"/>
      <c r="H8303" s="101"/>
      <c r="I8303" s="101"/>
      <c r="K8303" s="226"/>
      <c r="L8303" s="226"/>
      <c r="M8303" s="101"/>
      <c r="N8303" s="101"/>
    </row>
    <row r="8304" spans="7:14" hidden="1" x14ac:dyDescent="0.3">
      <c r="G8304" s="101"/>
      <c r="H8304" s="101"/>
      <c r="I8304" s="101"/>
      <c r="K8304" s="226"/>
      <c r="L8304" s="226"/>
      <c r="M8304" s="101"/>
      <c r="N8304" s="101"/>
    </row>
    <row r="8305" spans="7:14" hidden="1" x14ac:dyDescent="0.3">
      <c r="G8305" s="101"/>
      <c r="H8305" s="101"/>
      <c r="I8305" s="101"/>
      <c r="K8305" s="226"/>
      <c r="L8305" s="226"/>
      <c r="M8305" s="101"/>
      <c r="N8305" s="101"/>
    </row>
    <row r="8306" spans="7:14" hidden="1" x14ac:dyDescent="0.3">
      <c r="G8306" s="101"/>
      <c r="H8306" s="101"/>
      <c r="I8306" s="101"/>
      <c r="K8306" s="226"/>
      <c r="L8306" s="226"/>
      <c r="M8306" s="101"/>
      <c r="N8306" s="101"/>
    </row>
    <row r="8307" spans="7:14" hidden="1" x14ac:dyDescent="0.3">
      <c r="G8307" s="101"/>
      <c r="H8307" s="101"/>
      <c r="I8307" s="101"/>
      <c r="K8307" s="226"/>
      <c r="L8307" s="226"/>
      <c r="M8307" s="101"/>
      <c r="N8307" s="101"/>
    </row>
    <row r="8308" spans="7:14" hidden="1" x14ac:dyDescent="0.3">
      <c r="G8308" s="101"/>
      <c r="H8308" s="101"/>
      <c r="I8308" s="101"/>
      <c r="K8308" s="226"/>
      <c r="L8308" s="226"/>
      <c r="M8308" s="101"/>
      <c r="N8308" s="101"/>
    </row>
    <row r="8309" spans="7:14" hidden="1" x14ac:dyDescent="0.3">
      <c r="G8309" s="101"/>
      <c r="H8309" s="101"/>
      <c r="I8309" s="101"/>
      <c r="K8309" s="226"/>
      <c r="L8309" s="226"/>
      <c r="M8309" s="101"/>
      <c r="N8309" s="101"/>
    </row>
    <row r="8310" spans="7:14" hidden="1" x14ac:dyDescent="0.3">
      <c r="G8310" s="101"/>
      <c r="H8310" s="101"/>
      <c r="I8310" s="101"/>
      <c r="K8310" s="226"/>
      <c r="L8310" s="226"/>
      <c r="M8310" s="101"/>
      <c r="N8310" s="101"/>
    </row>
    <row r="8311" spans="7:14" hidden="1" x14ac:dyDescent="0.3">
      <c r="G8311" s="101"/>
      <c r="H8311" s="101"/>
      <c r="I8311" s="101"/>
      <c r="K8311" s="226"/>
      <c r="L8311" s="226"/>
      <c r="M8311" s="101"/>
      <c r="N8311" s="101"/>
    </row>
    <row r="8312" spans="7:14" hidden="1" x14ac:dyDescent="0.3">
      <c r="G8312" s="101"/>
      <c r="H8312" s="101"/>
      <c r="I8312" s="101"/>
      <c r="K8312" s="226"/>
      <c r="L8312" s="226"/>
      <c r="M8312" s="101"/>
      <c r="N8312" s="101"/>
    </row>
    <row r="8313" spans="7:14" hidden="1" x14ac:dyDescent="0.3">
      <c r="G8313" s="101"/>
      <c r="H8313" s="101"/>
      <c r="I8313" s="101"/>
      <c r="K8313" s="226"/>
      <c r="L8313" s="226"/>
      <c r="M8313" s="101"/>
      <c r="N8313" s="101"/>
    </row>
    <row r="8314" spans="7:14" hidden="1" x14ac:dyDescent="0.3">
      <c r="G8314" s="101"/>
      <c r="H8314" s="101"/>
      <c r="I8314" s="101"/>
      <c r="K8314" s="226"/>
      <c r="L8314" s="226"/>
      <c r="M8314" s="101"/>
      <c r="N8314" s="101"/>
    </row>
    <row r="8315" spans="7:14" hidden="1" x14ac:dyDescent="0.3">
      <c r="G8315" s="101"/>
      <c r="H8315" s="101"/>
      <c r="I8315" s="101"/>
      <c r="K8315" s="226"/>
      <c r="L8315" s="226"/>
      <c r="M8315" s="101"/>
      <c r="N8315" s="101"/>
    </row>
    <row r="8316" spans="7:14" hidden="1" x14ac:dyDescent="0.3">
      <c r="G8316" s="101"/>
      <c r="H8316" s="101"/>
      <c r="I8316" s="101"/>
      <c r="K8316" s="226"/>
      <c r="L8316" s="226"/>
      <c r="M8316" s="101"/>
      <c r="N8316" s="101"/>
    </row>
    <row r="8317" spans="7:14" hidden="1" x14ac:dyDescent="0.3">
      <c r="G8317" s="101"/>
      <c r="H8317" s="101"/>
      <c r="I8317" s="101"/>
      <c r="K8317" s="226"/>
      <c r="L8317" s="226"/>
      <c r="M8317" s="101"/>
      <c r="N8317" s="101"/>
    </row>
    <row r="8318" spans="7:14" hidden="1" x14ac:dyDescent="0.3">
      <c r="G8318" s="101"/>
      <c r="H8318" s="101"/>
      <c r="I8318" s="101"/>
      <c r="K8318" s="226"/>
      <c r="L8318" s="226"/>
      <c r="M8318" s="101"/>
      <c r="N8318" s="101"/>
    </row>
    <row r="8319" spans="7:14" hidden="1" x14ac:dyDescent="0.3">
      <c r="G8319" s="101"/>
      <c r="H8319" s="101"/>
      <c r="I8319" s="101"/>
      <c r="K8319" s="226"/>
      <c r="L8319" s="226"/>
      <c r="M8319" s="101"/>
      <c r="N8319" s="101"/>
    </row>
    <row r="8320" spans="7:14" hidden="1" x14ac:dyDescent="0.3">
      <c r="G8320" s="101"/>
      <c r="H8320" s="101"/>
      <c r="I8320" s="101"/>
      <c r="K8320" s="226"/>
      <c r="L8320" s="226"/>
      <c r="M8320" s="101"/>
      <c r="N8320" s="101"/>
    </row>
    <row r="8321" spans="7:14" hidden="1" x14ac:dyDescent="0.3">
      <c r="G8321" s="101"/>
      <c r="H8321" s="101"/>
      <c r="I8321" s="101"/>
      <c r="K8321" s="226"/>
      <c r="L8321" s="226"/>
      <c r="M8321" s="101"/>
      <c r="N8321" s="101"/>
    </row>
    <row r="8322" spans="7:14" hidden="1" x14ac:dyDescent="0.3">
      <c r="G8322" s="101"/>
      <c r="H8322" s="101"/>
      <c r="I8322" s="101"/>
      <c r="K8322" s="226"/>
      <c r="L8322" s="226"/>
      <c r="M8322" s="101"/>
      <c r="N8322" s="101"/>
    </row>
    <row r="8323" spans="7:14" hidden="1" x14ac:dyDescent="0.3">
      <c r="G8323" s="101"/>
      <c r="H8323" s="101"/>
      <c r="I8323" s="101"/>
      <c r="K8323" s="226"/>
      <c r="L8323" s="226"/>
      <c r="M8323" s="101"/>
      <c r="N8323" s="101"/>
    </row>
    <row r="8324" spans="7:14" hidden="1" x14ac:dyDescent="0.3">
      <c r="G8324" s="101"/>
      <c r="H8324" s="101"/>
      <c r="I8324" s="101"/>
      <c r="K8324" s="226"/>
      <c r="L8324" s="226"/>
      <c r="M8324" s="101"/>
      <c r="N8324" s="101"/>
    </row>
    <row r="8325" spans="7:14" hidden="1" x14ac:dyDescent="0.3">
      <c r="G8325" s="101"/>
      <c r="H8325" s="101"/>
      <c r="I8325" s="101"/>
      <c r="K8325" s="226"/>
      <c r="L8325" s="226"/>
      <c r="M8325" s="101"/>
      <c r="N8325" s="101"/>
    </row>
    <row r="8326" spans="7:14" hidden="1" x14ac:dyDescent="0.3">
      <c r="G8326" s="101"/>
      <c r="H8326" s="101"/>
      <c r="I8326" s="101"/>
      <c r="K8326" s="226"/>
      <c r="L8326" s="226"/>
      <c r="M8326" s="101"/>
      <c r="N8326" s="101"/>
    </row>
    <row r="8327" spans="7:14" hidden="1" x14ac:dyDescent="0.3">
      <c r="G8327" s="101"/>
      <c r="H8327" s="101"/>
      <c r="I8327" s="101"/>
      <c r="K8327" s="226"/>
      <c r="L8327" s="226"/>
      <c r="M8327" s="101"/>
      <c r="N8327" s="101"/>
    </row>
    <row r="8328" spans="7:14" hidden="1" x14ac:dyDescent="0.3">
      <c r="G8328" s="101"/>
      <c r="H8328" s="101"/>
      <c r="I8328" s="101"/>
      <c r="K8328" s="226"/>
      <c r="L8328" s="226"/>
      <c r="M8328" s="101"/>
      <c r="N8328" s="101"/>
    </row>
    <row r="8329" spans="7:14" hidden="1" x14ac:dyDescent="0.3">
      <c r="G8329" s="101"/>
      <c r="H8329" s="101"/>
      <c r="I8329" s="101"/>
      <c r="K8329" s="226"/>
      <c r="L8329" s="226"/>
      <c r="M8329" s="101"/>
      <c r="N8329" s="101"/>
    </row>
    <row r="8330" spans="7:14" hidden="1" x14ac:dyDescent="0.3">
      <c r="G8330" s="101"/>
      <c r="H8330" s="101"/>
      <c r="I8330" s="101"/>
      <c r="K8330" s="226"/>
      <c r="L8330" s="226"/>
      <c r="M8330" s="101"/>
      <c r="N8330" s="101"/>
    </row>
    <row r="8331" spans="7:14" hidden="1" x14ac:dyDescent="0.3">
      <c r="G8331" s="101"/>
      <c r="H8331" s="101"/>
      <c r="I8331" s="101"/>
      <c r="K8331" s="226"/>
      <c r="L8331" s="226"/>
      <c r="M8331" s="101"/>
      <c r="N8331" s="101"/>
    </row>
    <row r="8332" spans="7:14" hidden="1" x14ac:dyDescent="0.3">
      <c r="G8332" s="101"/>
      <c r="H8332" s="101"/>
      <c r="I8332" s="101"/>
      <c r="K8332" s="226"/>
      <c r="L8332" s="226"/>
      <c r="M8332" s="101"/>
      <c r="N8332" s="101"/>
    </row>
    <row r="8333" spans="7:14" hidden="1" x14ac:dyDescent="0.3">
      <c r="G8333" s="101"/>
      <c r="H8333" s="101"/>
      <c r="I8333" s="101"/>
      <c r="K8333" s="226"/>
      <c r="L8333" s="226"/>
      <c r="M8333" s="101"/>
      <c r="N8333" s="101"/>
    </row>
    <row r="8334" spans="7:14" hidden="1" x14ac:dyDescent="0.3">
      <c r="G8334" s="101"/>
      <c r="H8334" s="101"/>
      <c r="I8334" s="101"/>
      <c r="K8334" s="226"/>
      <c r="L8334" s="226"/>
      <c r="M8334" s="101"/>
      <c r="N8334" s="101"/>
    </row>
    <row r="8335" spans="7:14" hidden="1" x14ac:dyDescent="0.3">
      <c r="G8335" s="101"/>
      <c r="H8335" s="101"/>
      <c r="I8335" s="101"/>
      <c r="K8335" s="226"/>
      <c r="L8335" s="226"/>
      <c r="M8335" s="101"/>
      <c r="N8335" s="101"/>
    </row>
    <row r="8336" spans="7:14" hidden="1" x14ac:dyDescent="0.3">
      <c r="G8336" s="101"/>
      <c r="H8336" s="101"/>
      <c r="I8336" s="101"/>
      <c r="K8336" s="226"/>
      <c r="L8336" s="226"/>
      <c r="M8336" s="101"/>
      <c r="N8336" s="101"/>
    </row>
    <row r="8337" spans="7:14" hidden="1" x14ac:dyDescent="0.3">
      <c r="G8337" s="101"/>
      <c r="H8337" s="101"/>
      <c r="I8337" s="101"/>
      <c r="K8337" s="226"/>
      <c r="L8337" s="226"/>
      <c r="M8337" s="101"/>
      <c r="N8337" s="101"/>
    </row>
    <row r="8338" spans="7:14" hidden="1" x14ac:dyDescent="0.3">
      <c r="G8338" s="101"/>
      <c r="H8338" s="101"/>
      <c r="I8338" s="101"/>
      <c r="K8338" s="226"/>
      <c r="L8338" s="226"/>
      <c r="M8338" s="101"/>
      <c r="N8338" s="101"/>
    </row>
    <row r="8339" spans="7:14" hidden="1" x14ac:dyDescent="0.3">
      <c r="G8339" s="101"/>
      <c r="H8339" s="101"/>
      <c r="I8339" s="101"/>
      <c r="K8339" s="226"/>
      <c r="L8339" s="226"/>
      <c r="M8339" s="101"/>
      <c r="N8339" s="101"/>
    </row>
    <row r="8340" spans="7:14" hidden="1" x14ac:dyDescent="0.3">
      <c r="G8340" s="101"/>
      <c r="H8340" s="101"/>
      <c r="I8340" s="101"/>
      <c r="K8340" s="226"/>
      <c r="L8340" s="226"/>
      <c r="M8340" s="101"/>
      <c r="N8340" s="101"/>
    </row>
    <row r="8341" spans="7:14" hidden="1" x14ac:dyDescent="0.3">
      <c r="G8341" s="101"/>
      <c r="H8341" s="101"/>
      <c r="I8341" s="101"/>
      <c r="K8341" s="226"/>
      <c r="L8341" s="226"/>
      <c r="M8341" s="101"/>
      <c r="N8341" s="101"/>
    </row>
    <row r="8342" spans="7:14" hidden="1" x14ac:dyDescent="0.3">
      <c r="G8342" s="101"/>
      <c r="H8342" s="101"/>
      <c r="I8342" s="101"/>
      <c r="K8342" s="226"/>
      <c r="L8342" s="226"/>
      <c r="M8342" s="101"/>
      <c r="N8342" s="101"/>
    </row>
    <row r="8343" spans="7:14" hidden="1" x14ac:dyDescent="0.3">
      <c r="G8343" s="101"/>
      <c r="H8343" s="101"/>
      <c r="I8343" s="101"/>
      <c r="K8343" s="226"/>
      <c r="L8343" s="226"/>
      <c r="M8343" s="101"/>
      <c r="N8343" s="101"/>
    </row>
    <row r="8344" spans="7:14" hidden="1" x14ac:dyDescent="0.3">
      <c r="G8344" s="101"/>
      <c r="H8344" s="101"/>
      <c r="I8344" s="101"/>
      <c r="K8344" s="226"/>
      <c r="L8344" s="226"/>
      <c r="M8344" s="101"/>
      <c r="N8344" s="101"/>
    </row>
    <row r="8345" spans="7:14" hidden="1" x14ac:dyDescent="0.3">
      <c r="G8345" s="101"/>
      <c r="H8345" s="101"/>
      <c r="I8345" s="101"/>
      <c r="K8345" s="226"/>
      <c r="L8345" s="226"/>
      <c r="M8345" s="101"/>
      <c r="N8345" s="101"/>
    </row>
    <row r="8346" spans="7:14" hidden="1" x14ac:dyDescent="0.3">
      <c r="G8346" s="101"/>
      <c r="H8346" s="101"/>
      <c r="I8346" s="101"/>
      <c r="K8346" s="226"/>
      <c r="L8346" s="226"/>
      <c r="M8346" s="101"/>
      <c r="N8346" s="101"/>
    </row>
    <row r="8347" spans="7:14" hidden="1" x14ac:dyDescent="0.3">
      <c r="G8347" s="101"/>
      <c r="H8347" s="101"/>
      <c r="I8347" s="101"/>
      <c r="K8347" s="226"/>
      <c r="L8347" s="226"/>
      <c r="M8347" s="101"/>
      <c r="N8347" s="101"/>
    </row>
    <row r="8348" spans="7:14" hidden="1" x14ac:dyDescent="0.3">
      <c r="G8348" s="101"/>
      <c r="H8348" s="101"/>
      <c r="I8348" s="101"/>
      <c r="K8348" s="226"/>
      <c r="L8348" s="226"/>
      <c r="M8348" s="101"/>
      <c r="N8348" s="101"/>
    </row>
    <row r="8349" spans="7:14" hidden="1" x14ac:dyDescent="0.3">
      <c r="G8349" s="101"/>
      <c r="H8349" s="101"/>
      <c r="I8349" s="101"/>
      <c r="K8349" s="226"/>
      <c r="L8349" s="226"/>
      <c r="M8349" s="101"/>
      <c r="N8349" s="101"/>
    </row>
    <row r="8350" spans="7:14" hidden="1" x14ac:dyDescent="0.3">
      <c r="G8350" s="101"/>
      <c r="H8350" s="101"/>
      <c r="I8350" s="101"/>
      <c r="K8350" s="226"/>
      <c r="L8350" s="226"/>
      <c r="M8350" s="101"/>
      <c r="N8350" s="101"/>
    </row>
    <row r="8351" spans="7:14" hidden="1" x14ac:dyDescent="0.3">
      <c r="G8351" s="101"/>
      <c r="H8351" s="101"/>
      <c r="I8351" s="101"/>
      <c r="K8351" s="226"/>
      <c r="L8351" s="226"/>
      <c r="M8351" s="101"/>
      <c r="N8351" s="101"/>
    </row>
    <row r="8352" spans="7:14" hidden="1" x14ac:dyDescent="0.3">
      <c r="G8352" s="101"/>
      <c r="H8352" s="101"/>
      <c r="I8352" s="101"/>
      <c r="K8352" s="226"/>
      <c r="L8352" s="226"/>
      <c r="M8352" s="101"/>
      <c r="N8352" s="101"/>
    </row>
    <row r="8353" spans="7:14" hidden="1" x14ac:dyDescent="0.3">
      <c r="G8353" s="101"/>
      <c r="H8353" s="101"/>
      <c r="I8353" s="101"/>
      <c r="K8353" s="226"/>
      <c r="L8353" s="226"/>
      <c r="M8353" s="101"/>
      <c r="N8353" s="101"/>
    </row>
    <row r="8354" spans="7:14" hidden="1" x14ac:dyDescent="0.3">
      <c r="G8354" s="101"/>
      <c r="H8354" s="101"/>
      <c r="I8354" s="101"/>
      <c r="K8354" s="226"/>
      <c r="L8354" s="226"/>
      <c r="M8354" s="101"/>
      <c r="N8354" s="101"/>
    </row>
    <row r="8355" spans="7:14" hidden="1" x14ac:dyDescent="0.3">
      <c r="G8355" s="101"/>
      <c r="H8355" s="101"/>
      <c r="I8355" s="101"/>
      <c r="K8355" s="226"/>
      <c r="L8355" s="226"/>
      <c r="M8355" s="101"/>
      <c r="N8355" s="101"/>
    </row>
    <row r="8356" spans="7:14" hidden="1" x14ac:dyDescent="0.3">
      <c r="G8356" s="101"/>
      <c r="H8356" s="101"/>
      <c r="I8356" s="101"/>
      <c r="K8356" s="226"/>
      <c r="L8356" s="226"/>
      <c r="M8356" s="101"/>
      <c r="N8356" s="101"/>
    </row>
    <row r="8357" spans="7:14" hidden="1" x14ac:dyDescent="0.3">
      <c r="G8357" s="101"/>
      <c r="H8357" s="101"/>
      <c r="I8357" s="101"/>
      <c r="K8357" s="226"/>
      <c r="L8357" s="226"/>
      <c r="M8357" s="101"/>
      <c r="N8357" s="101"/>
    </row>
    <row r="8358" spans="7:14" hidden="1" x14ac:dyDescent="0.3">
      <c r="G8358" s="101"/>
      <c r="H8358" s="101"/>
      <c r="I8358" s="101"/>
      <c r="K8358" s="226"/>
      <c r="L8358" s="226"/>
      <c r="M8358" s="101"/>
      <c r="N8358" s="101"/>
    </row>
    <row r="8359" spans="7:14" hidden="1" x14ac:dyDescent="0.3">
      <c r="G8359" s="101"/>
      <c r="H8359" s="101"/>
      <c r="I8359" s="101"/>
      <c r="K8359" s="226"/>
      <c r="L8359" s="226"/>
      <c r="M8359" s="101"/>
      <c r="N8359" s="101"/>
    </row>
    <row r="8360" spans="7:14" hidden="1" x14ac:dyDescent="0.3">
      <c r="G8360" s="101"/>
      <c r="H8360" s="101"/>
      <c r="I8360" s="101"/>
      <c r="K8360" s="226"/>
      <c r="L8360" s="226"/>
      <c r="M8360" s="101"/>
      <c r="N8360" s="101"/>
    </row>
    <row r="8361" spans="7:14" hidden="1" x14ac:dyDescent="0.3">
      <c r="G8361" s="101"/>
      <c r="H8361" s="101"/>
      <c r="I8361" s="101"/>
      <c r="K8361" s="226"/>
      <c r="L8361" s="226"/>
      <c r="M8361" s="101"/>
      <c r="N8361" s="101"/>
    </row>
    <row r="8362" spans="7:14" hidden="1" x14ac:dyDescent="0.3">
      <c r="G8362" s="101"/>
      <c r="H8362" s="101"/>
      <c r="I8362" s="101"/>
      <c r="K8362" s="226"/>
      <c r="L8362" s="226"/>
      <c r="M8362" s="101"/>
      <c r="N8362" s="101"/>
    </row>
    <row r="8363" spans="7:14" hidden="1" x14ac:dyDescent="0.3">
      <c r="G8363" s="101"/>
      <c r="H8363" s="101"/>
      <c r="I8363" s="101"/>
      <c r="K8363" s="226"/>
      <c r="L8363" s="226"/>
      <c r="M8363" s="101"/>
      <c r="N8363" s="101"/>
    </row>
    <row r="8364" spans="7:14" hidden="1" x14ac:dyDescent="0.3">
      <c r="G8364" s="101"/>
      <c r="H8364" s="101"/>
      <c r="I8364" s="101"/>
      <c r="K8364" s="226"/>
      <c r="L8364" s="226"/>
      <c r="M8364" s="101"/>
      <c r="N8364" s="101"/>
    </row>
    <row r="8365" spans="7:14" hidden="1" x14ac:dyDescent="0.3">
      <c r="G8365" s="101"/>
      <c r="H8365" s="101"/>
      <c r="I8365" s="101"/>
      <c r="K8365" s="226"/>
      <c r="L8365" s="226"/>
      <c r="M8365" s="101"/>
      <c r="N8365" s="101"/>
    </row>
    <row r="8366" spans="7:14" hidden="1" x14ac:dyDescent="0.3">
      <c r="G8366" s="101"/>
      <c r="H8366" s="101"/>
      <c r="I8366" s="101"/>
      <c r="K8366" s="226"/>
      <c r="L8366" s="226"/>
      <c r="M8366" s="101"/>
      <c r="N8366" s="101"/>
    </row>
    <row r="8367" spans="7:14" hidden="1" x14ac:dyDescent="0.3">
      <c r="G8367" s="101"/>
      <c r="H8367" s="101"/>
      <c r="I8367" s="101"/>
      <c r="K8367" s="226"/>
      <c r="L8367" s="226"/>
      <c r="M8367" s="101"/>
      <c r="N8367" s="101"/>
    </row>
    <row r="8368" spans="7:14" hidden="1" x14ac:dyDescent="0.3">
      <c r="G8368" s="101"/>
      <c r="H8368" s="101"/>
      <c r="I8368" s="101"/>
      <c r="K8368" s="226"/>
      <c r="L8368" s="226"/>
      <c r="M8368" s="101"/>
      <c r="N8368" s="101"/>
    </row>
    <row r="8369" spans="7:14" hidden="1" x14ac:dyDescent="0.3">
      <c r="G8369" s="101"/>
      <c r="H8369" s="101"/>
      <c r="I8369" s="101"/>
      <c r="K8369" s="226"/>
      <c r="L8369" s="226"/>
      <c r="M8369" s="101"/>
      <c r="N8369" s="101"/>
    </row>
    <row r="8370" spans="7:14" hidden="1" x14ac:dyDescent="0.3">
      <c r="G8370" s="101"/>
      <c r="H8370" s="101"/>
      <c r="I8370" s="101"/>
      <c r="K8370" s="226"/>
      <c r="L8370" s="226"/>
      <c r="M8370" s="101"/>
      <c r="N8370" s="101"/>
    </row>
    <row r="8371" spans="7:14" hidden="1" x14ac:dyDescent="0.3">
      <c r="G8371" s="101"/>
      <c r="H8371" s="101"/>
      <c r="I8371" s="101"/>
      <c r="K8371" s="226"/>
      <c r="L8371" s="226"/>
      <c r="M8371" s="101"/>
      <c r="N8371" s="101"/>
    </row>
    <row r="8372" spans="7:14" hidden="1" x14ac:dyDescent="0.3">
      <c r="G8372" s="101"/>
      <c r="H8372" s="101"/>
      <c r="I8372" s="101"/>
      <c r="K8372" s="226"/>
      <c r="L8372" s="226"/>
      <c r="M8372" s="101"/>
      <c r="N8372" s="101"/>
    </row>
    <row r="8373" spans="7:14" hidden="1" x14ac:dyDescent="0.3">
      <c r="G8373" s="101"/>
      <c r="H8373" s="101"/>
      <c r="I8373" s="101"/>
      <c r="K8373" s="226"/>
      <c r="L8373" s="226"/>
      <c r="M8373" s="101"/>
      <c r="N8373" s="101"/>
    </row>
    <row r="8374" spans="7:14" hidden="1" x14ac:dyDescent="0.3">
      <c r="G8374" s="101"/>
      <c r="H8374" s="101"/>
      <c r="I8374" s="101"/>
      <c r="K8374" s="226"/>
      <c r="L8374" s="226"/>
      <c r="M8374" s="101"/>
      <c r="N8374" s="101"/>
    </row>
    <row r="8375" spans="7:14" hidden="1" x14ac:dyDescent="0.3">
      <c r="G8375" s="101"/>
      <c r="H8375" s="101"/>
      <c r="I8375" s="101"/>
      <c r="K8375" s="226"/>
      <c r="L8375" s="226"/>
      <c r="M8375" s="101"/>
      <c r="N8375" s="101"/>
    </row>
    <row r="8376" spans="7:14" hidden="1" x14ac:dyDescent="0.3">
      <c r="G8376" s="101"/>
      <c r="H8376" s="101"/>
      <c r="I8376" s="101"/>
      <c r="K8376" s="226"/>
      <c r="L8376" s="226"/>
      <c r="M8376" s="101"/>
      <c r="N8376" s="101"/>
    </row>
    <row r="8377" spans="7:14" hidden="1" x14ac:dyDescent="0.3">
      <c r="G8377" s="101"/>
      <c r="H8377" s="101"/>
      <c r="I8377" s="101"/>
      <c r="K8377" s="226"/>
      <c r="L8377" s="226"/>
      <c r="M8377" s="101"/>
      <c r="N8377" s="101"/>
    </row>
    <row r="8378" spans="7:14" hidden="1" x14ac:dyDescent="0.3">
      <c r="G8378" s="101"/>
      <c r="H8378" s="101"/>
      <c r="I8378" s="101"/>
      <c r="K8378" s="226"/>
      <c r="L8378" s="226"/>
      <c r="M8378" s="101"/>
      <c r="N8378" s="101"/>
    </row>
    <row r="8379" spans="7:14" hidden="1" x14ac:dyDescent="0.3">
      <c r="G8379" s="101"/>
      <c r="H8379" s="101"/>
      <c r="I8379" s="101"/>
      <c r="K8379" s="226"/>
      <c r="L8379" s="226"/>
      <c r="M8379" s="101"/>
      <c r="N8379" s="101"/>
    </row>
    <row r="8380" spans="7:14" hidden="1" x14ac:dyDescent="0.3">
      <c r="G8380" s="101"/>
      <c r="H8380" s="101"/>
      <c r="I8380" s="101"/>
      <c r="K8380" s="226"/>
      <c r="L8380" s="226"/>
      <c r="M8380" s="101"/>
      <c r="N8380" s="101"/>
    </row>
    <row r="8381" spans="7:14" hidden="1" x14ac:dyDescent="0.3">
      <c r="G8381" s="101"/>
      <c r="H8381" s="101"/>
      <c r="I8381" s="101"/>
      <c r="K8381" s="226"/>
      <c r="L8381" s="226"/>
      <c r="M8381" s="101"/>
      <c r="N8381" s="101"/>
    </row>
    <row r="8382" spans="7:14" hidden="1" x14ac:dyDescent="0.3">
      <c r="G8382" s="101"/>
      <c r="H8382" s="101"/>
      <c r="I8382" s="101"/>
      <c r="K8382" s="226"/>
      <c r="L8382" s="226"/>
      <c r="M8382" s="101"/>
      <c r="N8382" s="101"/>
    </row>
    <row r="8383" spans="7:14" hidden="1" x14ac:dyDescent="0.3">
      <c r="G8383" s="101"/>
      <c r="H8383" s="101"/>
      <c r="I8383" s="101"/>
      <c r="K8383" s="226"/>
      <c r="L8383" s="226"/>
      <c r="M8383" s="101"/>
      <c r="N8383" s="101"/>
    </row>
    <row r="8384" spans="7:14" hidden="1" x14ac:dyDescent="0.3">
      <c r="G8384" s="101"/>
      <c r="H8384" s="101"/>
      <c r="I8384" s="101"/>
      <c r="K8384" s="226"/>
      <c r="L8384" s="226"/>
      <c r="M8384" s="101"/>
      <c r="N8384" s="101"/>
    </row>
    <row r="8385" spans="7:14" hidden="1" x14ac:dyDescent="0.3">
      <c r="G8385" s="101"/>
      <c r="H8385" s="101"/>
      <c r="I8385" s="101"/>
      <c r="K8385" s="226"/>
      <c r="L8385" s="226"/>
      <c r="M8385" s="101"/>
      <c r="N8385" s="101"/>
    </row>
    <row r="8386" spans="7:14" hidden="1" x14ac:dyDescent="0.3">
      <c r="G8386" s="101"/>
      <c r="H8386" s="101"/>
      <c r="I8386" s="101"/>
      <c r="K8386" s="226"/>
      <c r="L8386" s="226"/>
      <c r="M8386" s="101"/>
      <c r="N8386" s="101"/>
    </row>
    <row r="8387" spans="7:14" hidden="1" x14ac:dyDescent="0.3">
      <c r="G8387" s="101"/>
      <c r="H8387" s="101"/>
      <c r="I8387" s="101"/>
      <c r="K8387" s="226"/>
      <c r="L8387" s="226"/>
      <c r="M8387" s="101"/>
      <c r="N8387" s="101"/>
    </row>
    <row r="8388" spans="7:14" hidden="1" x14ac:dyDescent="0.3">
      <c r="G8388" s="101"/>
      <c r="H8388" s="101"/>
      <c r="I8388" s="101"/>
      <c r="K8388" s="226"/>
      <c r="L8388" s="226"/>
      <c r="M8388" s="101"/>
      <c r="N8388" s="101"/>
    </row>
    <row r="8389" spans="7:14" hidden="1" x14ac:dyDescent="0.3">
      <c r="G8389" s="101"/>
      <c r="H8389" s="101"/>
      <c r="I8389" s="101"/>
      <c r="K8389" s="226"/>
      <c r="L8389" s="226"/>
      <c r="M8389" s="101"/>
      <c r="N8389" s="101"/>
    </row>
    <row r="8390" spans="7:14" hidden="1" x14ac:dyDescent="0.3">
      <c r="G8390" s="101"/>
      <c r="H8390" s="101"/>
      <c r="I8390" s="101"/>
      <c r="K8390" s="226"/>
      <c r="L8390" s="226"/>
      <c r="M8390" s="101"/>
      <c r="N8390" s="101"/>
    </row>
    <row r="8391" spans="7:14" hidden="1" x14ac:dyDescent="0.3">
      <c r="G8391" s="101"/>
      <c r="H8391" s="101"/>
      <c r="I8391" s="101"/>
      <c r="K8391" s="226"/>
      <c r="L8391" s="226"/>
      <c r="M8391" s="101"/>
      <c r="N8391" s="101"/>
    </row>
    <row r="8392" spans="7:14" hidden="1" x14ac:dyDescent="0.3">
      <c r="G8392" s="101"/>
      <c r="H8392" s="101"/>
      <c r="I8392" s="101"/>
      <c r="K8392" s="226"/>
      <c r="L8392" s="226"/>
      <c r="M8392" s="101"/>
      <c r="N8392" s="101"/>
    </row>
    <row r="8393" spans="7:14" hidden="1" x14ac:dyDescent="0.3">
      <c r="G8393" s="101"/>
      <c r="H8393" s="101"/>
      <c r="I8393" s="101"/>
      <c r="K8393" s="226"/>
      <c r="L8393" s="226"/>
      <c r="M8393" s="101"/>
      <c r="N8393" s="101"/>
    </row>
    <row r="8394" spans="7:14" hidden="1" x14ac:dyDescent="0.3">
      <c r="G8394" s="101"/>
      <c r="H8394" s="101"/>
      <c r="I8394" s="101"/>
      <c r="K8394" s="226"/>
      <c r="L8394" s="226"/>
      <c r="M8394" s="101"/>
      <c r="N8394" s="101"/>
    </row>
    <row r="8395" spans="7:14" hidden="1" x14ac:dyDescent="0.3">
      <c r="G8395" s="101"/>
      <c r="H8395" s="101"/>
      <c r="I8395" s="101"/>
      <c r="K8395" s="226"/>
      <c r="L8395" s="226"/>
      <c r="M8395" s="101"/>
      <c r="N8395" s="101"/>
    </row>
    <row r="8396" spans="7:14" hidden="1" x14ac:dyDescent="0.3">
      <c r="G8396" s="101"/>
      <c r="H8396" s="101"/>
      <c r="I8396" s="101"/>
      <c r="K8396" s="226"/>
      <c r="L8396" s="226"/>
      <c r="M8396" s="101"/>
      <c r="N8396" s="101"/>
    </row>
    <row r="8397" spans="7:14" hidden="1" x14ac:dyDescent="0.3">
      <c r="G8397" s="101"/>
      <c r="H8397" s="101"/>
      <c r="I8397" s="101"/>
      <c r="K8397" s="226"/>
      <c r="L8397" s="226"/>
      <c r="M8397" s="101"/>
      <c r="N8397" s="101"/>
    </row>
    <row r="8398" spans="7:14" hidden="1" x14ac:dyDescent="0.3">
      <c r="G8398" s="101"/>
      <c r="H8398" s="101"/>
      <c r="I8398" s="101"/>
      <c r="K8398" s="226"/>
      <c r="L8398" s="226"/>
      <c r="M8398" s="101"/>
      <c r="N8398" s="101"/>
    </row>
    <row r="8399" spans="7:14" hidden="1" x14ac:dyDescent="0.3">
      <c r="G8399" s="101"/>
      <c r="H8399" s="101"/>
      <c r="I8399" s="101"/>
      <c r="K8399" s="226"/>
      <c r="L8399" s="226"/>
      <c r="M8399" s="101"/>
      <c r="N8399" s="101"/>
    </row>
    <row r="8400" spans="7:14" hidden="1" x14ac:dyDescent="0.3">
      <c r="G8400" s="101"/>
      <c r="H8400" s="101"/>
      <c r="I8400" s="101"/>
      <c r="K8400" s="226"/>
      <c r="L8400" s="226"/>
      <c r="M8400" s="101"/>
      <c r="N8400" s="101"/>
    </row>
    <row r="8401" spans="7:14" hidden="1" x14ac:dyDescent="0.3">
      <c r="G8401" s="101"/>
      <c r="H8401" s="101"/>
      <c r="I8401" s="101"/>
      <c r="K8401" s="226"/>
      <c r="L8401" s="226"/>
      <c r="M8401" s="101"/>
      <c r="N8401" s="101"/>
    </row>
    <row r="8402" spans="7:14" hidden="1" x14ac:dyDescent="0.3">
      <c r="G8402" s="101"/>
      <c r="H8402" s="101"/>
      <c r="I8402" s="101"/>
      <c r="K8402" s="226"/>
      <c r="L8402" s="226"/>
      <c r="M8402" s="101"/>
      <c r="N8402" s="101"/>
    </row>
    <row r="8403" spans="7:14" hidden="1" x14ac:dyDescent="0.3">
      <c r="G8403" s="101"/>
      <c r="H8403" s="101"/>
      <c r="I8403" s="101"/>
      <c r="K8403" s="226"/>
      <c r="L8403" s="226"/>
      <c r="M8403" s="101"/>
      <c r="N8403" s="101"/>
    </row>
    <row r="8404" spans="7:14" hidden="1" x14ac:dyDescent="0.3">
      <c r="G8404" s="101"/>
      <c r="H8404" s="101"/>
      <c r="I8404" s="101"/>
      <c r="K8404" s="226"/>
      <c r="L8404" s="226"/>
      <c r="M8404" s="101"/>
      <c r="N8404" s="101"/>
    </row>
    <row r="8405" spans="7:14" hidden="1" x14ac:dyDescent="0.3">
      <c r="G8405" s="101"/>
      <c r="H8405" s="101"/>
      <c r="I8405" s="101"/>
      <c r="K8405" s="226"/>
      <c r="L8405" s="226"/>
      <c r="M8405" s="101"/>
      <c r="N8405" s="101"/>
    </row>
    <row r="8406" spans="7:14" hidden="1" x14ac:dyDescent="0.3">
      <c r="G8406" s="101"/>
      <c r="H8406" s="101"/>
      <c r="I8406" s="101"/>
      <c r="K8406" s="226"/>
      <c r="L8406" s="226"/>
      <c r="M8406" s="101"/>
      <c r="N8406" s="101"/>
    </row>
    <row r="8407" spans="7:14" hidden="1" x14ac:dyDescent="0.3">
      <c r="G8407" s="101"/>
      <c r="H8407" s="101"/>
      <c r="I8407" s="101"/>
      <c r="K8407" s="226"/>
      <c r="L8407" s="226"/>
      <c r="M8407" s="101"/>
      <c r="N8407" s="101"/>
    </row>
    <row r="8408" spans="7:14" hidden="1" x14ac:dyDescent="0.3">
      <c r="G8408" s="101"/>
      <c r="H8408" s="101"/>
      <c r="I8408" s="101"/>
      <c r="K8408" s="226"/>
      <c r="L8408" s="226"/>
      <c r="M8408" s="101"/>
      <c r="N8408" s="101"/>
    </row>
    <row r="8409" spans="7:14" hidden="1" x14ac:dyDescent="0.3">
      <c r="G8409" s="101"/>
      <c r="H8409" s="101"/>
      <c r="I8409" s="101"/>
      <c r="K8409" s="226"/>
      <c r="L8409" s="226"/>
      <c r="M8409" s="101"/>
      <c r="N8409" s="101"/>
    </row>
    <row r="8410" spans="7:14" hidden="1" x14ac:dyDescent="0.3">
      <c r="G8410" s="101"/>
      <c r="H8410" s="101"/>
      <c r="I8410" s="101"/>
      <c r="K8410" s="226"/>
      <c r="L8410" s="226"/>
      <c r="M8410" s="101"/>
      <c r="N8410" s="101"/>
    </row>
    <row r="8411" spans="7:14" hidden="1" x14ac:dyDescent="0.3">
      <c r="G8411" s="101"/>
      <c r="H8411" s="101"/>
      <c r="I8411" s="101"/>
      <c r="K8411" s="226"/>
      <c r="L8411" s="226"/>
      <c r="M8411" s="101"/>
      <c r="N8411" s="101"/>
    </row>
    <row r="8412" spans="7:14" hidden="1" x14ac:dyDescent="0.3">
      <c r="G8412" s="101"/>
      <c r="H8412" s="101"/>
      <c r="I8412" s="101"/>
      <c r="K8412" s="226"/>
      <c r="L8412" s="226"/>
      <c r="M8412" s="101"/>
      <c r="N8412" s="101"/>
    </row>
    <row r="8413" spans="7:14" hidden="1" x14ac:dyDescent="0.3">
      <c r="G8413" s="101"/>
      <c r="H8413" s="101"/>
      <c r="I8413" s="101"/>
      <c r="K8413" s="226"/>
      <c r="L8413" s="226"/>
      <c r="M8413" s="101"/>
      <c r="N8413" s="101"/>
    </row>
    <row r="8414" spans="7:14" hidden="1" x14ac:dyDescent="0.3">
      <c r="G8414" s="101"/>
      <c r="H8414" s="101"/>
      <c r="I8414" s="101"/>
      <c r="K8414" s="226"/>
      <c r="L8414" s="226"/>
      <c r="M8414" s="101"/>
      <c r="N8414" s="101"/>
    </row>
    <row r="8415" spans="7:14" hidden="1" x14ac:dyDescent="0.3">
      <c r="G8415" s="101"/>
      <c r="H8415" s="101"/>
      <c r="I8415" s="101"/>
      <c r="K8415" s="226"/>
      <c r="L8415" s="226"/>
      <c r="M8415" s="101"/>
      <c r="N8415" s="101"/>
    </row>
    <row r="8416" spans="7:14" hidden="1" x14ac:dyDescent="0.3">
      <c r="G8416" s="101"/>
      <c r="H8416" s="101"/>
      <c r="I8416" s="101"/>
      <c r="K8416" s="226"/>
      <c r="L8416" s="226"/>
      <c r="M8416" s="101"/>
      <c r="N8416" s="101"/>
    </row>
    <row r="8417" spans="7:14" hidden="1" x14ac:dyDescent="0.3">
      <c r="G8417" s="101"/>
      <c r="H8417" s="101"/>
      <c r="I8417" s="101"/>
      <c r="K8417" s="226"/>
      <c r="L8417" s="226"/>
      <c r="M8417" s="101"/>
      <c r="N8417" s="101"/>
    </row>
    <row r="8418" spans="7:14" hidden="1" x14ac:dyDescent="0.3">
      <c r="G8418" s="101"/>
      <c r="H8418" s="101"/>
      <c r="I8418" s="101"/>
      <c r="K8418" s="226"/>
      <c r="L8418" s="226"/>
      <c r="M8418" s="101"/>
      <c r="N8418" s="101"/>
    </row>
    <row r="8419" spans="7:14" hidden="1" x14ac:dyDescent="0.3">
      <c r="G8419" s="101"/>
      <c r="H8419" s="101"/>
      <c r="I8419" s="101"/>
      <c r="K8419" s="226"/>
      <c r="L8419" s="226"/>
      <c r="M8419" s="101"/>
      <c r="N8419" s="101"/>
    </row>
    <row r="8420" spans="7:14" hidden="1" x14ac:dyDescent="0.3">
      <c r="G8420" s="101"/>
      <c r="H8420" s="101"/>
      <c r="I8420" s="101"/>
      <c r="K8420" s="226"/>
      <c r="L8420" s="226"/>
      <c r="M8420" s="101"/>
      <c r="N8420" s="101"/>
    </row>
    <row r="8421" spans="7:14" hidden="1" x14ac:dyDescent="0.3">
      <c r="G8421" s="101"/>
      <c r="H8421" s="101"/>
      <c r="I8421" s="101"/>
      <c r="K8421" s="226"/>
      <c r="L8421" s="226"/>
      <c r="M8421" s="101"/>
      <c r="N8421" s="101"/>
    </row>
    <row r="8422" spans="7:14" hidden="1" x14ac:dyDescent="0.3">
      <c r="G8422" s="101"/>
      <c r="H8422" s="101"/>
      <c r="I8422" s="101"/>
      <c r="K8422" s="226"/>
      <c r="L8422" s="226"/>
      <c r="M8422" s="101"/>
      <c r="N8422" s="101"/>
    </row>
    <row r="8423" spans="7:14" hidden="1" x14ac:dyDescent="0.3">
      <c r="G8423" s="101"/>
      <c r="H8423" s="101"/>
      <c r="I8423" s="101"/>
      <c r="K8423" s="226"/>
      <c r="L8423" s="226"/>
      <c r="M8423" s="101"/>
      <c r="N8423" s="101"/>
    </row>
    <row r="8424" spans="7:14" hidden="1" x14ac:dyDescent="0.3">
      <c r="G8424" s="101"/>
      <c r="H8424" s="101"/>
      <c r="I8424" s="101"/>
      <c r="K8424" s="226"/>
      <c r="L8424" s="226"/>
      <c r="M8424" s="101"/>
      <c r="N8424" s="101"/>
    </row>
    <row r="8425" spans="7:14" hidden="1" x14ac:dyDescent="0.3">
      <c r="G8425" s="101"/>
      <c r="H8425" s="101"/>
      <c r="I8425" s="101"/>
      <c r="K8425" s="226"/>
      <c r="L8425" s="226"/>
      <c r="M8425" s="101"/>
      <c r="N8425" s="101"/>
    </row>
    <row r="8426" spans="7:14" hidden="1" x14ac:dyDescent="0.3">
      <c r="G8426" s="101"/>
      <c r="H8426" s="101"/>
      <c r="I8426" s="101"/>
      <c r="K8426" s="226"/>
      <c r="L8426" s="226"/>
      <c r="M8426" s="101"/>
      <c r="N8426" s="101"/>
    </row>
    <row r="8427" spans="7:14" hidden="1" x14ac:dyDescent="0.3">
      <c r="G8427" s="101"/>
      <c r="H8427" s="101"/>
      <c r="I8427" s="101"/>
      <c r="K8427" s="226"/>
      <c r="L8427" s="226"/>
      <c r="M8427" s="101"/>
      <c r="N8427" s="101"/>
    </row>
    <row r="8428" spans="7:14" hidden="1" x14ac:dyDescent="0.3">
      <c r="G8428" s="101"/>
      <c r="H8428" s="101"/>
      <c r="I8428" s="101"/>
      <c r="K8428" s="226"/>
      <c r="L8428" s="226"/>
      <c r="M8428" s="101"/>
      <c r="N8428" s="101"/>
    </row>
    <row r="8429" spans="7:14" hidden="1" x14ac:dyDescent="0.3">
      <c r="G8429" s="101"/>
      <c r="H8429" s="101"/>
      <c r="I8429" s="101"/>
      <c r="K8429" s="226"/>
      <c r="L8429" s="226"/>
      <c r="M8429" s="101"/>
      <c r="N8429" s="101"/>
    </row>
    <row r="8430" spans="7:14" hidden="1" x14ac:dyDescent="0.3">
      <c r="G8430" s="101"/>
      <c r="H8430" s="101"/>
      <c r="I8430" s="101"/>
      <c r="K8430" s="226"/>
      <c r="L8430" s="226"/>
      <c r="M8430" s="101"/>
      <c r="N8430" s="101"/>
    </row>
    <row r="8431" spans="7:14" hidden="1" x14ac:dyDescent="0.3">
      <c r="G8431" s="101"/>
      <c r="H8431" s="101"/>
      <c r="I8431" s="101"/>
      <c r="K8431" s="226"/>
      <c r="L8431" s="226"/>
      <c r="M8431" s="101"/>
      <c r="N8431" s="101"/>
    </row>
    <row r="8432" spans="7:14" hidden="1" x14ac:dyDescent="0.3">
      <c r="G8432" s="101"/>
      <c r="H8432" s="101"/>
      <c r="I8432" s="101"/>
      <c r="K8432" s="226"/>
      <c r="L8432" s="226"/>
      <c r="M8432" s="101"/>
      <c r="N8432" s="101"/>
    </row>
    <row r="8433" spans="7:14" hidden="1" x14ac:dyDescent="0.3">
      <c r="G8433" s="101"/>
      <c r="H8433" s="101"/>
      <c r="I8433" s="101"/>
      <c r="K8433" s="226"/>
      <c r="L8433" s="226"/>
      <c r="M8433" s="101"/>
      <c r="N8433" s="101"/>
    </row>
    <row r="8434" spans="7:14" hidden="1" x14ac:dyDescent="0.3">
      <c r="G8434" s="101"/>
      <c r="H8434" s="101"/>
      <c r="I8434" s="101"/>
      <c r="K8434" s="226"/>
      <c r="L8434" s="226"/>
      <c r="M8434" s="101"/>
      <c r="N8434" s="101"/>
    </row>
    <row r="8435" spans="7:14" hidden="1" x14ac:dyDescent="0.3">
      <c r="G8435" s="101"/>
      <c r="H8435" s="101"/>
      <c r="I8435" s="101"/>
      <c r="K8435" s="226"/>
      <c r="L8435" s="226"/>
      <c r="M8435" s="101"/>
      <c r="N8435" s="101"/>
    </row>
    <row r="8436" spans="7:14" hidden="1" x14ac:dyDescent="0.3">
      <c r="G8436" s="101"/>
      <c r="H8436" s="101"/>
      <c r="I8436" s="101"/>
      <c r="K8436" s="226"/>
      <c r="L8436" s="226"/>
      <c r="M8436" s="101"/>
      <c r="N8436" s="101"/>
    </row>
    <row r="8437" spans="7:14" hidden="1" x14ac:dyDescent="0.3">
      <c r="G8437" s="101"/>
      <c r="H8437" s="101"/>
      <c r="I8437" s="101"/>
      <c r="K8437" s="226"/>
      <c r="L8437" s="226"/>
      <c r="M8437" s="101"/>
      <c r="N8437" s="101"/>
    </row>
    <row r="8438" spans="7:14" hidden="1" x14ac:dyDescent="0.3">
      <c r="G8438" s="101"/>
      <c r="H8438" s="101"/>
      <c r="I8438" s="101"/>
      <c r="K8438" s="226"/>
      <c r="L8438" s="226"/>
      <c r="M8438" s="101"/>
      <c r="N8438" s="101"/>
    </row>
    <row r="8439" spans="7:14" hidden="1" x14ac:dyDescent="0.3">
      <c r="G8439" s="101"/>
      <c r="H8439" s="101"/>
      <c r="I8439" s="101"/>
      <c r="K8439" s="226"/>
      <c r="L8439" s="226"/>
      <c r="M8439" s="101"/>
      <c r="N8439" s="101"/>
    </row>
    <row r="8440" spans="7:14" hidden="1" x14ac:dyDescent="0.3">
      <c r="G8440" s="101"/>
      <c r="H8440" s="101"/>
      <c r="I8440" s="101"/>
      <c r="K8440" s="226"/>
      <c r="L8440" s="226"/>
      <c r="M8440" s="101"/>
      <c r="N8440" s="101"/>
    </row>
    <row r="8441" spans="7:14" hidden="1" x14ac:dyDescent="0.3">
      <c r="G8441" s="101"/>
      <c r="H8441" s="101"/>
      <c r="I8441" s="101"/>
      <c r="K8441" s="226"/>
      <c r="L8441" s="226"/>
      <c r="M8441" s="101"/>
      <c r="N8441" s="101"/>
    </row>
    <row r="8442" spans="7:14" hidden="1" x14ac:dyDescent="0.3">
      <c r="G8442" s="101"/>
      <c r="H8442" s="101"/>
      <c r="I8442" s="101"/>
      <c r="K8442" s="226"/>
      <c r="L8442" s="226"/>
      <c r="M8442" s="101"/>
      <c r="N8442" s="101"/>
    </row>
    <row r="8443" spans="7:14" hidden="1" x14ac:dyDescent="0.3">
      <c r="G8443" s="101"/>
      <c r="H8443" s="101"/>
      <c r="I8443" s="101"/>
      <c r="K8443" s="226"/>
      <c r="L8443" s="226"/>
      <c r="M8443" s="101"/>
      <c r="N8443" s="101"/>
    </row>
    <row r="8444" spans="7:14" hidden="1" x14ac:dyDescent="0.3">
      <c r="G8444" s="101"/>
      <c r="H8444" s="101"/>
      <c r="I8444" s="101"/>
      <c r="K8444" s="226"/>
      <c r="L8444" s="226"/>
      <c r="M8444" s="101"/>
      <c r="N8444" s="101"/>
    </row>
    <row r="8445" spans="7:14" hidden="1" x14ac:dyDescent="0.3">
      <c r="G8445" s="101"/>
      <c r="H8445" s="101"/>
      <c r="I8445" s="101"/>
      <c r="K8445" s="226"/>
      <c r="L8445" s="226"/>
      <c r="M8445" s="101"/>
      <c r="N8445" s="101"/>
    </row>
    <row r="8446" spans="7:14" hidden="1" x14ac:dyDescent="0.3">
      <c r="G8446" s="101"/>
      <c r="H8446" s="101"/>
      <c r="I8446" s="101"/>
      <c r="K8446" s="226"/>
      <c r="L8446" s="226"/>
      <c r="M8446" s="101"/>
      <c r="N8446" s="101"/>
    </row>
    <row r="8447" spans="7:14" hidden="1" x14ac:dyDescent="0.3">
      <c r="G8447" s="101"/>
      <c r="H8447" s="101"/>
      <c r="I8447" s="101"/>
      <c r="K8447" s="226"/>
      <c r="L8447" s="226"/>
      <c r="M8447" s="101"/>
      <c r="N8447" s="101"/>
    </row>
    <row r="8448" spans="7:14" hidden="1" x14ac:dyDescent="0.3">
      <c r="G8448" s="101"/>
      <c r="H8448" s="101"/>
      <c r="I8448" s="101"/>
      <c r="K8448" s="226"/>
      <c r="L8448" s="226"/>
      <c r="M8448" s="101"/>
      <c r="N8448" s="101"/>
    </row>
    <row r="8449" spans="7:14" hidden="1" x14ac:dyDescent="0.3">
      <c r="G8449" s="101"/>
      <c r="H8449" s="101"/>
      <c r="I8449" s="101"/>
      <c r="K8449" s="226"/>
      <c r="L8449" s="226"/>
      <c r="M8449" s="101"/>
      <c r="N8449" s="101"/>
    </row>
    <row r="8450" spans="7:14" hidden="1" x14ac:dyDescent="0.3">
      <c r="G8450" s="101"/>
      <c r="H8450" s="101"/>
      <c r="I8450" s="101"/>
      <c r="K8450" s="226"/>
      <c r="L8450" s="226"/>
      <c r="M8450" s="101"/>
      <c r="N8450" s="101"/>
    </row>
    <row r="8451" spans="7:14" hidden="1" x14ac:dyDescent="0.3">
      <c r="G8451" s="101"/>
      <c r="H8451" s="101"/>
      <c r="I8451" s="101"/>
      <c r="K8451" s="226"/>
      <c r="L8451" s="226"/>
      <c r="M8451" s="101"/>
      <c r="N8451" s="101"/>
    </row>
    <row r="8452" spans="7:14" hidden="1" x14ac:dyDescent="0.3">
      <c r="G8452" s="101"/>
      <c r="H8452" s="101"/>
      <c r="I8452" s="101"/>
      <c r="K8452" s="226"/>
      <c r="L8452" s="226"/>
      <c r="M8452" s="101"/>
      <c r="N8452" s="101"/>
    </row>
    <row r="8453" spans="7:14" hidden="1" x14ac:dyDescent="0.3">
      <c r="G8453" s="101"/>
      <c r="H8453" s="101"/>
      <c r="I8453" s="101"/>
      <c r="K8453" s="226"/>
      <c r="L8453" s="226"/>
      <c r="M8453" s="101"/>
      <c r="N8453" s="101"/>
    </row>
    <row r="8454" spans="7:14" hidden="1" x14ac:dyDescent="0.3">
      <c r="G8454" s="101"/>
      <c r="H8454" s="101"/>
      <c r="I8454" s="101"/>
      <c r="K8454" s="226"/>
      <c r="L8454" s="226"/>
      <c r="M8454" s="101"/>
      <c r="N8454" s="101"/>
    </row>
    <row r="8455" spans="7:14" hidden="1" x14ac:dyDescent="0.3">
      <c r="G8455" s="101"/>
      <c r="H8455" s="101"/>
      <c r="I8455" s="101"/>
      <c r="K8455" s="226"/>
      <c r="L8455" s="226"/>
      <c r="M8455" s="101"/>
      <c r="N8455" s="101"/>
    </row>
    <row r="8456" spans="7:14" hidden="1" x14ac:dyDescent="0.3">
      <c r="G8456" s="101"/>
      <c r="H8456" s="101"/>
      <c r="I8456" s="101"/>
      <c r="K8456" s="226"/>
      <c r="L8456" s="226"/>
      <c r="M8456" s="101"/>
      <c r="N8456" s="101"/>
    </row>
    <row r="8457" spans="7:14" hidden="1" x14ac:dyDescent="0.3">
      <c r="G8457" s="101"/>
      <c r="H8457" s="101"/>
      <c r="I8457" s="101"/>
      <c r="K8457" s="226"/>
      <c r="L8457" s="226"/>
      <c r="M8457" s="101"/>
      <c r="N8457" s="101"/>
    </row>
    <row r="8458" spans="7:14" hidden="1" x14ac:dyDescent="0.3">
      <c r="G8458" s="101"/>
      <c r="H8458" s="101"/>
      <c r="I8458" s="101"/>
      <c r="K8458" s="226"/>
      <c r="L8458" s="226"/>
      <c r="M8458" s="101"/>
      <c r="N8458" s="101"/>
    </row>
    <row r="8459" spans="7:14" hidden="1" x14ac:dyDescent="0.3">
      <c r="G8459" s="101"/>
      <c r="H8459" s="101"/>
      <c r="I8459" s="101"/>
      <c r="K8459" s="226"/>
      <c r="L8459" s="226"/>
      <c r="M8459" s="101"/>
      <c r="N8459" s="101"/>
    </row>
    <row r="8460" spans="7:14" hidden="1" x14ac:dyDescent="0.3">
      <c r="G8460" s="101"/>
      <c r="H8460" s="101"/>
      <c r="I8460" s="101"/>
      <c r="K8460" s="226"/>
      <c r="L8460" s="226"/>
      <c r="M8460" s="101"/>
      <c r="N8460" s="101"/>
    </row>
    <row r="8461" spans="7:14" hidden="1" x14ac:dyDescent="0.3">
      <c r="G8461" s="101"/>
      <c r="H8461" s="101"/>
      <c r="I8461" s="101"/>
      <c r="K8461" s="226"/>
      <c r="L8461" s="226"/>
      <c r="M8461" s="101"/>
      <c r="N8461" s="101"/>
    </row>
    <row r="8462" spans="7:14" hidden="1" x14ac:dyDescent="0.3">
      <c r="G8462" s="101"/>
      <c r="H8462" s="101"/>
      <c r="I8462" s="101"/>
      <c r="K8462" s="226"/>
      <c r="L8462" s="226"/>
      <c r="M8462" s="101"/>
      <c r="N8462" s="101"/>
    </row>
    <row r="8463" spans="7:14" hidden="1" x14ac:dyDescent="0.3">
      <c r="G8463" s="101"/>
      <c r="H8463" s="101"/>
      <c r="I8463" s="101"/>
      <c r="K8463" s="226"/>
      <c r="L8463" s="226"/>
      <c r="M8463" s="101"/>
      <c r="N8463" s="101"/>
    </row>
    <row r="8464" spans="7:14" hidden="1" x14ac:dyDescent="0.3">
      <c r="G8464" s="101"/>
      <c r="H8464" s="101"/>
      <c r="I8464" s="101"/>
      <c r="K8464" s="226"/>
      <c r="L8464" s="226"/>
      <c r="M8464" s="101"/>
      <c r="N8464" s="101"/>
    </row>
    <row r="8465" spans="7:14" hidden="1" x14ac:dyDescent="0.3">
      <c r="G8465" s="101"/>
      <c r="H8465" s="101"/>
      <c r="I8465" s="101"/>
      <c r="K8465" s="226"/>
      <c r="L8465" s="226"/>
      <c r="M8465" s="101"/>
      <c r="N8465" s="101"/>
    </row>
    <row r="8466" spans="7:14" hidden="1" x14ac:dyDescent="0.3">
      <c r="G8466" s="101"/>
      <c r="H8466" s="101"/>
      <c r="I8466" s="101"/>
      <c r="K8466" s="226"/>
      <c r="L8466" s="226"/>
      <c r="M8466" s="101"/>
      <c r="N8466" s="101"/>
    </row>
    <row r="8467" spans="7:14" hidden="1" x14ac:dyDescent="0.3">
      <c r="G8467" s="101"/>
      <c r="H8467" s="101"/>
      <c r="I8467" s="101"/>
      <c r="K8467" s="226"/>
      <c r="L8467" s="226"/>
      <c r="M8467" s="101"/>
      <c r="N8467" s="101"/>
    </row>
    <row r="8468" spans="7:14" hidden="1" x14ac:dyDescent="0.3">
      <c r="G8468" s="101"/>
      <c r="H8468" s="101"/>
      <c r="I8468" s="101"/>
      <c r="K8468" s="226"/>
      <c r="L8468" s="226"/>
      <c r="M8468" s="101"/>
      <c r="N8468" s="101"/>
    </row>
    <row r="8469" spans="7:14" hidden="1" x14ac:dyDescent="0.3">
      <c r="G8469" s="101"/>
      <c r="H8469" s="101"/>
      <c r="I8469" s="101"/>
      <c r="K8469" s="226"/>
      <c r="L8469" s="226"/>
      <c r="M8469" s="101"/>
      <c r="N8469" s="101"/>
    </row>
    <row r="8470" spans="7:14" hidden="1" x14ac:dyDescent="0.3">
      <c r="G8470" s="101"/>
      <c r="H8470" s="101"/>
      <c r="I8470" s="101"/>
      <c r="K8470" s="226"/>
      <c r="L8470" s="226"/>
      <c r="M8470" s="101"/>
      <c r="N8470" s="101"/>
    </row>
    <row r="8471" spans="7:14" hidden="1" x14ac:dyDescent="0.3">
      <c r="G8471" s="101"/>
      <c r="H8471" s="101"/>
      <c r="I8471" s="101"/>
      <c r="K8471" s="226"/>
      <c r="L8471" s="226"/>
      <c r="M8471" s="101"/>
      <c r="N8471" s="101"/>
    </row>
    <row r="8472" spans="7:14" hidden="1" x14ac:dyDescent="0.3">
      <c r="G8472" s="101"/>
      <c r="H8472" s="101"/>
      <c r="I8472" s="101"/>
      <c r="K8472" s="226"/>
      <c r="L8472" s="226"/>
      <c r="M8472" s="101"/>
      <c r="N8472" s="101"/>
    </row>
    <row r="8473" spans="7:14" hidden="1" x14ac:dyDescent="0.3">
      <c r="G8473" s="101"/>
      <c r="H8473" s="101"/>
      <c r="I8473" s="101"/>
      <c r="K8473" s="226"/>
      <c r="L8473" s="226"/>
      <c r="M8473" s="101"/>
      <c r="N8473" s="101"/>
    </row>
    <row r="8474" spans="7:14" hidden="1" x14ac:dyDescent="0.3">
      <c r="G8474" s="101"/>
      <c r="H8474" s="101"/>
      <c r="I8474" s="101"/>
      <c r="K8474" s="226"/>
      <c r="L8474" s="226"/>
      <c r="M8474" s="101"/>
      <c r="N8474" s="101"/>
    </row>
    <row r="8475" spans="7:14" hidden="1" x14ac:dyDescent="0.3">
      <c r="G8475" s="101"/>
      <c r="H8475" s="101"/>
      <c r="I8475" s="101"/>
      <c r="K8475" s="226"/>
      <c r="L8475" s="226"/>
      <c r="M8475" s="101"/>
      <c r="N8475" s="101"/>
    </row>
    <row r="8476" spans="7:14" hidden="1" x14ac:dyDescent="0.3">
      <c r="G8476" s="101"/>
      <c r="H8476" s="101"/>
      <c r="I8476" s="101"/>
      <c r="K8476" s="226"/>
      <c r="L8476" s="226"/>
      <c r="M8476" s="101"/>
      <c r="N8476" s="101"/>
    </row>
    <row r="8477" spans="7:14" hidden="1" x14ac:dyDescent="0.3">
      <c r="G8477" s="101"/>
      <c r="H8477" s="101"/>
      <c r="I8477" s="101"/>
      <c r="K8477" s="226"/>
      <c r="L8477" s="226"/>
      <c r="M8477" s="101"/>
      <c r="N8477" s="101"/>
    </row>
    <row r="8478" spans="7:14" hidden="1" x14ac:dyDescent="0.3">
      <c r="G8478" s="101"/>
      <c r="H8478" s="101"/>
      <c r="I8478" s="101"/>
      <c r="K8478" s="226"/>
      <c r="L8478" s="226"/>
      <c r="M8478" s="101"/>
      <c r="N8478" s="101"/>
    </row>
    <row r="8479" spans="7:14" hidden="1" x14ac:dyDescent="0.3">
      <c r="G8479" s="101"/>
      <c r="H8479" s="101"/>
      <c r="I8479" s="101"/>
      <c r="K8479" s="226"/>
      <c r="L8479" s="226"/>
      <c r="M8479" s="101"/>
      <c r="N8479" s="101"/>
    </row>
    <row r="8480" spans="7:14" hidden="1" x14ac:dyDescent="0.3">
      <c r="G8480" s="101"/>
      <c r="H8480" s="101"/>
      <c r="I8480" s="101"/>
      <c r="K8480" s="226"/>
      <c r="L8480" s="226"/>
      <c r="M8480" s="101"/>
      <c r="N8480" s="101"/>
    </row>
    <row r="8481" spans="7:14" hidden="1" x14ac:dyDescent="0.3">
      <c r="G8481" s="101"/>
      <c r="H8481" s="101"/>
      <c r="I8481" s="101"/>
      <c r="K8481" s="226"/>
      <c r="L8481" s="226"/>
      <c r="M8481" s="101"/>
      <c r="N8481" s="101"/>
    </row>
    <row r="8482" spans="7:14" hidden="1" x14ac:dyDescent="0.3">
      <c r="G8482" s="101"/>
      <c r="H8482" s="101"/>
      <c r="I8482" s="101"/>
      <c r="K8482" s="226"/>
      <c r="L8482" s="226"/>
      <c r="M8482" s="101"/>
      <c r="N8482" s="101"/>
    </row>
    <row r="8483" spans="7:14" hidden="1" x14ac:dyDescent="0.3">
      <c r="G8483" s="101"/>
      <c r="H8483" s="101"/>
      <c r="I8483" s="101"/>
      <c r="K8483" s="226"/>
      <c r="L8483" s="226"/>
      <c r="M8483" s="101"/>
      <c r="N8483" s="101"/>
    </row>
    <row r="8484" spans="7:14" hidden="1" x14ac:dyDescent="0.3">
      <c r="G8484" s="101"/>
      <c r="H8484" s="101"/>
      <c r="I8484" s="101"/>
      <c r="K8484" s="226"/>
      <c r="L8484" s="226"/>
      <c r="M8484" s="101"/>
      <c r="N8484" s="101"/>
    </row>
    <row r="8485" spans="7:14" hidden="1" x14ac:dyDescent="0.3">
      <c r="G8485" s="101"/>
      <c r="H8485" s="101"/>
      <c r="I8485" s="101"/>
      <c r="K8485" s="226"/>
      <c r="L8485" s="226"/>
      <c r="M8485" s="101"/>
      <c r="N8485" s="101"/>
    </row>
    <row r="8486" spans="7:14" hidden="1" x14ac:dyDescent="0.3">
      <c r="G8486" s="101"/>
      <c r="H8486" s="101"/>
      <c r="I8486" s="101"/>
      <c r="K8486" s="226"/>
      <c r="L8486" s="226"/>
      <c r="M8486" s="101"/>
      <c r="N8486" s="101"/>
    </row>
    <row r="8487" spans="7:14" hidden="1" x14ac:dyDescent="0.3">
      <c r="G8487" s="101"/>
      <c r="H8487" s="101"/>
      <c r="I8487" s="101"/>
      <c r="K8487" s="226"/>
      <c r="L8487" s="226"/>
      <c r="M8487" s="101"/>
      <c r="N8487" s="101"/>
    </row>
    <row r="8488" spans="7:14" hidden="1" x14ac:dyDescent="0.3">
      <c r="G8488" s="101"/>
      <c r="H8488" s="101"/>
      <c r="I8488" s="101"/>
      <c r="K8488" s="226"/>
      <c r="L8488" s="226"/>
      <c r="M8488" s="101"/>
      <c r="N8488" s="101"/>
    </row>
    <row r="8489" spans="7:14" hidden="1" x14ac:dyDescent="0.3">
      <c r="G8489" s="101"/>
      <c r="H8489" s="101"/>
      <c r="I8489" s="101"/>
      <c r="K8489" s="226"/>
      <c r="L8489" s="226"/>
      <c r="M8489" s="101"/>
      <c r="N8489" s="101"/>
    </row>
    <row r="8490" spans="7:14" hidden="1" x14ac:dyDescent="0.3">
      <c r="G8490" s="101"/>
      <c r="H8490" s="101"/>
      <c r="I8490" s="101"/>
      <c r="K8490" s="226"/>
      <c r="L8490" s="226"/>
      <c r="M8490" s="101"/>
      <c r="N8490" s="101"/>
    </row>
    <row r="8491" spans="7:14" hidden="1" x14ac:dyDescent="0.3">
      <c r="G8491" s="101"/>
      <c r="H8491" s="101"/>
      <c r="I8491" s="101"/>
      <c r="K8491" s="226"/>
      <c r="L8491" s="226"/>
      <c r="M8491" s="101"/>
      <c r="N8491" s="101"/>
    </row>
    <row r="8492" spans="7:14" hidden="1" x14ac:dyDescent="0.3">
      <c r="G8492" s="101"/>
      <c r="H8492" s="101"/>
      <c r="I8492" s="101"/>
      <c r="K8492" s="226"/>
      <c r="L8492" s="226"/>
      <c r="M8492" s="101"/>
      <c r="N8492" s="101"/>
    </row>
    <row r="8493" spans="7:14" hidden="1" x14ac:dyDescent="0.3">
      <c r="G8493" s="101"/>
      <c r="H8493" s="101"/>
      <c r="I8493" s="101"/>
      <c r="K8493" s="226"/>
      <c r="L8493" s="226"/>
      <c r="M8493" s="101"/>
      <c r="N8493" s="101"/>
    </row>
    <row r="8494" spans="7:14" hidden="1" x14ac:dyDescent="0.3">
      <c r="G8494" s="101"/>
      <c r="H8494" s="101"/>
      <c r="I8494" s="101"/>
      <c r="K8494" s="226"/>
      <c r="L8494" s="226"/>
      <c r="M8494" s="101"/>
      <c r="N8494" s="101"/>
    </row>
    <row r="8495" spans="7:14" hidden="1" x14ac:dyDescent="0.3">
      <c r="G8495" s="101"/>
      <c r="H8495" s="101"/>
      <c r="I8495" s="101"/>
      <c r="K8495" s="226"/>
      <c r="L8495" s="226"/>
      <c r="M8495" s="101"/>
      <c r="N8495" s="101"/>
    </row>
    <row r="8496" spans="7:14" hidden="1" x14ac:dyDescent="0.3">
      <c r="G8496" s="101"/>
      <c r="H8496" s="101"/>
      <c r="I8496" s="101"/>
      <c r="K8496" s="226"/>
      <c r="L8496" s="226"/>
      <c r="M8496" s="101"/>
      <c r="N8496" s="101"/>
    </row>
    <row r="8497" spans="7:14" hidden="1" x14ac:dyDescent="0.3">
      <c r="G8497" s="101"/>
      <c r="H8497" s="101"/>
      <c r="I8497" s="101"/>
      <c r="K8497" s="226"/>
      <c r="L8497" s="226"/>
      <c r="M8497" s="101"/>
      <c r="N8497" s="101"/>
    </row>
    <row r="8498" spans="7:14" hidden="1" x14ac:dyDescent="0.3">
      <c r="G8498" s="101"/>
      <c r="H8498" s="101"/>
      <c r="I8498" s="101"/>
      <c r="K8498" s="226"/>
      <c r="L8498" s="226"/>
      <c r="M8498" s="101"/>
      <c r="N8498" s="101"/>
    </row>
    <row r="8499" spans="7:14" hidden="1" x14ac:dyDescent="0.3">
      <c r="G8499" s="101"/>
      <c r="H8499" s="101"/>
      <c r="I8499" s="101"/>
      <c r="K8499" s="226"/>
      <c r="L8499" s="226"/>
      <c r="M8499" s="101"/>
      <c r="N8499" s="101"/>
    </row>
    <row r="8500" spans="7:14" hidden="1" x14ac:dyDescent="0.3">
      <c r="G8500" s="101"/>
      <c r="H8500" s="101"/>
      <c r="I8500" s="101"/>
      <c r="K8500" s="226"/>
      <c r="L8500" s="226"/>
      <c r="M8500" s="101"/>
      <c r="N8500" s="101"/>
    </row>
    <row r="8501" spans="7:14" hidden="1" x14ac:dyDescent="0.3">
      <c r="G8501" s="101"/>
      <c r="H8501" s="101"/>
      <c r="I8501" s="101"/>
      <c r="K8501" s="226"/>
      <c r="L8501" s="226"/>
      <c r="M8501" s="101"/>
      <c r="N8501" s="101"/>
    </row>
    <row r="8502" spans="7:14" hidden="1" x14ac:dyDescent="0.3">
      <c r="G8502" s="101"/>
      <c r="H8502" s="101"/>
      <c r="I8502" s="101"/>
      <c r="K8502" s="226"/>
      <c r="L8502" s="226"/>
      <c r="M8502" s="101"/>
      <c r="N8502" s="101"/>
    </row>
    <row r="8503" spans="7:14" hidden="1" x14ac:dyDescent="0.3">
      <c r="G8503" s="101"/>
      <c r="H8503" s="101"/>
      <c r="I8503" s="101"/>
      <c r="K8503" s="226"/>
      <c r="L8503" s="226"/>
      <c r="M8503" s="101"/>
      <c r="N8503" s="101"/>
    </row>
    <row r="8504" spans="7:14" hidden="1" x14ac:dyDescent="0.3">
      <c r="G8504" s="101"/>
      <c r="H8504" s="101"/>
      <c r="I8504" s="101"/>
      <c r="K8504" s="226"/>
      <c r="L8504" s="226"/>
      <c r="M8504" s="101"/>
      <c r="N8504" s="101"/>
    </row>
    <row r="8505" spans="7:14" hidden="1" x14ac:dyDescent="0.3">
      <c r="G8505" s="101"/>
      <c r="H8505" s="101"/>
      <c r="I8505" s="101"/>
      <c r="K8505" s="226"/>
      <c r="L8505" s="226"/>
      <c r="M8505" s="101"/>
      <c r="N8505" s="101"/>
    </row>
    <row r="8506" spans="7:14" hidden="1" x14ac:dyDescent="0.3">
      <c r="G8506" s="101"/>
      <c r="H8506" s="101"/>
      <c r="I8506" s="101"/>
      <c r="K8506" s="226"/>
      <c r="L8506" s="226"/>
      <c r="M8506" s="101"/>
      <c r="N8506" s="101"/>
    </row>
    <row r="8507" spans="7:14" hidden="1" x14ac:dyDescent="0.3">
      <c r="G8507" s="101"/>
      <c r="H8507" s="101"/>
      <c r="I8507" s="101"/>
      <c r="K8507" s="226"/>
      <c r="L8507" s="226"/>
      <c r="M8507" s="101"/>
      <c r="N8507" s="101"/>
    </row>
    <row r="8508" spans="7:14" hidden="1" x14ac:dyDescent="0.3">
      <c r="G8508" s="101"/>
      <c r="H8508" s="101"/>
      <c r="I8508" s="101"/>
      <c r="K8508" s="226"/>
      <c r="L8508" s="226"/>
      <c r="M8508" s="101"/>
      <c r="N8508" s="101"/>
    </row>
    <row r="8509" spans="7:14" hidden="1" x14ac:dyDescent="0.3">
      <c r="G8509" s="101"/>
      <c r="H8509" s="101"/>
      <c r="I8509" s="101"/>
      <c r="K8509" s="226"/>
      <c r="L8509" s="226"/>
      <c r="M8509" s="101"/>
      <c r="N8509" s="101"/>
    </row>
    <row r="8510" spans="7:14" hidden="1" x14ac:dyDescent="0.3">
      <c r="G8510" s="101"/>
      <c r="H8510" s="101"/>
      <c r="I8510" s="101"/>
      <c r="K8510" s="226"/>
      <c r="L8510" s="226"/>
      <c r="M8510" s="101"/>
      <c r="N8510" s="101"/>
    </row>
    <row r="8511" spans="7:14" hidden="1" x14ac:dyDescent="0.3">
      <c r="G8511" s="101"/>
      <c r="H8511" s="101"/>
      <c r="I8511" s="101"/>
      <c r="K8511" s="226"/>
      <c r="L8511" s="226"/>
      <c r="M8511" s="101"/>
      <c r="N8511" s="101"/>
    </row>
    <row r="8512" spans="7:14" hidden="1" x14ac:dyDescent="0.3">
      <c r="G8512" s="101"/>
      <c r="H8512" s="101"/>
      <c r="I8512" s="101"/>
      <c r="K8512" s="226"/>
      <c r="L8512" s="226"/>
      <c r="M8512" s="101"/>
      <c r="N8512" s="101"/>
    </row>
    <row r="8513" spans="7:14" hidden="1" x14ac:dyDescent="0.3">
      <c r="G8513" s="101"/>
      <c r="H8513" s="101"/>
      <c r="I8513" s="101"/>
      <c r="K8513" s="226"/>
      <c r="L8513" s="226"/>
      <c r="M8513" s="101"/>
      <c r="N8513" s="101"/>
    </row>
    <row r="8514" spans="7:14" hidden="1" x14ac:dyDescent="0.3">
      <c r="G8514" s="101"/>
      <c r="H8514" s="101"/>
      <c r="I8514" s="101"/>
      <c r="K8514" s="226"/>
      <c r="L8514" s="226"/>
      <c r="M8514" s="101"/>
      <c r="N8514" s="101"/>
    </row>
    <row r="8515" spans="7:14" hidden="1" x14ac:dyDescent="0.3">
      <c r="G8515" s="101"/>
      <c r="H8515" s="101"/>
      <c r="I8515" s="101"/>
      <c r="K8515" s="226"/>
      <c r="L8515" s="226"/>
      <c r="M8515" s="101"/>
      <c r="N8515" s="101"/>
    </row>
    <row r="8516" spans="7:14" hidden="1" x14ac:dyDescent="0.3">
      <c r="G8516" s="101"/>
      <c r="H8516" s="101"/>
      <c r="I8516" s="101"/>
      <c r="K8516" s="226"/>
      <c r="L8516" s="226"/>
      <c r="M8516" s="101"/>
      <c r="N8516" s="101"/>
    </row>
    <row r="8517" spans="7:14" hidden="1" x14ac:dyDescent="0.3">
      <c r="G8517" s="101"/>
      <c r="H8517" s="101"/>
      <c r="I8517" s="101"/>
      <c r="K8517" s="226"/>
      <c r="L8517" s="226"/>
      <c r="M8517" s="101"/>
      <c r="N8517" s="101"/>
    </row>
    <row r="8518" spans="7:14" hidden="1" x14ac:dyDescent="0.3">
      <c r="G8518" s="101"/>
      <c r="H8518" s="101"/>
      <c r="I8518" s="101"/>
      <c r="K8518" s="226"/>
      <c r="L8518" s="226"/>
      <c r="M8518" s="101"/>
      <c r="N8518" s="101"/>
    </row>
    <row r="8519" spans="7:14" hidden="1" x14ac:dyDescent="0.3">
      <c r="G8519" s="101"/>
      <c r="H8519" s="101"/>
      <c r="I8519" s="101"/>
      <c r="K8519" s="226"/>
      <c r="L8519" s="226"/>
      <c r="M8519" s="101"/>
      <c r="N8519" s="101"/>
    </row>
    <row r="8520" spans="7:14" hidden="1" x14ac:dyDescent="0.3">
      <c r="G8520" s="101"/>
      <c r="H8520" s="101"/>
      <c r="I8520" s="101"/>
      <c r="K8520" s="226"/>
      <c r="L8520" s="226"/>
      <c r="M8520" s="101"/>
      <c r="N8520" s="101"/>
    </row>
    <row r="8521" spans="7:14" hidden="1" x14ac:dyDescent="0.3">
      <c r="G8521" s="101"/>
      <c r="H8521" s="101"/>
      <c r="I8521" s="101"/>
      <c r="K8521" s="226"/>
      <c r="L8521" s="226"/>
      <c r="M8521" s="101"/>
      <c r="N8521" s="101"/>
    </row>
    <row r="8522" spans="7:14" hidden="1" x14ac:dyDescent="0.3">
      <c r="G8522" s="101"/>
      <c r="H8522" s="101"/>
      <c r="I8522" s="101"/>
      <c r="K8522" s="226"/>
      <c r="L8522" s="226"/>
      <c r="M8522" s="101"/>
      <c r="N8522" s="101"/>
    </row>
    <row r="8523" spans="7:14" hidden="1" x14ac:dyDescent="0.3">
      <c r="G8523" s="101"/>
      <c r="H8523" s="101"/>
      <c r="I8523" s="101"/>
      <c r="K8523" s="226"/>
      <c r="L8523" s="226"/>
      <c r="M8523" s="101"/>
      <c r="N8523" s="101"/>
    </row>
    <row r="8524" spans="7:14" hidden="1" x14ac:dyDescent="0.3">
      <c r="G8524" s="101"/>
      <c r="H8524" s="101"/>
      <c r="I8524" s="101"/>
      <c r="K8524" s="226"/>
      <c r="L8524" s="226"/>
      <c r="M8524" s="101"/>
      <c r="N8524" s="101"/>
    </row>
    <row r="8525" spans="7:14" hidden="1" x14ac:dyDescent="0.3">
      <c r="G8525" s="101"/>
      <c r="H8525" s="101"/>
      <c r="I8525" s="101"/>
      <c r="K8525" s="226"/>
      <c r="L8525" s="226"/>
      <c r="M8525" s="101"/>
      <c r="N8525" s="101"/>
    </row>
    <row r="8526" spans="7:14" hidden="1" x14ac:dyDescent="0.3">
      <c r="G8526" s="101"/>
      <c r="H8526" s="101"/>
      <c r="I8526" s="101"/>
      <c r="K8526" s="226"/>
      <c r="L8526" s="226"/>
      <c r="M8526" s="101"/>
      <c r="N8526" s="101"/>
    </row>
    <row r="8527" spans="7:14" hidden="1" x14ac:dyDescent="0.3">
      <c r="G8527" s="101"/>
      <c r="H8527" s="101"/>
      <c r="I8527" s="101"/>
      <c r="K8527" s="226"/>
      <c r="L8527" s="226"/>
      <c r="M8527" s="101"/>
      <c r="N8527" s="101"/>
    </row>
    <row r="8528" spans="7:14" hidden="1" x14ac:dyDescent="0.3">
      <c r="G8528" s="101"/>
      <c r="H8528" s="101"/>
      <c r="I8528" s="101"/>
      <c r="K8528" s="226"/>
      <c r="L8528" s="226"/>
      <c r="M8528" s="101"/>
      <c r="N8528" s="101"/>
    </row>
    <row r="8529" spans="7:14" hidden="1" x14ac:dyDescent="0.3">
      <c r="G8529" s="101"/>
      <c r="H8529" s="101"/>
      <c r="I8529" s="101"/>
      <c r="K8529" s="226"/>
      <c r="L8529" s="226"/>
      <c r="M8529" s="101"/>
      <c r="N8529" s="101"/>
    </row>
    <row r="8530" spans="7:14" hidden="1" x14ac:dyDescent="0.3">
      <c r="G8530" s="101"/>
      <c r="H8530" s="101"/>
      <c r="I8530" s="101"/>
      <c r="K8530" s="226"/>
      <c r="L8530" s="226"/>
      <c r="M8530" s="101"/>
      <c r="N8530" s="101"/>
    </row>
    <row r="8531" spans="7:14" hidden="1" x14ac:dyDescent="0.3">
      <c r="G8531" s="101"/>
      <c r="H8531" s="101"/>
      <c r="I8531" s="101"/>
      <c r="K8531" s="226"/>
      <c r="L8531" s="226"/>
      <c r="M8531" s="101"/>
      <c r="N8531" s="101"/>
    </row>
    <row r="8532" spans="7:14" hidden="1" x14ac:dyDescent="0.3">
      <c r="G8532" s="101"/>
      <c r="H8532" s="101"/>
      <c r="I8532" s="101"/>
      <c r="K8532" s="226"/>
      <c r="L8532" s="226"/>
      <c r="M8532" s="101"/>
      <c r="N8532" s="101"/>
    </row>
    <row r="8533" spans="7:14" hidden="1" x14ac:dyDescent="0.3">
      <c r="G8533" s="101"/>
      <c r="H8533" s="101"/>
      <c r="I8533" s="101"/>
      <c r="K8533" s="226"/>
      <c r="L8533" s="226"/>
      <c r="M8533" s="101"/>
      <c r="N8533" s="101"/>
    </row>
    <row r="8534" spans="7:14" hidden="1" x14ac:dyDescent="0.3">
      <c r="G8534" s="101"/>
      <c r="H8534" s="101"/>
      <c r="I8534" s="101"/>
      <c r="K8534" s="226"/>
      <c r="L8534" s="226"/>
      <c r="M8534" s="101"/>
      <c r="N8534" s="101"/>
    </row>
    <row r="8535" spans="7:14" hidden="1" x14ac:dyDescent="0.3">
      <c r="G8535" s="101"/>
      <c r="H8535" s="101"/>
      <c r="I8535" s="101"/>
      <c r="K8535" s="226"/>
      <c r="L8535" s="226"/>
      <c r="M8535" s="101"/>
      <c r="N8535" s="101"/>
    </row>
    <row r="8536" spans="7:14" hidden="1" x14ac:dyDescent="0.3">
      <c r="G8536" s="101"/>
      <c r="H8536" s="101"/>
      <c r="I8536" s="101"/>
      <c r="K8536" s="226"/>
      <c r="L8536" s="226"/>
      <c r="M8536" s="101"/>
      <c r="N8536" s="101"/>
    </row>
    <row r="8537" spans="7:14" hidden="1" x14ac:dyDescent="0.3">
      <c r="G8537" s="101"/>
      <c r="H8537" s="101"/>
      <c r="I8537" s="101"/>
      <c r="K8537" s="226"/>
      <c r="L8537" s="226"/>
      <c r="M8537" s="101"/>
      <c r="N8537" s="101"/>
    </row>
    <row r="8538" spans="7:14" hidden="1" x14ac:dyDescent="0.3">
      <c r="G8538" s="101"/>
      <c r="H8538" s="101"/>
      <c r="I8538" s="101"/>
      <c r="K8538" s="226"/>
      <c r="L8538" s="226"/>
      <c r="M8538" s="101"/>
      <c r="N8538" s="101"/>
    </row>
    <row r="8539" spans="7:14" hidden="1" x14ac:dyDescent="0.3">
      <c r="G8539" s="101"/>
      <c r="H8539" s="101"/>
      <c r="I8539" s="101"/>
      <c r="K8539" s="226"/>
      <c r="L8539" s="226"/>
      <c r="M8539" s="101"/>
      <c r="N8539" s="101"/>
    </row>
    <row r="8540" spans="7:14" hidden="1" x14ac:dyDescent="0.3">
      <c r="G8540" s="101"/>
      <c r="H8540" s="101"/>
      <c r="I8540" s="101"/>
      <c r="K8540" s="226"/>
      <c r="L8540" s="226"/>
      <c r="M8540" s="101"/>
      <c r="N8540" s="101"/>
    </row>
    <row r="8541" spans="7:14" hidden="1" x14ac:dyDescent="0.3">
      <c r="G8541" s="101"/>
      <c r="H8541" s="101"/>
      <c r="I8541" s="101"/>
      <c r="K8541" s="226"/>
      <c r="L8541" s="226"/>
      <c r="M8541" s="101"/>
      <c r="N8541" s="101"/>
    </row>
    <row r="8542" spans="7:14" hidden="1" x14ac:dyDescent="0.3">
      <c r="G8542" s="101"/>
      <c r="H8542" s="101"/>
      <c r="I8542" s="101"/>
      <c r="K8542" s="226"/>
      <c r="L8542" s="226"/>
      <c r="M8542" s="101"/>
      <c r="N8542" s="101"/>
    </row>
    <row r="8543" spans="7:14" hidden="1" x14ac:dyDescent="0.3">
      <c r="G8543" s="101"/>
      <c r="H8543" s="101"/>
      <c r="I8543" s="101"/>
      <c r="K8543" s="226"/>
      <c r="L8543" s="226"/>
      <c r="M8543" s="101"/>
      <c r="N8543" s="101"/>
    </row>
    <row r="8544" spans="7:14" hidden="1" x14ac:dyDescent="0.3">
      <c r="G8544" s="101"/>
      <c r="H8544" s="101"/>
      <c r="I8544" s="101"/>
      <c r="K8544" s="226"/>
      <c r="L8544" s="226"/>
      <c r="M8544" s="101"/>
      <c r="N8544" s="101"/>
    </row>
    <row r="8545" spans="7:14" hidden="1" x14ac:dyDescent="0.3">
      <c r="G8545" s="101"/>
      <c r="H8545" s="101"/>
      <c r="I8545" s="101"/>
      <c r="K8545" s="226"/>
      <c r="L8545" s="226"/>
      <c r="M8545" s="101"/>
      <c r="N8545" s="101"/>
    </row>
    <row r="8546" spans="7:14" hidden="1" x14ac:dyDescent="0.3">
      <c r="G8546" s="101"/>
      <c r="H8546" s="101"/>
      <c r="I8546" s="101"/>
      <c r="K8546" s="226"/>
      <c r="L8546" s="226"/>
      <c r="M8546" s="101"/>
      <c r="N8546" s="101"/>
    </row>
    <row r="8547" spans="7:14" hidden="1" x14ac:dyDescent="0.3">
      <c r="G8547" s="101"/>
      <c r="H8547" s="101"/>
      <c r="I8547" s="101"/>
      <c r="K8547" s="226"/>
      <c r="L8547" s="226"/>
      <c r="M8547" s="101"/>
      <c r="N8547" s="101"/>
    </row>
    <row r="8548" spans="7:14" hidden="1" x14ac:dyDescent="0.3">
      <c r="G8548" s="101"/>
      <c r="H8548" s="101"/>
      <c r="I8548" s="101"/>
      <c r="K8548" s="226"/>
      <c r="L8548" s="226"/>
      <c r="M8548" s="101"/>
      <c r="N8548" s="101"/>
    </row>
    <row r="8549" spans="7:14" hidden="1" x14ac:dyDescent="0.3">
      <c r="G8549" s="101"/>
      <c r="H8549" s="101"/>
      <c r="I8549" s="101"/>
      <c r="K8549" s="226"/>
      <c r="L8549" s="226"/>
      <c r="M8549" s="101"/>
      <c r="N8549" s="101"/>
    </row>
    <row r="8550" spans="7:14" hidden="1" x14ac:dyDescent="0.3">
      <c r="G8550" s="101"/>
      <c r="H8550" s="101"/>
      <c r="I8550" s="101"/>
      <c r="K8550" s="226"/>
      <c r="L8550" s="226"/>
      <c r="M8550" s="101"/>
      <c r="N8550" s="101"/>
    </row>
    <row r="8551" spans="7:14" hidden="1" x14ac:dyDescent="0.3">
      <c r="G8551" s="101"/>
      <c r="H8551" s="101"/>
      <c r="I8551" s="101"/>
      <c r="K8551" s="226"/>
      <c r="L8551" s="226"/>
      <c r="M8551" s="101"/>
      <c r="N8551" s="101"/>
    </row>
    <row r="8552" spans="7:14" hidden="1" x14ac:dyDescent="0.3">
      <c r="G8552" s="101"/>
      <c r="H8552" s="101"/>
      <c r="I8552" s="101"/>
      <c r="K8552" s="226"/>
      <c r="L8552" s="226"/>
      <c r="M8552" s="101"/>
      <c r="N8552" s="101"/>
    </row>
    <row r="8553" spans="7:14" hidden="1" x14ac:dyDescent="0.3">
      <c r="G8553" s="101"/>
      <c r="H8553" s="101"/>
      <c r="I8553" s="101"/>
      <c r="K8553" s="226"/>
      <c r="L8553" s="226"/>
      <c r="M8553" s="101"/>
      <c r="N8553" s="101"/>
    </row>
    <row r="8554" spans="7:14" hidden="1" x14ac:dyDescent="0.3">
      <c r="G8554" s="101"/>
      <c r="H8554" s="101"/>
      <c r="I8554" s="101"/>
      <c r="K8554" s="226"/>
      <c r="L8554" s="226"/>
      <c r="M8554" s="101"/>
      <c r="N8554" s="101"/>
    </row>
    <row r="8555" spans="7:14" hidden="1" x14ac:dyDescent="0.3">
      <c r="G8555" s="101"/>
      <c r="H8555" s="101"/>
      <c r="I8555" s="101"/>
      <c r="K8555" s="226"/>
      <c r="L8555" s="226"/>
      <c r="M8555" s="101"/>
      <c r="N8555" s="101"/>
    </row>
    <row r="8556" spans="7:14" hidden="1" x14ac:dyDescent="0.3">
      <c r="G8556" s="101"/>
      <c r="H8556" s="101"/>
      <c r="I8556" s="101"/>
      <c r="K8556" s="226"/>
      <c r="L8556" s="226"/>
      <c r="M8556" s="101"/>
      <c r="N8556" s="101"/>
    </row>
    <row r="8557" spans="7:14" hidden="1" x14ac:dyDescent="0.3">
      <c r="G8557" s="101"/>
      <c r="H8557" s="101"/>
      <c r="I8557" s="101"/>
      <c r="K8557" s="226"/>
      <c r="L8557" s="226"/>
      <c r="M8557" s="101"/>
      <c r="N8557" s="101"/>
    </row>
    <row r="8558" spans="7:14" hidden="1" x14ac:dyDescent="0.3">
      <c r="G8558" s="101"/>
      <c r="H8558" s="101"/>
      <c r="I8558" s="101"/>
      <c r="K8558" s="226"/>
      <c r="L8558" s="226"/>
      <c r="M8558" s="101"/>
      <c r="N8558" s="101"/>
    </row>
    <row r="8559" spans="7:14" hidden="1" x14ac:dyDescent="0.3">
      <c r="G8559" s="101"/>
      <c r="H8559" s="101"/>
      <c r="I8559" s="101"/>
      <c r="K8559" s="226"/>
      <c r="L8559" s="226"/>
      <c r="M8559" s="101"/>
      <c r="N8559" s="101"/>
    </row>
    <row r="8560" spans="7:14" hidden="1" x14ac:dyDescent="0.3">
      <c r="G8560" s="101"/>
      <c r="H8560" s="101"/>
      <c r="I8560" s="101"/>
      <c r="K8560" s="226"/>
      <c r="L8560" s="226"/>
      <c r="M8560" s="101"/>
      <c r="N8560" s="101"/>
    </row>
    <row r="8561" spans="7:14" hidden="1" x14ac:dyDescent="0.3">
      <c r="G8561" s="101"/>
      <c r="H8561" s="101"/>
      <c r="I8561" s="101"/>
      <c r="K8561" s="226"/>
      <c r="L8561" s="226"/>
      <c r="M8561" s="101"/>
      <c r="N8561" s="101"/>
    </row>
    <row r="8562" spans="7:14" hidden="1" x14ac:dyDescent="0.3">
      <c r="G8562" s="101"/>
      <c r="H8562" s="101"/>
      <c r="I8562" s="101"/>
      <c r="K8562" s="226"/>
      <c r="L8562" s="226"/>
      <c r="M8562" s="101"/>
      <c r="N8562" s="101"/>
    </row>
    <row r="8563" spans="7:14" hidden="1" x14ac:dyDescent="0.3">
      <c r="G8563" s="101"/>
      <c r="H8563" s="101"/>
      <c r="I8563" s="101"/>
      <c r="K8563" s="226"/>
      <c r="L8563" s="226"/>
      <c r="M8563" s="101"/>
      <c r="N8563" s="101"/>
    </row>
    <row r="8564" spans="7:14" hidden="1" x14ac:dyDescent="0.3">
      <c r="G8564" s="101"/>
      <c r="H8564" s="101"/>
      <c r="I8564" s="101"/>
      <c r="K8564" s="226"/>
      <c r="L8564" s="226"/>
      <c r="M8564" s="101"/>
      <c r="N8564" s="101"/>
    </row>
    <row r="8565" spans="7:14" hidden="1" x14ac:dyDescent="0.3">
      <c r="G8565" s="101"/>
      <c r="H8565" s="101"/>
      <c r="I8565" s="101"/>
      <c r="K8565" s="226"/>
      <c r="L8565" s="226"/>
      <c r="M8565" s="101"/>
      <c r="N8565" s="101"/>
    </row>
    <row r="8566" spans="7:14" hidden="1" x14ac:dyDescent="0.3">
      <c r="G8566" s="101"/>
      <c r="H8566" s="101"/>
      <c r="I8566" s="101"/>
      <c r="K8566" s="226"/>
      <c r="L8566" s="226"/>
      <c r="M8566" s="101"/>
      <c r="N8566" s="101"/>
    </row>
    <row r="8567" spans="7:14" hidden="1" x14ac:dyDescent="0.3">
      <c r="G8567" s="101"/>
      <c r="H8567" s="101"/>
      <c r="I8567" s="101"/>
      <c r="K8567" s="226"/>
      <c r="L8567" s="226"/>
      <c r="M8567" s="101"/>
      <c r="N8567" s="101"/>
    </row>
    <row r="8568" spans="7:14" hidden="1" x14ac:dyDescent="0.3">
      <c r="G8568" s="101"/>
      <c r="H8568" s="101"/>
      <c r="I8568" s="101"/>
      <c r="K8568" s="226"/>
      <c r="L8568" s="226"/>
      <c r="M8568" s="101"/>
      <c r="N8568" s="101"/>
    </row>
    <row r="8569" spans="7:14" hidden="1" x14ac:dyDescent="0.3">
      <c r="G8569" s="101"/>
      <c r="H8569" s="101"/>
      <c r="I8569" s="101"/>
      <c r="K8569" s="226"/>
      <c r="L8569" s="226"/>
      <c r="M8569" s="101"/>
      <c r="N8569" s="101"/>
    </row>
    <row r="8570" spans="7:14" hidden="1" x14ac:dyDescent="0.3">
      <c r="G8570" s="101"/>
      <c r="H8570" s="101"/>
      <c r="I8570" s="101"/>
      <c r="K8570" s="226"/>
      <c r="L8570" s="226"/>
      <c r="M8570" s="101"/>
      <c r="N8570" s="101"/>
    </row>
    <row r="8571" spans="7:14" hidden="1" x14ac:dyDescent="0.3">
      <c r="G8571" s="101"/>
      <c r="H8571" s="101"/>
      <c r="I8571" s="101"/>
      <c r="K8571" s="226"/>
      <c r="L8571" s="226"/>
      <c r="M8571" s="101"/>
      <c r="N8571" s="101"/>
    </row>
    <row r="8572" spans="7:14" hidden="1" x14ac:dyDescent="0.3">
      <c r="G8572" s="101"/>
      <c r="H8572" s="101"/>
      <c r="I8572" s="101"/>
      <c r="K8572" s="226"/>
      <c r="L8572" s="226"/>
      <c r="M8572" s="101"/>
      <c r="N8572" s="101"/>
    </row>
    <row r="8573" spans="7:14" hidden="1" x14ac:dyDescent="0.3">
      <c r="G8573" s="101"/>
      <c r="H8573" s="101"/>
      <c r="I8573" s="101"/>
      <c r="K8573" s="226"/>
      <c r="L8573" s="226"/>
      <c r="M8573" s="101"/>
      <c r="N8573" s="101"/>
    </row>
    <row r="8574" spans="7:14" hidden="1" x14ac:dyDescent="0.3">
      <c r="G8574" s="101"/>
      <c r="H8574" s="101"/>
      <c r="I8574" s="101"/>
      <c r="K8574" s="226"/>
      <c r="L8574" s="226"/>
      <c r="M8574" s="101"/>
      <c r="N8574" s="101"/>
    </row>
    <row r="8575" spans="7:14" hidden="1" x14ac:dyDescent="0.3">
      <c r="G8575" s="101"/>
      <c r="H8575" s="101"/>
      <c r="I8575" s="101"/>
      <c r="K8575" s="226"/>
      <c r="L8575" s="226"/>
      <c r="M8575" s="101"/>
      <c r="N8575" s="101"/>
    </row>
    <row r="8576" spans="7:14" hidden="1" x14ac:dyDescent="0.3">
      <c r="G8576" s="101"/>
      <c r="H8576" s="101"/>
      <c r="I8576" s="101"/>
      <c r="K8576" s="226"/>
      <c r="L8576" s="226"/>
      <c r="M8576" s="101"/>
      <c r="N8576" s="101"/>
    </row>
    <row r="8577" spans="7:14" hidden="1" x14ac:dyDescent="0.3">
      <c r="G8577" s="101"/>
      <c r="H8577" s="101"/>
      <c r="I8577" s="101"/>
      <c r="K8577" s="226"/>
      <c r="L8577" s="226"/>
      <c r="M8577" s="101"/>
      <c r="N8577" s="101"/>
    </row>
    <row r="8578" spans="7:14" hidden="1" x14ac:dyDescent="0.3">
      <c r="G8578" s="101"/>
      <c r="H8578" s="101"/>
      <c r="I8578" s="101"/>
      <c r="K8578" s="226"/>
      <c r="L8578" s="226"/>
      <c r="M8578" s="101"/>
      <c r="N8578" s="101"/>
    </row>
    <row r="8579" spans="7:14" hidden="1" x14ac:dyDescent="0.3">
      <c r="G8579" s="101"/>
      <c r="H8579" s="101"/>
      <c r="I8579" s="101"/>
      <c r="K8579" s="226"/>
      <c r="L8579" s="226"/>
      <c r="M8579" s="101"/>
      <c r="N8579" s="101"/>
    </row>
    <row r="8580" spans="7:14" hidden="1" x14ac:dyDescent="0.3">
      <c r="G8580" s="101"/>
      <c r="H8580" s="101"/>
      <c r="I8580" s="101"/>
      <c r="K8580" s="226"/>
      <c r="L8580" s="226"/>
      <c r="M8580" s="101"/>
      <c r="N8580" s="101"/>
    </row>
    <row r="8581" spans="7:14" hidden="1" x14ac:dyDescent="0.3">
      <c r="G8581" s="101"/>
      <c r="H8581" s="101"/>
      <c r="I8581" s="101"/>
      <c r="K8581" s="226"/>
      <c r="L8581" s="226"/>
      <c r="M8581" s="101"/>
      <c r="N8581" s="101"/>
    </row>
    <row r="8582" spans="7:14" hidden="1" x14ac:dyDescent="0.3">
      <c r="G8582" s="101"/>
      <c r="H8582" s="101"/>
      <c r="I8582" s="101"/>
      <c r="K8582" s="226"/>
      <c r="L8582" s="226"/>
      <c r="M8582" s="101"/>
      <c r="N8582" s="101"/>
    </row>
    <row r="8583" spans="7:14" hidden="1" x14ac:dyDescent="0.3">
      <c r="G8583" s="101"/>
      <c r="H8583" s="101"/>
      <c r="I8583" s="101"/>
      <c r="K8583" s="226"/>
      <c r="L8583" s="226"/>
      <c r="M8583" s="101"/>
      <c r="N8583" s="101"/>
    </row>
    <row r="8584" spans="7:14" hidden="1" x14ac:dyDescent="0.3">
      <c r="G8584" s="101"/>
      <c r="H8584" s="101"/>
      <c r="I8584" s="101"/>
      <c r="K8584" s="226"/>
      <c r="L8584" s="226"/>
      <c r="M8584" s="101"/>
      <c r="N8584" s="101"/>
    </row>
    <row r="8585" spans="7:14" hidden="1" x14ac:dyDescent="0.3">
      <c r="G8585" s="101"/>
      <c r="H8585" s="101"/>
      <c r="I8585" s="101"/>
      <c r="K8585" s="226"/>
      <c r="L8585" s="226"/>
      <c r="M8585" s="101"/>
      <c r="N8585" s="101"/>
    </row>
    <row r="8586" spans="7:14" hidden="1" x14ac:dyDescent="0.3">
      <c r="G8586" s="101"/>
      <c r="H8586" s="101"/>
      <c r="I8586" s="101"/>
      <c r="K8586" s="226"/>
      <c r="L8586" s="226"/>
      <c r="M8586" s="101"/>
      <c r="N8586" s="101"/>
    </row>
    <row r="8587" spans="7:14" hidden="1" x14ac:dyDescent="0.3">
      <c r="G8587" s="101"/>
      <c r="H8587" s="101"/>
      <c r="I8587" s="101"/>
      <c r="K8587" s="226"/>
      <c r="L8587" s="226"/>
      <c r="M8587" s="101"/>
      <c r="N8587" s="101"/>
    </row>
    <row r="8588" spans="7:14" hidden="1" x14ac:dyDescent="0.3">
      <c r="G8588" s="101"/>
      <c r="H8588" s="101"/>
      <c r="I8588" s="101"/>
      <c r="K8588" s="226"/>
      <c r="L8588" s="226"/>
      <c r="M8588" s="101"/>
      <c r="N8588" s="101"/>
    </row>
    <row r="8589" spans="7:14" hidden="1" x14ac:dyDescent="0.3">
      <c r="G8589" s="101"/>
      <c r="H8589" s="101"/>
      <c r="I8589" s="101"/>
      <c r="K8589" s="226"/>
      <c r="L8589" s="226"/>
      <c r="M8589" s="101"/>
      <c r="N8589" s="101"/>
    </row>
    <row r="8590" spans="7:14" hidden="1" x14ac:dyDescent="0.3">
      <c r="G8590" s="101"/>
      <c r="H8590" s="101"/>
      <c r="I8590" s="101"/>
      <c r="K8590" s="226"/>
      <c r="L8590" s="226"/>
      <c r="M8590" s="101"/>
      <c r="N8590" s="101"/>
    </row>
    <row r="8591" spans="7:14" hidden="1" x14ac:dyDescent="0.3">
      <c r="G8591" s="101"/>
      <c r="H8591" s="101"/>
      <c r="I8591" s="101"/>
      <c r="K8591" s="226"/>
      <c r="L8591" s="226"/>
      <c r="M8591" s="101"/>
      <c r="N8591" s="101"/>
    </row>
    <row r="8592" spans="7:14" hidden="1" x14ac:dyDescent="0.3">
      <c r="G8592" s="101"/>
      <c r="H8592" s="101"/>
      <c r="I8592" s="101"/>
      <c r="K8592" s="226"/>
      <c r="L8592" s="226"/>
      <c r="M8592" s="101"/>
      <c r="N8592" s="101"/>
    </row>
    <row r="8593" spans="7:14" hidden="1" x14ac:dyDescent="0.3">
      <c r="G8593" s="101"/>
      <c r="H8593" s="101"/>
      <c r="I8593" s="101"/>
      <c r="K8593" s="226"/>
      <c r="L8593" s="226"/>
      <c r="M8593" s="101"/>
      <c r="N8593" s="101"/>
    </row>
    <row r="8594" spans="7:14" hidden="1" x14ac:dyDescent="0.3">
      <c r="G8594" s="101"/>
      <c r="H8594" s="101"/>
      <c r="I8594" s="101"/>
      <c r="K8594" s="226"/>
      <c r="L8594" s="226"/>
      <c r="M8594" s="101"/>
      <c r="N8594" s="101"/>
    </row>
    <row r="8595" spans="7:14" hidden="1" x14ac:dyDescent="0.3">
      <c r="G8595" s="101"/>
      <c r="H8595" s="101"/>
      <c r="I8595" s="101"/>
      <c r="K8595" s="226"/>
      <c r="L8595" s="226"/>
      <c r="M8595" s="101"/>
      <c r="N8595" s="101"/>
    </row>
    <row r="8596" spans="7:14" hidden="1" x14ac:dyDescent="0.3">
      <c r="G8596" s="101"/>
      <c r="H8596" s="101"/>
      <c r="I8596" s="101"/>
      <c r="K8596" s="226"/>
      <c r="L8596" s="226"/>
      <c r="M8596" s="101"/>
      <c r="N8596" s="101"/>
    </row>
    <row r="8597" spans="7:14" hidden="1" x14ac:dyDescent="0.3">
      <c r="G8597" s="101"/>
      <c r="H8597" s="101"/>
      <c r="I8597" s="101"/>
      <c r="K8597" s="226"/>
      <c r="L8597" s="226"/>
      <c r="M8597" s="101"/>
      <c r="N8597" s="101"/>
    </row>
    <row r="8598" spans="7:14" hidden="1" x14ac:dyDescent="0.3">
      <c r="G8598" s="101"/>
      <c r="H8598" s="101"/>
      <c r="I8598" s="101"/>
      <c r="K8598" s="226"/>
      <c r="L8598" s="226"/>
      <c r="M8598" s="101"/>
      <c r="N8598" s="101"/>
    </row>
    <row r="8599" spans="7:14" hidden="1" x14ac:dyDescent="0.3">
      <c r="G8599" s="101"/>
      <c r="H8599" s="101"/>
      <c r="I8599" s="101"/>
      <c r="K8599" s="226"/>
      <c r="L8599" s="226"/>
      <c r="M8599" s="101"/>
      <c r="N8599" s="101"/>
    </row>
    <row r="8600" spans="7:14" hidden="1" x14ac:dyDescent="0.3">
      <c r="G8600" s="101"/>
      <c r="H8600" s="101"/>
      <c r="I8600" s="101"/>
      <c r="K8600" s="226"/>
      <c r="L8600" s="226"/>
      <c r="M8600" s="101"/>
      <c r="N8600" s="101"/>
    </row>
    <row r="8601" spans="7:14" hidden="1" x14ac:dyDescent="0.3">
      <c r="G8601" s="101"/>
      <c r="H8601" s="101"/>
      <c r="I8601" s="101"/>
      <c r="K8601" s="226"/>
      <c r="L8601" s="226"/>
      <c r="M8601" s="101"/>
      <c r="N8601" s="101"/>
    </row>
    <row r="8602" spans="7:14" hidden="1" x14ac:dyDescent="0.3">
      <c r="G8602" s="101"/>
      <c r="H8602" s="101"/>
      <c r="I8602" s="101"/>
      <c r="K8602" s="226"/>
      <c r="L8602" s="226"/>
      <c r="M8602" s="101"/>
      <c r="N8602" s="101"/>
    </row>
    <row r="8603" spans="7:14" hidden="1" x14ac:dyDescent="0.3">
      <c r="G8603" s="101"/>
      <c r="H8603" s="101"/>
      <c r="I8603" s="101"/>
      <c r="K8603" s="226"/>
      <c r="L8603" s="226"/>
      <c r="M8603" s="101"/>
      <c r="N8603" s="101"/>
    </row>
    <row r="8604" spans="7:14" hidden="1" x14ac:dyDescent="0.3">
      <c r="G8604" s="101"/>
      <c r="H8604" s="101"/>
      <c r="I8604" s="101"/>
      <c r="K8604" s="226"/>
      <c r="L8604" s="226"/>
      <c r="M8604" s="101"/>
      <c r="N8604" s="101"/>
    </row>
    <row r="8605" spans="7:14" hidden="1" x14ac:dyDescent="0.3">
      <c r="G8605" s="101"/>
      <c r="H8605" s="101"/>
      <c r="I8605" s="101"/>
      <c r="K8605" s="226"/>
      <c r="L8605" s="226"/>
      <c r="M8605" s="101"/>
      <c r="N8605" s="101"/>
    </row>
    <row r="8606" spans="7:14" hidden="1" x14ac:dyDescent="0.3">
      <c r="G8606" s="101"/>
      <c r="H8606" s="101"/>
      <c r="I8606" s="101"/>
      <c r="K8606" s="226"/>
      <c r="L8606" s="226"/>
      <c r="M8606" s="101"/>
      <c r="N8606" s="101"/>
    </row>
    <row r="8607" spans="7:14" hidden="1" x14ac:dyDescent="0.3">
      <c r="G8607" s="101"/>
      <c r="H8607" s="101"/>
      <c r="I8607" s="101"/>
      <c r="K8607" s="226"/>
      <c r="L8607" s="226"/>
      <c r="M8607" s="101"/>
      <c r="N8607" s="101"/>
    </row>
    <row r="8608" spans="7:14" hidden="1" x14ac:dyDescent="0.3">
      <c r="G8608" s="101"/>
      <c r="H8608" s="101"/>
      <c r="I8608" s="101"/>
      <c r="K8608" s="226"/>
      <c r="L8608" s="226"/>
      <c r="M8608" s="101"/>
      <c r="N8608" s="101"/>
    </row>
    <row r="8609" spans="7:14" hidden="1" x14ac:dyDescent="0.3">
      <c r="G8609" s="101"/>
      <c r="H8609" s="101"/>
      <c r="I8609" s="101"/>
      <c r="K8609" s="226"/>
      <c r="L8609" s="226"/>
      <c r="M8609" s="101"/>
      <c r="N8609" s="101"/>
    </row>
    <row r="8610" spans="7:14" hidden="1" x14ac:dyDescent="0.3">
      <c r="G8610" s="101"/>
      <c r="H8610" s="101"/>
      <c r="I8610" s="101"/>
      <c r="K8610" s="226"/>
      <c r="L8610" s="226"/>
      <c r="M8610" s="101"/>
      <c r="N8610" s="101"/>
    </row>
    <row r="8611" spans="7:14" hidden="1" x14ac:dyDescent="0.3">
      <c r="G8611" s="101"/>
      <c r="H8611" s="101"/>
      <c r="I8611" s="101"/>
      <c r="K8611" s="226"/>
      <c r="L8611" s="226"/>
      <c r="M8611" s="101"/>
      <c r="N8611" s="101"/>
    </row>
    <row r="8612" spans="7:14" hidden="1" x14ac:dyDescent="0.3">
      <c r="G8612" s="101"/>
      <c r="H8612" s="101"/>
      <c r="I8612" s="101"/>
      <c r="K8612" s="226"/>
      <c r="L8612" s="226"/>
      <c r="M8612" s="101"/>
      <c r="N8612" s="101"/>
    </row>
    <row r="8613" spans="7:14" hidden="1" x14ac:dyDescent="0.3">
      <c r="G8613" s="101"/>
      <c r="H8613" s="101"/>
      <c r="I8613" s="101"/>
      <c r="K8613" s="226"/>
      <c r="L8613" s="226"/>
      <c r="M8613" s="101"/>
      <c r="N8613" s="101"/>
    </row>
    <row r="8614" spans="7:14" hidden="1" x14ac:dyDescent="0.3">
      <c r="G8614" s="101"/>
      <c r="H8614" s="101"/>
      <c r="I8614" s="101"/>
      <c r="K8614" s="226"/>
      <c r="L8614" s="226"/>
      <c r="M8614" s="101"/>
      <c r="N8614" s="101"/>
    </row>
    <row r="8615" spans="7:14" hidden="1" x14ac:dyDescent="0.3">
      <c r="G8615" s="101"/>
      <c r="H8615" s="101"/>
      <c r="I8615" s="101"/>
      <c r="K8615" s="226"/>
      <c r="L8615" s="226"/>
      <c r="M8615" s="101"/>
      <c r="N8615" s="101"/>
    </row>
    <row r="8616" spans="7:14" hidden="1" x14ac:dyDescent="0.3">
      <c r="G8616" s="101"/>
      <c r="H8616" s="101"/>
      <c r="I8616" s="101"/>
      <c r="K8616" s="226"/>
      <c r="L8616" s="226"/>
      <c r="M8616" s="101"/>
      <c r="N8616" s="101"/>
    </row>
    <row r="8617" spans="7:14" hidden="1" x14ac:dyDescent="0.3">
      <c r="G8617" s="101"/>
      <c r="H8617" s="101"/>
      <c r="I8617" s="101"/>
      <c r="K8617" s="226"/>
      <c r="L8617" s="226"/>
      <c r="M8617" s="101"/>
      <c r="N8617" s="101"/>
    </row>
    <row r="8618" spans="7:14" hidden="1" x14ac:dyDescent="0.3">
      <c r="G8618" s="101"/>
      <c r="H8618" s="101"/>
      <c r="I8618" s="101"/>
      <c r="K8618" s="226"/>
      <c r="L8618" s="226"/>
      <c r="M8618" s="101"/>
      <c r="N8618" s="101"/>
    </row>
    <row r="8619" spans="7:14" hidden="1" x14ac:dyDescent="0.3">
      <c r="G8619" s="101"/>
      <c r="H8619" s="101"/>
      <c r="I8619" s="101"/>
      <c r="K8619" s="226"/>
      <c r="L8619" s="226"/>
      <c r="M8619" s="101"/>
      <c r="N8619" s="101"/>
    </row>
    <row r="8620" spans="7:14" hidden="1" x14ac:dyDescent="0.3">
      <c r="G8620" s="101"/>
      <c r="H8620" s="101"/>
      <c r="I8620" s="101"/>
      <c r="K8620" s="226"/>
      <c r="L8620" s="226"/>
      <c r="M8620" s="101"/>
      <c r="N8620" s="101"/>
    </row>
    <row r="8621" spans="7:14" hidden="1" x14ac:dyDescent="0.3">
      <c r="G8621" s="101"/>
      <c r="H8621" s="101"/>
      <c r="I8621" s="101"/>
      <c r="K8621" s="226"/>
      <c r="L8621" s="226"/>
      <c r="M8621" s="101"/>
      <c r="N8621" s="101"/>
    </row>
    <row r="8622" spans="7:14" hidden="1" x14ac:dyDescent="0.3">
      <c r="G8622" s="101"/>
      <c r="H8622" s="101"/>
      <c r="I8622" s="101"/>
      <c r="K8622" s="226"/>
      <c r="L8622" s="226"/>
      <c r="M8622" s="101"/>
      <c r="N8622" s="101"/>
    </row>
    <row r="8623" spans="7:14" hidden="1" x14ac:dyDescent="0.3">
      <c r="G8623" s="101"/>
      <c r="H8623" s="101"/>
      <c r="I8623" s="101"/>
      <c r="K8623" s="226"/>
      <c r="L8623" s="226"/>
      <c r="M8623" s="101"/>
      <c r="N8623" s="101"/>
    </row>
    <row r="8624" spans="7:14" hidden="1" x14ac:dyDescent="0.3">
      <c r="G8624" s="101"/>
      <c r="H8624" s="101"/>
      <c r="I8624" s="101"/>
      <c r="K8624" s="226"/>
      <c r="L8624" s="226"/>
      <c r="M8624" s="101"/>
      <c r="N8624" s="101"/>
    </row>
    <row r="8625" spans="7:14" hidden="1" x14ac:dyDescent="0.3">
      <c r="G8625" s="101"/>
      <c r="H8625" s="101"/>
      <c r="I8625" s="101"/>
      <c r="K8625" s="226"/>
      <c r="L8625" s="226"/>
      <c r="M8625" s="101"/>
      <c r="N8625" s="101"/>
    </row>
    <row r="8626" spans="7:14" hidden="1" x14ac:dyDescent="0.3">
      <c r="G8626" s="101"/>
      <c r="H8626" s="101"/>
      <c r="I8626" s="101"/>
      <c r="K8626" s="226"/>
      <c r="L8626" s="226"/>
      <c r="M8626" s="101"/>
      <c r="N8626" s="101"/>
    </row>
    <row r="8627" spans="7:14" hidden="1" x14ac:dyDescent="0.3">
      <c r="G8627" s="101"/>
      <c r="H8627" s="101"/>
      <c r="I8627" s="101"/>
      <c r="K8627" s="226"/>
      <c r="L8627" s="226"/>
      <c r="M8627" s="101"/>
      <c r="N8627" s="101"/>
    </row>
    <row r="8628" spans="7:14" hidden="1" x14ac:dyDescent="0.3">
      <c r="G8628" s="101"/>
      <c r="H8628" s="101"/>
      <c r="I8628" s="101"/>
      <c r="K8628" s="226"/>
      <c r="L8628" s="226"/>
      <c r="M8628" s="101"/>
      <c r="N8628" s="101"/>
    </row>
    <row r="8629" spans="7:14" hidden="1" x14ac:dyDescent="0.3">
      <c r="G8629" s="101"/>
      <c r="H8629" s="101"/>
      <c r="I8629" s="101"/>
      <c r="K8629" s="226"/>
      <c r="L8629" s="226"/>
      <c r="M8629" s="101"/>
      <c r="N8629" s="101"/>
    </row>
    <row r="8630" spans="7:14" hidden="1" x14ac:dyDescent="0.3">
      <c r="G8630" s="101"/>
      <c r="H8630" s="101"/>
      <c r="I8630" s="101"/>
      <c r="K8630" s="226"/>
      <c r="L8630" s="226"/>
      <c r="M8630" s="101"/>
      <c r="N8630" s="101"/>
    </row>
    <row r="8631" spans="7:14" hidden="1" x14ac:dyDescent="0.3">
      <c r="G8631" s="101"/>
      <c r="H8631" s="101"/>
      <c r="I8631" s="101"/>
      <c r="K8631" s="226"/>
      <c r="L8631" s="226"/>
      <c r="M8631" s="101"/>
      <c r="N8631" s="101"/>
    </row>
    <row r="8632" spans="7:14" hidden="1" x14ac:dyDescent="0.3">
      <c r="G8632" s="101"/>
      <c r="H8632" s="101"/>
      <c r="I8632" s="101"/>
      <c r="K8632" s="226"/>
      <c r="L8632" s="226"/>
      <c r="M8632" s="101"/>
      <c r="N8632" s="101"/>
    </row>
    <row r="8633" spans="7:14" hidden="1" x14ac:dyDescent="0.3">
      <c r="G8633" s="101"/>
      <c r="H8633" s="101"/>
      <c r="I8633" s="101"/>
      <c r="K8633" s="226"/>
      <c r="L8633" s="226"/>
      <c r="M8633" s="101"/>
      <c r="N8633" s="101"/>
    </row>
    <row r="8634" spans="7:14" hidden="1" x14ac:dyDescent="0.3">
      <c r="G8634" s="101"/>
      <c r="H8634" s="101"/>
      <c r="I8634" s="101"/>
      <c r="K8634" s="226"/>
      <c r="L8634" s="226"/>
      <c r="M8634" s="101"/>
      <c r="N8634" s="101"/>
    </row>
    <row r="8635" spans="7:14" hidden="1" x14ac:dyDescent="0.3">
      <c r="G8635" s="101"/>
      <c r="H8635" s="101"/>
      <c r="I8635" s="101"/>
      <c r="K8635" s="226"/>
      <c r="L8635" s="226"/>
      <c r="M8635" s="101"/>
      <c r="N8635" s="101"/>
    </row>
    <row r="8636" spans="7:14" hidden="1" x14ac:dyDescent="0.3">
      <c r="G8636" s="101"/>
      <c r="H8636" s="101"/>
      <c r="I8636" s="101"/>
      <c r="K8636" s="226"/>
      <c r="L8636" s="226"/>
      <c r="M8636" s="101"/>
      <c r="N8636" s="101"/>
    </row>
    <row r="8637" spans="7:14" hidden="1" x14ac:dyDescent="0.3">
      <c r="G8637" s="101"/>
      <c r="H8637" s="101"/>
      <c r="I8637" s="101"/>
      <c r="K8637" s="226"/>
      <c r="L8637" s="226"/>
      <c r="M8637" s="101"/>
      <c r="N8637" s="101"/>
    </row>
    <row r="8638" spans="7:14" hidden="1" x14ac:dyDescent="0.3">
      <c r="G8638" s="101"/>
      <c r="H8638" s="101"/>
      <c r="I8638" s="101"/>
      <c r="K8638" s="226"/>
      <c r="L8638" s="226"/>
      <c r="M8638" s="101"/>
      <c r="N8638" s="101"/>
    </row>
    <row r="8639" spans="7:14" hidden="1" x14ac:dyDescent="0.3">
      <c r="G8639" s="101"/>
      <c r="H8639" s="101"/>
      <c r="I8639" s="101"/>
      <c r="K8639" s="226"/>
      <c r="L8639" s="226"/>
      <c r="M8639" s="101"/>
      <c r="N8639" s="101"/>
    </row>
    <row r="8640" spans="7:14" hidden="1" x14ac:dyDescent="0.3">
      <c r="G8640" s="101"/>
      <c r="H8640" s="101"/>
      <c r="I8640" s="101"/>
      <c r="K8640" s="226"/>
      <c r="L8640" s="226"/>
      <c r="M8640" s="101"/>
      <c r="N8640" s="101"/>
    </row>
    <row r="8641" spans="7:14" hidden="1" x14ac:dyDescent="0.3">
      <c r="G8641" s="101"/>
      <c r="H8641" s="101"/>
      <c r="I8641" s="101"/>
      <c r="K8641" s="226"/>
      <c r="L8641" s="226"/>
      <c r="M8641" s="101"/>
      <c r="N8641" s="101"/>
    </row>
    <row r="8642" spans="7:14" hidden="1" x14ac:dyDescent="0.3">
      <c r="G8642" s="101"/>
      <c r="H8642" s="101"/>
      <c r="I8642" s="101"/>
      <c r="K8642" s="226"/>
      <c r="L8642" s="226"/>
      <c r="M8642" s="101"/>
      <c r="N8642" s="101"/>
    </row>
    <row r="8643" spans="7:14" hidden="1" x14ac:dyDescent="0.3">
      <c r="G8643" s="101"/>
      <c r="H8643" s="101"/>
      <c r="I8643" s="101"/>
      <c r="K8643" s="226"/>
      <c r="L8643" s="226"/>
      <c r="M8643" s="101"/>
      <c r="N8643" s="101"/>
    </row>
    <row r="8644" spans="7:14" hidden="1" x14ac:dyDescent="0.3">
      <c r="G8644" s="101"/>
      <c r="H8644" s="101"/>
      <c r="I8644" s="101"/>
      <c r="K8644" s="226"/>
      <c r="L8644" s="226"/>
      <c r="M8644" s="101"/>
      <c r="N8644" s="101"/>
    </row>
    <row r="8645" spans="7:14" hidden="1" x14ac:dyDescent="0.3">
      <c r="G8645" s="101"/>
      <c r="H8645" s="101"/>
      <c r="I8645" s="101"/>
      <c r="K8645" s="226"/>
      <c r="L8645" s="226"/>
      <c r="M8645" s="101"/>
      <c r="N8645" s="101"/>
    </row>
    <row r="8646" spans="7:14" hidden="1" x14ac:dyDescent="0.3">
      <c r="G8646" s="101"/>
      <c r="H8646" s="101"/>
      <c r="I8646" s="101"/>
      <c r="K8646" s="226"/>
      <c r="L8646" s="226"/>
      <c r="M8646" s="101"/>
      <c r="N8646" s="101"/>
    </row>
    <row r="8647" spans="7:14" hidden="1" x14ac:dyDescent="0.3">
      <c r="G8647" s="101"/>
      <c r="H8647" s="101"/>
      <c r="I8647" s="101"/>
      <c r="K8647" s="226"/>
      <c r="L8647" s="226"/>
      <c r="M8647" s="101"/>
      <c r="N8647" s="101"/>
    </row>
    <row r="8648" spans="7:14" hidden="1" x14ac:dyDescent="0.3">
      <c r="G8648" s="101"/>
      <c r="H8648" s="101"/>
      <c r="I8648" s="101"/>
      <c r="K8648" s="226"/>
      <c r="L8648" s="226"/>
      <c r="M8648" s="101"/>
      <c r="N8648" s="101"/>
    </row>
    <row r="8649" spans="7:14" hidden="1" x14ac:dyDescent="0.3">
      <c r="G8649" s="101"/>
      <c r="H8649" s="101"/>
      <c r="I8649" s="101"/>
      <c r="K8649" s="226"/>
      <c r="L8649" s="226"/>
      <c r="M8649" s="101"/>
      <c r="N8649" s="101"/>
    </row>
    <row r="8650" spans="7:14" hidden="1" x14ac:dyDescent="0.3">
      <c r="G8650" s="101"/>
      <c r="H8650" s="101"/>
      <c r="I8650" s="101"/>
      <c r="K8650" s="226"/>
      <c r="L8650" s="226"/>
      <c r="M8650" s="101"/>
      <c r="N8650" s="101"/>
    </row>
    <row r="8651" spans="7:14" hidden="1" x14ac:dyDescent="0.3">
      <c r="G8651" s="101"/>
      <c r="H8651" s="101"/>
      <c r="I8651" s="101"/>
      <c r="K8651" s="226"/>
      <c r="L8651" s="226"/>
      <c r="M8651" s="101"/>
      <c r="N8651" s="101"/>
    </row>
    <row r="8652" spans="7:14" hidden="1" x14ac:dyDescent="0.3">
      <c r="G8652" s="101"/>
      <c r="H8652" s="101"/>
      <c r="I8652" s="101"/>
      <c r="K8652" s="226"/>
      <c r="L8652" s="226"/>
      <c r="M8652" s="101"/>
      <c r="N8652" s="101"/>
    </row>
    <row r="8653" spans="7:14" hidden="1" x14ac:dyDescent="0.3">
      <c r="G8653" s="101"/>
      <c r="H8653" s="101"/>
      <c r="I8653" s="101"/>
      <c r="K8653" s="226"/>
      <c r="L8653" s="226"/>
      <c r="M8653" s="101"/>
      <c r="N8653" s="101"/>
    </row>
    <row r="8654" spans="7:14" hidden="1" x14ac:dyDescent="0.3">
      <c r="G8654" s="101"/>
      <c r="H8654" s="101"/>
      <c r="I8654" s="101"/>
      <c r="K8654" s="226"/>
      <c r="L8654" s="226"/>
      <c r="M8654" s="101"/>
      <c r="N8654" s="101"/>
    </row>
    <row r="8655" spans="7:14" hidden="1" x14ac:dyDescent="0.3">
      <c r="G8655" s="101"/>
      <c r="H8655" s="101"/>
      <c r="I8655" s="101"/>
      <c r="K8655" s="226"/>
      <c r="L8655" s="226"/>
      <c r="M8655" s="101"/>
      <c r="N8655" s="101"/>
    </row>
    <row r="8656" spans="7:14" hidden="1" x14ac:dyDescent="0.3">
      <c r="G8656" s="101"/>
      <c r="H8656" s="101"/>
      <c r="I8656" s="101"/>
      <c r="K8656" s="226"/>
      <c r="L8656" s="226"/>
      <c r="M8656" s="101"/>
      <c r="N8656" s="101"/>
    </row>
    <row r="8657" spans="7:14" hidden="1" x14ac:dyDescent="0.3">
      <c r="G8657" s="101"/>
      <c r="H8657" s="101"/>
      <c r="I8657" s="101"/>
      <c r="K8657" s="226"/>
      <c r="L8657" s="226"/>
      <c r="M8657" s="101"/>
      <c r="N8657" s="101"/>
    </row>
    <row r="8658" spans="7:14" hidden="1" x14ac:dyDescent="0.3">
      <c r="G8658" s="101"/>
      <c r="H8658" s="101"/>
      <c r="I8658" s="101"/>
      <c r="K8658" s="226"/>
      <c r="L8658" s="226"/>
      <c r="M8658" s="101"/>
      <c r="N8658" s="101"/>
    </row>
    <row r="8659" spans="7:14" hidden="1" x14ac:dyDescent="0.3">
      <c r="G8659" s="101"/>
      <c r="H8659" s="101"/>
      <c r="I8659" s="101"/>
      <c r="K8659" s="226"/>
      <c r="L8659" s="226"/>
      <c r="M8659" s="101"/>
      <c r="N8659" s="101"/>
    </row>
    <row r="8660" spans="7:14" hidden="1" x14ac:dyDescent="0.3">
      <c r="G8660" s="101"/>
      <c r="H8660" s="101"/>
      <c r="I8660" s="101"/>
      <c r="K8660" s="226"/>
      <c r="L8660" s="226"/>
      <c r="M8660" s="101"/>
      <c r="N8660" s="101"/>
    </row>
    <row r="8661" spans="7:14" hidden="1" x14ac:dyDescent="0.3">
      <c r="G8661" s="101"/>
      <c r="H8661" s="101"/>
      <c r="I8661" s="101"/>
      <c r="K8661" s="226"/>
      <c r="L8661" s="226"/>
      <c r="M8661" s="101"/>
      <c r="N8661" s="101"/>
    </row>
    <row r="8662" spans="7:14" hidden="1" x14ac:dyDescent="0.3">
      <c r="G8662" s="101"/>
      <c r="H8662" s="101"/>
      <c r="I8662" s="101"/>
      <c r="K8662" s="226"/>
      <c r="L8662" s="226"/>
      <c r="M8662" s="101"/>
      <c r="N8662" s="101"/>
    </row>
    <row r="8663" spans="7:14" hidden="1" x14ac:dyDescent="0.3">
      <c r="G8663" s="101"/>
      <c r="H8663" s="101"/>
      <c r="I8663" s="101"/>
      <c r="K8663" s="226"/>
      <c r="L8663" s="226"/>
      <c r="M8663" s="101"/>
      <c r="N8663" s="101"/>
    </row>
    <row r="8664" spans="7:14" hidden="1" x14ac:dyDescent="0.3">
      <c r="G8664" s="101"/>
      <c r="H8664" s="101"/>
      <c r="I8664" s="101"/>
      <c r="K8664" s="226"/>
      <c r="L8664" s="226"/>
      <c r="M8664" s="101"/>
      <c r="N8664" s="101"/>
    </row>
    <row r="8665" spans="7:14" hidden="1" x14ac:dyDescent="0.3">
      <c r="G8665" s="101"/>
      <c r="H8665" s="101"/>
      <c r="I8665" s="101"/>
      <c r="K8665" s="226"/>
      <c r="L8665" s="226"/>
      <c r="M8665" s="101"/>
      <c r="N8665" s="101"/>
    </row>
    <row r="8666" spans="7:14" hidden="1" x14ac:dyDescent="0.3">
      <c r="G8666" s="101"/>
      <c r="H8666" s="101"/>
      <c r="I8666" s="101"/>
      <c r="K8666" s="226"/>
      <c r="L8666" s="226"/>
      <c r="M8666" s="101"/>
      <c r="N8666" s="101"/>
    </row>
    <row r="8667" spans="7:14" hidden="1" x14ac:dyDescent="0.3">
      <c r="G8667" s="101"/>
      <c r="H8667" s="101"/>
      <c r="I8667" s="101"/>
      <c r="K8667" s="226"/>
      <c r="L8667" s="226"/>
      <c r="M8667" s="101"/>
      <c r="N8667" s="101"/>
    </row>
    <row r="8668" spans="7:14" hidden="1" x14ac:dyDescent="0.3">
      <c r="G8668" s="101"/>
      <c r="H8668" s="101"/>
      <c r="I8668" s="101"/>
      <c r="K8668" s="226"/>
      <c r="L8668" s="226"/>
      <c r="M8668" s="101"/>
      <c r="N8668" s="101"/>
    </row>
    <row r="8669" spans="7:14" hidden="1" x14ac:dyDescent="0.3">
      <c r="G8669" s="101"/>
      <c r="H8669" s="101"/>
      <c r="I8669" s="101"/>
      <c r="K8669" s="226"/>
      <c r="L8669" s="226"/>
      <c r="M8669" s="101"/>
      <c r="N8669" s="101"/>
    </row>
    <row r="8670" spans="7:14" hidden="1" x14ac:dyDescent="0.3">
      <c r="G8670" s="101"/>
      <c r="H8670" s="101"/>
      <c r="I8670" s="101"/>
      <c r="K8670" s="226"/>
      <c r="L8670" s="226"/>
      <c r="M8670" s="101"/>
      <c r="N8670" s="101"/>
    </row>
    <row r="8671" spans="7:14" hidden="1" x14ac:dyDescent="0.3">
      <c r="G8671" s="101"/>
      <c r="H8671" s="101"/>
      <c r="I8671" s="101"/>
      <c r="K8671" s="226"/>
      <c r="L8671" s="226"/>
      <c r="M8671" s="101"/>
      <c r="N8671" s="101"/>
    </row>
    <row r="8672" spans="7:14" hidden="1" x14ac:dyDescent="0.3">
      <c r="G8672" s="101"/>
      <c r="H8672" s="101"/>
      <c r="I8672" s="101"/>
      <c r="K8672" s="226"/>
      <c r="L8672" s="226"/>
      <c r="M8672" s="101"/>
      <c r="N8672" s="101"/>
    </row>
    <row r="8673" spans="7:14" hidden="1" x14ac:dyDescent="0.3">
      <c r="G8673" s="101"/>
      <c r="H8673" s="101"/>
      <c r="I8673" s="101"/>
      <c r="K8673" s="226"/>
      <c r="L8673" s="226"/>
      <c r="M8673" s="101"/>
      <c r="N8673" s="101"/>
    </row>
    <row r="8674" spans="7:14" hidden="1" x14ac:dyDescent="0.3">
      <c r="G8674" s="101"/>
      <c r="H8674" s="101"/>
      <c r="I8674" s="101"/>
      <c r="K8674" s="226"/>
      <c r="L8674" s="226"/>
      <c r="M8674" s="101"/>
      <c r="N8674" s="101"/>
    </row>
    <row r="8675" spans="7:14" hidden="1" x14ac:dyDescent="0.3">
      <c r="G8675" s="101"/>
      <c r="H8675" s="101"/>
      <c r="I8675" s="101"/>
      <c r="K8675" s="226"/>
      <c r="L8675" s="226"/>
      <c r="M8675" s="101"/>
      <c r="N8675" s="101"/>
    </row>
    <row r="8676" spans="7:14" hidden="1" x14ac:dyDescent="0.3">
      <c r="G8676" s="101"/>
      <c r="H8676" s="101"/>
      <c r="I8676" s="101"/>
      <c r="K8676" s="226"/>
      <c r="L8676" s="226"/>
      <c r="M8676" s="101"/>
      <c r="N8676" s="101"/>
    </row>
    <row r="8677" spans="7:14" hidden="1" x14ac:dyDescent="0.3">
      <c r="G8677" s="101"/>
      <c r="H8677" s="101"/>
      <c r="I8677" s="101"/>
      <c r="K8677" s="226"/>
      <c r="L8677" s="226"/>
      <c r="M8677" s="101"/>
      <c r="N8677" s="101"/>
    </row>
    <row r="8678" spans="7:14" hidden="1" x14ac:dyDescent="0.3">
      <c r="G8678" s="101"/>
      <c r="H8678" s="101"/>
      <c r="I8678" s="101"/>
      <c r="K8678" s="226"/>
      <c r="L8678" s="226"/>
      <c r="M8678" s="101"/>
      <c r="N8678" s="101"/>
    </row>
    <row r="8679" spans="7:14" hidden="1" x14ac:dyDescent="0.3">
      <c r="G8679" s="101"/>
      <c r="H8679" s="101"/>
      <c r="I8679" s="101"/>
      <c r="K8679" s="226"/>
      <c r="L8679" s="226"/>
      <c r="M8679" s="101"/>
      <c r="N8679" s="101"/>
    </row>
    <row r="8680" spans="7:14" hidden="1" x14ac:dyDescent="0.3">
      <c r="G8680" s="101"/>
      <c r="H8680" s="101"/>
      <c r="I8680" s="101"/>
      <c r="K8680" s="226"/>
      <c r="L8680" s="226"/>
      <c r="M8680" s="101"/>
      <c r="N8680" s="101"/>
    </row>
    <row r="8681" spans="7:14" hidden="1" x14ac:dyDescent="0.3">
      <c r="G8681" s="101"/>
      <c r="H8681" s="101"/>
      <c r="I8681" s="101"/>
      <c r="K8681" s="226"/>
      <c r="L8681" s="226"/>
      <c r="M8681" s="101"/>
      <c r="N8681" s="101"/>
    </row>
    <row r="8682" spans="7:14" hidden="1" x14ac:dyDescent="0.3">
      <c r="G8682" s="101"/>
      <c r="H8682" s="101"/>
      <c r="I8682" s="101"/>
      <c r="K8682" s="226"/>
      <c r="L8682" s="226"/>
      <c r="M8682" s="101"/>
      <c r="N8682" s="101"/>
    </row>
    <row r="8683" spans="7:14" hidden="1" x14ac:dyDescent="0.3">
      <c r="G8683" s="101"/>
      <c r="H8683" s="101"/>
      <c r="I8683" s="101"/>
      <c r="K8683" s="226"/>
      <c r="L8683" s="226"/>
      <c r="M8683" s="101"/>
      <c r="N8683" s="101"/>
    </row>
    <row r="8684" spans="7:14" hidden="1" x14ac:dyDescent="0.3">
      <c r="G8684" s="101"/>
      <c r="H8684" s="101"/>
      <c r="I8684" s="101"/>
      <c r="K8684" s="226"/>
      <c r="L8684" s="226"/>
      <c r="M8684" s="101"/>
      <c r="N8684" s="101"/>
    </row>
    <row r="8685" spans="7:14" hidden="1" x14ac:dyDescent="0.3">
      <c r="G8685" s="101"/>
      <c r="H8685" s="101"/>
      <c r="I8685" s="101"/>
      <c r="K8685" s="226"/>
      <c r="L8685" s="226"/>
      <c r="M8685" s="101"/>
      <c r="N8685" s="101"/>
    </row>
    <row r="8686" spans="7:14" hidden="1" x14ac:dyDescent="0.3">
      <c r="G8686" s="101"/>
      <c r="H8686" s="101"/>
      <c r="I8686" s="101"/>
      <c r="K8686" s="226"/>
      <c r="L8686" s="226"/>
      <c r="M8686" s="101"/>
      <c r="N8686" s="101"/>
    </row>
    <row r="8687" spans="7:14" hidden="1" x14ac:dyDescent="0.3">
      <c r="G8687" s="101"/>
      <c r="H8687" s="101"/>
      <c r="I8687" s="101"/>
      <c r="K8687" s="226"/>
      <c r="L8687" s="226"/>
      <c r="M8687" s="101"/>
      <c r="N8687" s="101"/>
    </row>
    <row r="8688" spans="7:14" hidden="1" x14ac:dyDescent="0.3">
      <c r="G8688" s="101"/>
      <c r="H8688" s="101"/>
      <c r="I8688" s="101"/>
      <c r="K8688" s="226"/>
      <c r="L8688" s="226"/>
      <c r="M8688" s="101"/>
      <c r="N8688" s="101"/>
    </row>
    <row r="8689" spans="7:14" hidden="1" x14ac:dyDescent="0.3">
      <c r="G8689" s="101"/>
      <c r="H8689" s="101"/>
      <c r="I8689" s="101"/>
      <c r="K8689" s="226"/>
      <c r="L8689" s="226"/>
      <c r="M8689" s="101"/>
      <c r="N8689" s="101"/>
    </row>
    <row r="8690" spans="7:14" hidden="1" x14ac:dyDescent="0.3">
      <c r="G8690" s="101"/>
      <c r="H8690" s="101"/>
      <c r="I8690" s="101"/>
      <c r="K8690" s="226"/>
      <c r="L8690" s="226"/>
      <c r="M8690" s="101"/>
      <c r="N8690" s="101"/>
    </row>
    <row r="8691" spans="7:14" hidden="1" x14ac:dyDescent="0.3">
      <c r="G8691" s="101"/>
      <c r="H8691" s="101"/>
      <c r="I8691" s="101"/>
      <c r="K8691" s="226"/>
      <c r="L8691" s="226"/>
      <c r="M8691" s="101"/>
      <c r="N8691" s="101"/>
    </row>
    <row r="8692" spans="7:14" hidden="1" x14ac:dyDescent="0.3">
      <c r="G8692" s="101"/>
      <c r="H8692" s="101"/>
      <c r="I8692" s="101"/>
      <c r="K8692" s="226"/>
      <c r="L8692" s="226"/>
      <c r="M8692" s="101"/>
      <c r="N8692" s="101"/>
    </row>
    <row r="8693" spans="7:14" hidden="1" x14ac:dyDescent="0.3">
      <c r="G8693" s="101"/>
      <c r="H8693" s="101"/>
      <c r="I8693" s="101"/>
      <c r="K8693" s="226"/>
      <c r="L8693" s="226"/>
      <c r="M8693" s="101"/>
      <c r="N8693" s="101"/>
    </row>
    <row r="8694" spans="7:14" hidden="1" x14ac:dyDescent="0.3">
      <c r="G8694" s="101"/>
      <c r="H8694" s="101"/>
      <c r="I8694" s="101"/>
      <c r="K8694" s="226"/>
      <c r="L8694" s="226"/>
      <c r="M8694" s="101"/>
      <c r="N8694" s="101"/>
    </row>
    <row r="8695" spans="7:14" hidden="1" x14ac:dyDescent="0.3">
      <c r="G8695" s="101"/>
      <c r="H8695" s="101"/>
      <c r="I8695" s="101"/>
      <c r="K8695" s="226"/>
      <c r="L8695" s="226"/>
      <c r="M8695" s="101"/>
      <c r="N8695" s="101"/>
    </row>
    <row r="8696" spans="7:14" hidden="1" x14ac:dyDescent="0.3">
      <c r="G8696" s="101"/>
      <c r="H8696" s="101"/>
      <c r="I8696" s="101"/>
      <c r="K8696" s="226"/>
      <c r="L8696" s="226"/>
      <c r="M8696" s="101"/>
      <c r="N8696" s="101"/>
    </row>
    <row r="8697" spans="7:14" hidden="1" x14ac:dyDescent="0.3">
      <c r="G8697" s="101"/>
      <c r="H8697" s="101"/>
      <c r="I8697" s="101"/>
      <c r="K8697" s="226"/>
      <c r="L8697" s="226"/>
      <c r="M8697" s="101"/>
      <c r="N8697" s="101"/>
    </row>
    <row r="8698" spans="7:14" hidden="1" x14ac:dyDescent="0.3">
      <c r="G8698" s="101"/>
      <c r="H8698" s="101"/>
      <c r="I8698" s="101"/>
      <c r="K8698" s="226"/>
      <c r="L8698" s="226"/>
      <c r="M8698" s="101"/>
      <c r="N8698" s="101"/>
    </row>
    <row r="8699" spans="7:14" hidden="1" x14ac:dyDescent="0.3">
      <c r="G8699" s="101"/>
      <c r="H8699" s="101"/>
      <c r="I8699" s="101"/>
      <c r="K8699" s="226"/>
      <c r="L8699" s="226"/>
      <c r="M8699" s="101"/>
      <c r="N8699" s="101"/>
    </row>
    <row r="8700" spans="7:14" hidden="1" x14ac:dyDescent="0.3">
      <c r="G8700" s="101"/>
      <c r="H8700" s="101"/>
      <c r="I8700" s="101"/>
      <c r="K8700" s="226"/>
      <c r="L8700" s="226"/>
      <c r="M8700" s="101"/>
      <c r="N8700" s="101"/>
    </row>
    <row r="8701" spans="7:14" hidden="1" x14ac:dyDescent="0.3">
      <c r="G8701" s="101"/>
      <c r="H8701" s="101"/>
      <c r="I8701" s="101"/>
      <c r="K8701" s="226"/>
      <c r="L8701" s="226"/>
      <c r="M8701" s="101"/>
      <c r="N8701" s="101"/>
    </row>
    <row r="8702" spans="7:14" hidden="1" x14ac:dyDescent="0.3">
      <c r="G8702" s="101"/>
      <c r="H8702" s="101"/>
      <c r="I8702" s="101"/>
      <c r="K8702" s="226"/>
      <c r="L8702" s="226"/>
      <c r="M8702" s="101"/>
      <c r="N8702" s="101"/>
    </row>
    <row r="8703" spans="7:14" hidden="1" x14ac:dyDescent="0.3">
      <c r="G8703" s="101"/>
      <c r="H8703" s="101"/>
      <c r="I8703" s="101"/>
      <c r="K8703" s="226"/>
      <c r="L8703" s="226"/>
      <c r="M8703" s="101"/>
      <c r="N8703" s="101"/>
    </row>
    <row r="8704" spans="7:14" hidden="1" x14ac:dyDescent="0.3">
      <c r="G8704" s="101"/>
      <c r="H8704" s="101"/>
      <c r="I8704" s="101"/>
      <c r="K8704" s="226"/>
      <c r="L8704" s="226"/>
      <c r="M8704" s="101"/>
      <c r="N8704" s="101"/>
    </row>
    <row r="8705" spans="7:14" hidden="1" x14ac:dyDescent="0.3">
      <c r="G8705" s="101"/>
      <c r="H8705" s="101"/>
      <c r="I8705" s="101"/>
      <c r="K8705" s="226"/>
      <c r="L8705" s="226"/>
      <c r="M8705" s="101"/>
      <c r="N8705" s="101"/>
    </row>
    <row r="8706" spans="7:14" hidden="1" x14ac:dyDescent="0.3">
      <c r="G8706" s="101"/>
      <c r="H8706" s="101"/>
      <c r="I8706" s="101"/>
      <c r="K8706" s="226"/>
      <c r="L8706" s="226"/>
      <c r="M8706" s="101"/>
      <c r="N8706" s="101"/>
    </row>
    <row r="8707" spans="7:14" hidden="1" x14ac:dyDescent="0.3">
      <c r="G8707" s="101"/>
      <c r="H8707" s="101"/>
      <c r="I8707" s="101"/>
      <c r="K8707" s="226"/>
      <c r="L8707" s="226"/>
      <c r="M8707" s="101"/>
      <c r="N8707" s="101"/>
    </row>
    <row r="8708" spans="7:14" hidden="1" x14ac:dyDescent="0.3">
      <c r="G8708" s="101"/>
      <c r="H8708" s="101"/>
      <c r="I8708" s="101"/>
      <c r="K8708" s="226"/>
      <c r="L8708" s="226"/>
      <c r="M8708" s="101"/>
      <c r="N8708" s="101"/>
    </row>
    <row r="8709" spans="7:14" hidden="1" x14ac:dyDescent="0.3">
      <c r="G8709" s="101"/>
      <c r="H8709" s="101"/>
      <c r="I8709" s="101"/>
      <c r="K8709" s="226"/>
      <c r="L8709" s="226"/>
      <c r="M8709" s="101"/>
      <c r="N8709" s="101"/>
    </row>
    <row r="8710" spans="7:14" hidden="1" x14ac:dyDescent="0.3">
      <c r="G8710" s="101"/>
      <c r="H8710" s="101"/>
      <c r="I8710" s="101"/>
      <c r="K8710" s="226"/>
      <c r="L8710" s="226"/>
      <c r="M8710" s="101"/>
      <c r="N8710" s="101"/>
    </row>
    <row r="8711" spans="7:14" hidden="1" x14ac:dyDescent="0.3">
      <c r="G8711" s="101"/>
      <c r="H8711" s="101"/>
      <c r="I8711" s="101"/>
      <c r="K8711" s="226"/>
      <c r="L8711" s="226"/>
      <c r="M8711" s="101"/>
      <c r="N8711" s="101"/>
    </row>
    <row r="8712" spans="7:14" hidden="1" x14ac:dyDescent="0.3">
      <c r="G8712" s="101"/>
      <c r="H8712" s="101"/>
      <c r="I8712" s="101"/>
      <c r="K8712" s="226"/>
      <c r="L8712" s="226"/>
      <c r="M8712" s="101"/>
      <c r="N8712" s="101"/>
    </row>
    <row r="8713" spans="7:14" hidden="1" x14ac:dyDescent="0.3">
      <c r="G8713" s="101"/>
      <c r="H8713" s="101"/>
      <c r="I8713" s="101"/>
      <c r="K8713" s="226"/>
      <c r="L8713" s="226"/>
      <c r="M8713" s="101"/>
      <c r="N8713" s="101"/>
    </row>
    <row r="8714" spans="7:14" hidden="1" x14ac:dyDescent="0.3">
      <c r="G8714" s="101"/>
      <c r="H8714" s="101"/>
      <c r="I8714" s="101"/>
      <c r="K8714" s="226"/>
      <c r="L8714" s="226"/>
      <c r="M8714" s="101"/>
      <c r="N8714" s="101"/>
    </row>
    <row r="8715" spans="7:14" hidden="1" x14ac:dyDescent="0.3">
      <c r="G8715" s="101"/>
      <c r="H8715" s="101"/>
      <c r="I8715" s="101"/>
      <c r="K8715" s="226"/>
      <c r="L8715" s="226"/>
      <c r="M8715" s="101"/>
      <c r="N8715" s="101"/>
    </row>
    <row r="8716" spans="7:14" hidden="1" x14ac:dyDescent="0.3">
      <c r="G8716" s="101"/>
      <c r="H8716" s="101"/>
      <c r="I8716" s="101"/>
      <c r="K8716" s="226"/>
      <c r="L8716" s="226"/>
      <c r="M8716" s="101"/>
      <c r="N8716" s="101"/>
    </row>
    <row r="8717" spans="7:14" hidden="1" x14ac:dyDescent="0.3">
      <c r="G8717" s="101"/>
      <c r="H8717" s="101"/>
      <c r="I8717" s="101"/>
      <c r="K8717" s="226"/>
      <c r="L8717" s="226"/>
      <c r="M8717" s="101"/>
      <c r="N8717" s="101"/>
    </row>
    <row r="8718" spans="7:14" hidden="1" x14ac:dyDescent="0.3">
      <c r="G8718" s="101"/>
      <c r="H8718" s="101"/>
      <c r="I8718" s="101"/>
      <c r="K8718" s="226"/>
      <c r="L8718" s="226"/>
      <c r="M8718" s="101"/>
      <c r="N8718" s="101"/>
    </row>
    <row r="8719" spans="7:14" hidden="1" x14ac:dyDescent="0.3">
      <c r="G8719" s="101"/>
      <c r="H8719" s="101"/>
      <c r="I8719" s="101"/>
      <c r="K8719" s="226"/>
      <c r="L8719" s="226"/>
      <c r="M8719" s="101"/>
      <c r="N8719" s="101"/>
    </row>
    <row r="8720" spans="7:14" hidden="1" x14ac:dyDescent="0.3">
      <c r="G8720" s="101"/>
      <c r="H8720" s="101"/>
      <c r="I8720" s="101"/>
      <c r="K8720" s="226"/>
      <c r="L8720" s="226"/>
      <c r="M8720" s="101"/>
      <c r="N8720" s="101"/>
    </row>
    <row r="8721" spans="7:14" hidden="1" x14ac:dyDescent="0.3">
      <c r="G8721" s="101"/>
      <c r="H8721" s="101"/>
      <c r="I8721" s="101"/>
      <c r="K8721" s="226"/>
      <c r="L8721" s="226"/>
      <c r="M8721" s="101"/>
      <c r="N8721" s="101"/>
    </row>
    <row r="8722" spans="7:14" hidden="1" x14ac:dyDescent="0.3">
      <c r="G8722" s="101"/>
      <c r="H8722" s="101"/>
      <c r="I8722" s="101"/>
      <c r="K8722" s="226"/>
      <c r="L8722" s="226"/>
      <c r="M8722" s="101"/>
      <c r="N8722" s="101"/>
    </row>
    <row r="8723" spans="7:14" hidden="1" x14ac:dyDescent="0.3">
      <c r="G8723" s="101"/>
      <c r="H8723" s="101"/>
      <c r="I8723" s="101"/>
      <c r="K8723" s="226"/>
      <c r="L8723" s="226"/>
      <c r="M8723" s="101"/>
      <c r="N8723" s="101"/>
    </row>
    <row r="8724" spans="7:14" hidden="1" x14ac:dyDescent="0.3">
      <c r="G8724" s="101"/>
      <c r="H8724" s="101"/>
      <c r="I8724" s="101"/>
      <c r="K8724" s="226"/>
      <c r="L8724" s="226"/>
      <c r="M8724" s="101"/>
      <c r="N8724" s="101"/>
    </row>
    <row r="8725" spans="7:14" hidden="1" x14ac:dyDescent="0.3">
      <c r="G8725" s="101"/>
      <c r="H8725" s="101"/>
      <c r="I8725" s="101"/>
      <c r="K8725" s="226"/>
      <c r="L8725" s="226"/>
      <c r="M8725" s="101"/>
      <c r="N8725" s="101"/>
    </row>
    <row r="8726" spans="7:14" hidden="1" x14ac:dyDescent="0.3">
      <c r="G8726" s="101"/>
      <c r="H8726" s="101"/>
      <c r="I8726" s="101"/>
      <c r="K8726" s="226"/>
      <c r="L8726" s="226"/>
      <c r="M8726" s="101"/>
      <c r="N8726" s="101"/>
    </row>
    <row r="8727" spans="7:14" hidden="1" x14ac:dyDescent="0.3">
      <c r="G8727" s="101"/>
      <c r="H8727" s="101"/>
      <c r="I8727" s="101"/>
      <c r="K8727" s="226"/>
      <c r="L8727" s="226"/>
      <c r="M8727" s="101"/>
      <c r="N8727" s="101"/>
    </row>
    <row r="8728" spans="7:14" hidden="1" x14ac:dyDescent="0.3">
      <c r="G8728" s="101"/>
      <c r="H8728" s="101"/>
      <c r="I8728" s="101"/>
      <c r="K8728" s="226"/>
      <c r="L8728" s="226"/>
      <c r="M8728" s="101"/>
      <c r="N8728" s="101"/>
    </row>
    <row r="8729" spans="7:14" hidden="1" x14ac:dyDescent="0.3">
      <c r="G8729" s="101"/>
      <c r="H8729" s="101"/>
      <c r="I8729" s="101"/>
      <c r="K8729" s="226"/>
      <c r="L8729" s="226"/>
      <c r="M8729" s="101"/>
      <c r="N8729" s="101"/>
    </row>
    <row r="8730" spans="7:14" hidden="1" x14ac:dyDescent="0.3">
      <c r="G8730" s="101"/>
      <c r="H8730" s="101"/>
      <c r="I8730" s="101"/>
      <c r="K8730" s="226"/>
      <c r="L8730" s="226"/>
      <c r="M8730" s="101"/>
      <c r="N8730" s="101"/>
    </row>
    <row r="8731" spans="7:14" hidden="1" x14ac:dyDescent="0.3">
      <c r="G8731" s="101"/>
      <c r="H8731" s="101"/>
      <c r="I8731" s="101"/>
      <c r="K8731" s="226"/>
      <c r="L8731" s="226"/>
      <c r="M8731" s="101"/>
      <c r="N8731" s="101"/>
    </row>
    <row r="8732" spans="7:14" hidden="1" x14ac:dyDescent="0.3">
      <c r="G8732" s="101"/>
      <c r="H8732" s="101"/>
      <c r="I8732" s="101"/>
      <c r="K8732" s="226"/>
      <c r="L8732" s="226"/>
      <c r="M8732" s="101"/>
      <c r="N8732" s="101"/>
    </row>
    <row r="8733" spans="7:14" hidden="1" x14ac:dyDescent="0.3">
      <c r="G8733" s="101"/>
      <c r="H8733" s="101"/>
      <c r="I8733" s="101"/>
      <c r="K8733" s="226"/>
      <c r="L8733" s="226"/>
      <c r="M8733" s="101"/>
      <c r="N8733" s="101"/>
    </row>
    <row r="8734" spans="7:14" hidden="1" x14ac:dyDescent="0.3">
      <c r="G8734" s="101"/>
      <c r="H8734" s="101"/>
      <c r="I8734" s="101"/>
      <c r="K8734" s="226"/>
      <c r="L8734" s="226"/>
      <c r="M8734" s="101"/>
      <c r="N8734" s="101"/>
    </row>
    <row r="8735" spans="7:14" hidden="1" x14ac:dyDescent="0.3">
      <c r="G8735" s="101"/>
      <c r="H8735" s="101"/>
      <c r="I8735" s="101"/>
      <c r="K8735" s="226"/>
      <c r="L8735" s="226"/>
      <c r="M8735" s="101"/>
      <c r="N8735" s="101"/>
    </row>
    <row r="8736" spans="7:14" hidden="1" x14ac:dyDescent="0.3">
      <c r="G8736" s="101"/>
      <c r="H8736" s="101"/>
      <c r="I8736" s="101"/>
      <c r="K8736" s="226"/>
      <c r="L8736" s="226"/>
      <c r="M8736" s="101"/>
      <c r="N8736" s="101"/>
    </row>
    <row r="8737" spans="7:14" hidden="1" x14ac:dyDescent="0.3">
      <c r="G8737" s="101"/>
      <c r="H8737" s="101"/>
      <c r="I8737" s="101"/>
      <c r="K8737" s="226"/>
      <c r="L8737" s="226"/>
      <c r="M8737" s="101"/>
      <c r="N8737" s="101"/>
    </row>
    <row r="8738" spans="7:14" hidden="1" x14ac:dyDescent="0.3">
      <c r="G8738" s="101"/>
      <c r="H8738" s="101"/>
      <c r="I8738" s="101"/>
      <c r="K8738" s="226"/>
      <c r="L8738" s="226"/>
      <c r="M8738" s="101"/>
      <c r="N8738" s="101"/>
    </row>
    <row r="8739" spans="7:14" hidden="1" x14ac:dyDescent="0.3">
      <c r="G8739" s="101"/>
      <c r="H8739" s="101"/>
      <c r="I8739" s="101"/>
      <c r="K8739" s="226"/>
      <c r="L8739" s="226"/>
      <c r="M8739" s="101"/>
      <c r="N8739" s="101"/>
    </row>
    <row r="8740" spans="7:14" hidden="1" x14ac:dyDescent="0.3">
      <c r="G8740" s="101"/>
      <c r="H8740" s="101"/>
      <c r="I8740" s="101"/>
      <c r="K8740" s="226"/>
      <c r="L8740" s="226"/>
      <c r="M8740" s="101"/>
      <c r="N8740" s="101"/>
    </row>
    <row r="8741" spans="7:14" hidden="1" x14ac:dyDescent="0.3">
      <c r="G8741" s="101"/>
      <c r="H8741" s="101"/>
      <c r="I8741" s="101"/>
      <c r="K8741" s="226"/>
      <c r="L8741" s="226"/>
      <c r="M8741" s="101"/>
      <c r="N8741" s="101"/>
    </row>
    <row r="8742" spans="7:14" hidden="1" x14ac:dyDescent="0.3">
      <c r="G8742" s="101"/>
      <c r="H8742" s="101"/>
      <c r="I8742" s="101"/>
      <c r="K8742" s="226"/>
      <c r="L8742" s="226"/>
      <c r="M8742" s="101"/>
      <c r="N8742" s="101"/>
    </row>
    <row r="8743" spans="7:14" hidden="1" x14ac:dyDescent="0.3">
      <c r="G8743" s="101"/>
      <c r="H8743" s="101"/>
      <c r="I8743" s="101"/>
      <c r="K8743" s="226"/>
      <c r="L8743" s="226"/>
      <c r="M8743" s="101"/>
      <c r="N8743" s="101"/>
    </row>
    <row r="8744" spans="7:14" hidden="1" x14ac:dyDescent="0.3">
      <c r="G8744" s="101"/>
      <c r="H8744" s="101"/>
      <c r="I8744" s="101"/>
      <c r="K8744" s="226"/>
      <c r="L8744" s="226"/>
      <c r="M8744" s="101"/>
      <c r="N8744" s="101"/>
    </row>
    <row r="8745" spans="7:14" hidden="1" x14ac:dyDescent="0.3">
      <c r="G8745" s="101"/>
      <c r="H8745" s="101"/>
      <c r="I8745" s="101"/>
      <c r="K8745" s="226"/>
      <c r="L8745" s="226"/>
      <c r="M8745" s="101"/>
      <c r="N8745" s="101"/>
    </row>
    <row r="8746" spans="7:14" hidden="1" x14ac:dyDescent="0.3">
      <c r="G8746" s="101"/>
      <c r="H8746" s="101"/>
      <c r="I8746" s="101"/>
      <c r="K8746" s="226"/>
      <c r="L8746" s="226"/>
      <c r="M8746" s="101"/>
      <c r="N8746" s="101"/>
    </row>
    <row r="8747" spans="7:14" hidden="1" x14ac:dyDescent="0.3">
      <c r="G8747" s="101"/>
      <c r="H8747" s="101"/>
      <c r="I8747" s="101"/>
      <c r="K8747" s="226"/>
      <c r="L8747" s="226"/>
      <c r="M8747" s="101"/>
      <c r="N8747" s="101"/>
    </row>
    <row r="8748" spans="7:14" hidden="1" x14ac:dyDescent="0.3">
      <c r="G8748" s="101"/>
      <c r="H8748" s="101"/>
      <c r="I8748" s="101"/>
      <c r="K8748" s="226"/>
      <c r="L8748" s="226"/>
      <c r="M8748" s="101"/>
      <c r="N8748" s="101"/>
    </row>
    <row r="8749" spans="7:14" hidden="1" x14ac:dyDescent="0.3">
      <c r="G8749" s="101"/>
      <c r="H8749" s="101"/>
      <c r="I8749" s="101"/>
      <c r="K8749" s="226"/>
      <c r="L8749" s="226"/>
      <c r="M8749" s="101"/>
      <c r="N8749" s="101"/>
    </row>
    <row r="8750" spans="7:14" hidden="1" x14ac:dyDescent="0.3">
      <c r="G8750" s="101"/>
      <c r="H8750" s="101"/>
      <c r="I8750" s="101"/>
      <c r="K8750" s="226"/>
      <c r="L8750" s="226"/>
      <c r="M8750" s="101"/>
      <c r="N8750" s="101"/>
    </row>
    <row r="8751" spans="7:14" hidden="1" x14ac:dyDescent="0.3">
      <c r="G8751" s="101"/>
      <c r="H8751" s="101"/>
      <c r="I8751" s="101"/>
      <c r="K8751" s="226"/>
      <c r="L8751" s="226"/>
      <c r="M8751" s="101"/>
      <c r="N8751" s="101"/>
    </row>
    <row r="8752" spans="7:14" hidden="1" x14ac:dyDescent="0.3">
      <c r="G8752" s="101"/>
      <c r="H8752" s="101"/>
      <c r="I8752" s="101"/>
      <c r="K8752" s="226"/>
      <c r="L8752" s="226"/>
      <c r="M8752" s="101"/>
      <c r="N8752" s="101"/>
    </row>
    <row r="8753" spans="7:14" hidden="1" x14ac:dyDescent="0.3">
      <c r="G8753" s="101"/>
      <c r="H8753" s="101"/>
      <c r="I8753" s="101"/>
      <c r="K8753" s="226"/>
      <c r="L8753" s="226"/>
      <c r="M8753" s="101"/>
      <c r="N8753" s="101"/>
    </row>
    <row r="8754" spans="7:14" hidden="1" x14ac:dyDescent="0.3">
      <c r="G8754" s="101"/>
      <c r="H8754" s="101"/>
      <c r="I8754" s="101"/>
      <c r="K8754" s="226"/>
      <c r="L8754" s="226"/>
      <c r="M8754" s="101"/>
      <c r="N8754" s="101"/>
    </row>
    <row r="8755" spans="7:14" hidden="1" x14ac:dyDescent="0.3">
      <c r="G8755" s="101"/>
      <c r="H8755" s="101"/>
      <c r="I8755" s="101"/>
      <c r="K8755" s="226"/>
      <c r="L8755" s="226"/>
      <c r="M8755" s="101"/>
      <c r="N8755" s="101"/>
    </row>
    <row r="8756" spans="7:14" hidden="1" x14ac:dyDescent="0.3">
      <c r="G8756" s="101"/>
      <c r="H8756" s="101"/>
      <c r="I8756" s="101"/>
      <c r="K8756" s="226"/>
      <c r="L8756" s="226"/>
      <c r="M8756" s="101"/>
      <c r="N8756" s="101"/>
    </row>
    <row r="8757" spans="7:14" hidden="1" x14ac:dyDescent="0.3">
      <c r="G8757" s="101"/>
      <c r="H8757" s="101"/>
      <c r="I8757" s="101"/>
      <c r="K8757" s="226"/>
      <c r="L8757" s="226"/>
      <c r="M8757" s="101"/>
      <c r="N8757" s="101"/>
    </row>
    <row r="8758" spans="7:14" hidden="1" x14ac:dyDescent="0.3">
      <c r="G8758" s="101"/>
      <c r="H8758" s="101"/>
      <c r="I8758" s="101"/>
      <c r="K8758" s="226"/>
      <c r="L8758" s="226"/>
      <c r="M8758" s="101"/>
      <c r="N8758" s="101"/>
    </row>
    <row r="8759" spans="7:14" hidden="1" x14ac:dyDescent="0.3">
      <c r="G8759" s="101"/>
      <c r="H8759" s="101"/>
      <c r="I8759" s="101"/>
      <c r="K8759" s="226"/>
      <c r="L8759" s="226"/>
      <c r="M8759" s="101"/>
      <c r="N8759" s="101"/>
    </row>
    <row r="8760" spans="7:14" hidden="1" x14ac:dyDescent="0.3">
      <c r="G8760" s="101"/>
      <c r="H8760" s="101"/>
      <c r="I8760" s="101"/>
      <c r="K8760" s="226"/>
      <c r="L8760" s="226"/>
      <c r="M8760" s="101"/>
      <c r="N8760" s="101"/>
    </row>
    <row r="8761" spans="7:14" hidden="1" x14ac:dyDescent="0.3">
      <c r="G8761" s="101"/>
      <c r="H8761" s="101"/>
      <c r="I8761" s="101"/>
      <c r="K8761" s="226"/>
      <c r="L8761" s="226"/>
      <c r="M8761" s="101"/>
      <c r="N8761" s="101"/>
    </row>
    <row r="8762" spans="7:14" hidden="1" x14ac:dyDescent="0.3">
      <c r="G8762" s="101"/>
      <c r="H8762" s="101"/>
      <c r="I8762" s="101"/>
      <c r="K8762" s="226"/>
      <c r="L8762" s="226"/>
      <c r="M8762" s="101"/>
      <c r="N8762" s="101"/>
    </row>
    <row r="8763" spans="7:14" hidden="1" x14ac:dyDescent="0.3">
      <c r="G8763" s="101"/>
      <c r="H8763" s="101"/>
      <c r="I8763" s="101"/>
      <c r="K8763" s="226"/>
      <c r="L8763" s="226"/>
      <c r="M8763" s="101"/>
      <c r="N8763" s="101"/>
    </row>
    <row r="8764" spans="7:14" hidden="1" x14ac:dyDescent="0.3">
      <c r="G8764" s="101"/>
      <c r="H8764" s="101"/>
      <c r="I8764" s="101"/>
      <c r="K8764" s="226"/>
      <c r="L8764" s="226"/>
      <c r="M8764" s="101"/>
      <c r="N8764" s="101"/>
    </row>
    <row r="8765" spans="7:14" hidden="1" x14ac:dyDescent="0.3">
      <c r="G8765" s="101"/>
      <c r="H8765" s="101"/>
      <c r="I8765" s="101"/>
      <c r="K8765" s="226"/>
      <c r="L8765" s="226"/>
      <c r="M8765" s="101"/>
      <c r="N8765" s="101"/>
    </row>
    <row r="8766" spans="7:14" hidden="1" x14ac:dyDescent="0.3">
      <c r="G8766" s="101"/>
      <c r="H8766" s="101"/>
      <c r="I8766" s="101"/>
      <c r="K8766" s="226"/>
      <c r="L8766" s="226"/>
      <c r="M8766" s="101"/>
      <c r="N8766" s="101"/>
    </row>
    <row r="8767" spans="7:14" hidden="1" x14ac:dyDescent="0.3">
      <c r="G8767" s="101"/>
      <c r="H8767" s="101"/>
      <c r="I8767" s="101"/>
      <c r="K8767" s="226"/>
      <c r="L8767" s="226"/>
      <c r="M8767" s="101"/>
      <c r="N8767" s="101"/>
    </row>
    <row r="8768" spans="7:14" hidden="1" x14ac:dyDescent="0.3">
      <c r="G8768" s="101"/>
      <c r="H8768" s="101"/>
      <c r="I8768" s="101"/>
      <c r="K8768" s="226"/>
      <c r="L8768" s="226"/>
      <c r="M8768" s="101"/>
      <c r="N8768" s="101"/>
    </row>
    <row r="8769" spans="7:14" hidden="1" x14ac:dyDescent="0.3">
      <c r="G8769" s="101"/>
      <c r="H8769" s="101"/>
      <c r="I8769" s="101"/>
      <c r="K8769" s="226"/>
      <c r="L8769" s="226"/>
      <c r="M8769" s="101"/>
      <c r="N8769" s="101"/>
    </row>
    <row r="8770" spans="7:14" hidden="1" x14ac:dyDescent="0.3">
      <c r="G8770" s="101"/>
      <c r="H8770" s="101"/>
      <c r="I8770" s="101"/>
      <c r="K8770" s="226"/>
      <c r="L8770" s="226"/>
      <c r="M8770" s="101"/>
      <c r="N8770" s="101"/>
    </row>
    <row r="8771" spans="7:14" hidden="1" x14ac:dyDescent="0.3">
      <c r="G8771" s="101"/>
      <c r="H8771" s="101"/>
      <c r="I8771" s="101"/>
      <c r="K8771" s="226"/>
      <c r="L8771" s="226"/>
      <c r="M8771" s="101"/>
      <c r="N8771" s="101"/>
    </row>
    <row r="8772" spans="7:14" hidden="1" x14ac:dyDescent="0.3">
      <c r="G8772" s="101"/>
      <c r="H8772" s="101"/>
      <c r="I8772" s="101"/>
      <c r="K8772" s="226"/>
      <c r="L8772" s="226"/>
      <c r="M8772" s="101"/>
      <c r="N8772" s="101"/>
    </row>
    <row r="8773" spans="7:14" hidden="1" x14ac:dyDescent="0.3">
      <c r="G8773" s="101"/>
      <c r="H8773" s="101"/>
      <c r="I8773" s="101"/>
      <c r="K8773" s="226"/>
      <c r="L8773" s="226"/>
      <c r="M8773" s="101"/>
      <c r="N8773" s="101"/>
    </row>
    <row r="8774" spans="7:14" hidden="1" x14ac:dyDescent="0.3">
      <c r="G8774" s="101"/>
      <c r="H8774" s="101"/>
      <c r="I8774" s="101"/>
      <c r="K8774" s="226"/>
      <c r="L8774" s="226"/>
      <c r="M8774" s="101"/>
      <c r="N8774" s="101"/>
    </row>
    <row r="8775" spans="7:14" hidden="1" x14ac:dyDescent="0.3">
      <c r="G8775" s="101"/>
      <c r="H8775" s="101"/>
      <c r="I8775" s="101"/>
      <c r="K8775" s="226"/>
      <c r="L8775" s="226"/>
      <c r="M8775" s="101"/>
      <c r="N8775" s="101"/>
    </row>
    <row r="8776" spans="7:14" hidden="1" x14ac:dyDescent="0.3">
      <c r="G8776" s="101"/>
      <c r="H8776" s="101"/>
      <c r="I8776" s="101"/>
      <c r="K8776" s="226"/>
      <c r="L8776" s="226"/>
      <c r="M8776" s="101"/>
      <c r="N8776" s="101"/>
    </row>
    <row r="8777" spans="7:14" hidden="1" x14ac:dyDescent="0.3">
      <c r="G8777" s="101"/>
      <c r="H8777" s="101"/>
      <c r="I8777" s="101"/>
      <c r="K8777" s="226"/>
      <c r="L8777" s="226"/>
      <c r="M8777" s="101"/>
      <c r="N8777" s="101"/>
    </row>
    <row r="8778" spans="7:14" hidden="1" x14ac:dyDescent="0.3">
      <c r="G8778" s="101"/>
      <c r="H8778" s="101"/>
      <c r="I8778" s="101"/>
      <c r="K8778" s="226"/>
      <c r="L8778" s="226"/>
      <c r="M8778" s="101"/>
      <c r="N8778" s="101"/>
    </row>
    <row r="8779" spans="7:14" hidden="1" x14ac:dyDescent="0.3">
      <c r="G8779" s="101"/>
      <c r="H8779" s="101"/>
      <c r="I8779" s="101"/>
      <c r="K8779" s="226"/>
      <c r="L8779" s="226"/>
      <c r="M8779" s="101"/>
      <c r="N8779" s="101"/>
    </row>
    <row r="8780" spans="7:14" hidden="1" x14ac:dyDescent="0.3">
      <c r="G8780" s="101"/>
      <c r="H8780" s="101"/>
      <c r="I8780" s="101"/>
      <c r="K8780" s="226"/>
      <c r="L8780" s="226"/>
      <c r="M8780" s="101"/>
      <c r="N8780" s="101"/>
    </row>
    <row r="8781" spans="7:14" hidden="1" x14ac:dyDescent="0.3">
      <c r="G8781" s="101"/>
      <c r="H8781" s="101"/>
      <c r="I8781" s="101"/>
      <c r="K8781" s="226"/>
      <c r="L8781" s="226"/>
      <c r="M8781" s="101"/>
      <c r="N8781" s="101"/>
    </row>
    <row r="8782" spans="7:14" hidden="1" x14ac:dyDescent="0.3">
      <c r="G8782" s="101"/>
      <c r="H8782" s="101"/>
      <c r="I8782" s="101"/>
      <c r="K8782" s="226"/>
      <c r="L8782" s="226"/>
      <c r="M8782" s="101"/>
      <c r="N8782" s="101"/>
    </row>
    <row r="8783" spans="7:14" hidden="1" x14ac:dyDescent="0.3">
      <c r="G8783" s="101"/>
      <c r="H8783" s="101"/>
      <c r="I8783" s="101"/>
      <c r="K8783" s="226"/>
      <c r="L8783" s="226"/>
      <c r="M8783" s="101"/>
      <c r="N8783" s="101"/>
    </row>
    <row r="8784" spans="7:14" hidden="1" x14ac:dyDescent="0.3">
      <c r="G8784" s="101"/>
      <c r="H8784" s="101"/>
      <c r="I8784" s="101"/>
      <c r="K8784" s="226"/>
      <c r="L8784" s="226"/>
      <c r="M8784" s="101"/>
      <c r="N8784" s="101"/>
    </row>
    <row r="8785" spans="7:14" hidden="1" x14ac:dyDescent="0.3">
      <c r="G8785" s="101"/>
      <c r="H8785" s="101"/>
      <c r="I8785" s="101"/>
      <c r="K8785" s="226"/>
      <c r="L8785" s="226"/>
      <c r="M8785" s="101"/>
      <c r="N8785" s="101"/>
    </row>
    <row r="8786" spans="7:14" hidden="1" x14ac:dyDescent="0.3">
      <c r="G8786" s="101"/>
      <c r="H8786" s="101"/>
      <c r="I8786" s="101"/>
      <c r="K8786" s="226"/>
      <c r="L8786" s="226"/>
      <c r="M8786" s="101"/>
      <c r="N8786" s="101"/>
    </row>
    <row r="8787" spans="7:14" hidden="1" x14ac:dyDescent="0.3">
      <c r="G8787" s="101"/>
      <c r="H8787" s="101"/>
      <c r="I8787" s="101"/>
      <c r="K8787" s="226"/>
      <c r="L8787" s="226"/>
      <c r="M8787" s="101"/>
      <c r="N8787" s="101"/>
    </row>
    <row r="8788" spans="7:14" hidden="1" x14ac:dyDescent="0.3">
      <c r="G8788" s="101"/>
      <c r="H8788" s="101"/>
      <c r="I8788" s="101"/>
      <c r="K8788" s="226"/>
      <c r="L8788" s="226"/>
      <c r="M8788" s="101"/>
      <c r="N8788" s="101"/>
    </row>
    <row r="8789" spans="7:14" hidden="1" x14ac:dyDescent="0.3">
      <c r="G8789" s="101"/>
      <c r="H8789" s="101"/>
      <c r="I8789" s="101"/>
      <c r="K8789" s="226"/>
      <c r="L8789" s="226"/>
      <c r="M8789" s="101"/>
      <c r="N8789" s="101"/>
    </row>
    <row r="8790" spans="7:14" hidden="1" x14ac:dyDescent="0.3">
      <c r="G8790" s="101"/>
      <c r="H8790" s="101"/>
      <c r="I8790" s="101"/>
      <c r="K8790" s="226"/>
      <c r="L8790" s="226"/>
      <c r="M8790" s="101"/>
      <c r="N8790" s="101"/>
    </row>
    <row r="8791" spans="7:14" hidden="1" x14ac:dyDescent="0.3">
      <c r="G8791" s="101"/>
      <c r="H8791" s="101"/>
      <c r="I8791" s="101"/>
      <c r="K8791" s="226"/>
      <c r="L8791" s="226"/>
      <c r="M8791" s="101"/>
      <c r="N8791" s="101"/>
    </row>
    <row r="8792" spans="7:14" hidden="1" x14ac:dyDescent="0.3">
      <c r="G8792" s="101"/>
      <c r="H8792" s="101"/>
      <c r="I8792" s="101"/>
      <c r="K8792" s="226"/>
      <c r="L8792" s="226"/>
      <c r="M8792" s="101"/>
      <c r="N8792" s="101"/>
    </row>
    <row r="8793" spans="7:14" hidden="1" x14ac:dyDescent="0.3">
      <c r="G8793" s="101"/>
      <c r="H8793" s="101"/>
      <c r="I8793" s="101"/>
      <c r="K8793" s="226"/>
      <c r="L8793" s="226"/>
      <c r="M8793" s="101"/>
      <c r="N8793" s="101"/>
    </row>
    <row r="8794" spans="7:14" hidden="1" x14ac:dyDescent="0.3">
      <c r="G8794" s="101"/>
      <c r="H8794" s="101"/>
      <c r="I8794" s="101"/>
      <c r="K8794" s="226"/>
      <c r="L8794" s="226"/>
      <c r="M8794" s="101"/>
      <c r="N8794" s="101"/>
    </row>
    <row r="8795" spans="7:14" hidden="1" x14ac:dyDescent="0.3">
      <c r="G8795" s="101"/>
      <c r="H8795" s="101"/>
      <c r="I8795" s="101"/>
      <c r="K8795" s="226"/>
      <c r="L8795" s="226"/>
      <c r="M8795" s="101"/>
      <c r="N8795" s="101"/>
    </row>
    <row r="8796" spans="7:14" hidden="1" x14ac:dyDescent="0.3">
      <c r="G8796" s="101"/>
      <c r="H8796" s="101"/>
      <c r="I8796" s="101"/>
      <c r="K8796" s="226"/>
      <c r="L8796" s="226"/>
      <c r="M8796" s="101"/>
      <c r="N8796" s="101"/>
    </row>
    <row r="8797" spans="7:14" hidden="1" x14ac:dyDescent="0.3">
      <c r="G8797" s="101"/>
      <c r="H8797" s="101"/>
      <c r="I8797" s="101"/>
      <c r="K8797" s="226"/>
      <c r="L8797" s="226"/>
      <c r="M8797" s="101"/>
      <c r="N8797" s="101"/>
    </row>
    <row r="8798" spans="7:14" hidden="1" x14ac:dyDescent="0.3">
      <c r="G8798" s="101"/>
      <c r="H8798" s="101"/>
      <c r="I8798" s="101"/>
      <c r="K8798" s="226"/>
      <c r="L8798" s="226"/>
      <c r="M8798" s="101"/>
      <c r="N8798" s="101"/>
    </row>
    <row r="8799" spans="7:14" hidden="1" x14ac:dyDescent="0.3">
      <c r="G8799" s="101"/>
      <c r="H8799" s="101"/>
      <c r="I8799" s="101"/>
      <c r="K8799" s="226"/>
      <c r="L8799" s="226"/>
      <c r="M8799" s="101"/>
      <c r="N8799" s="101"/>
    </row>
    <row r="8800" spans="7:14" hidden="1" x14ac:dyDescent="0.3">
      <c r="G8800" s="101"/>
      <c r="H8800" s="101"/>
      <c r="I8800" s="101"/>
      <c r="K8800" s="226"/>
      <c r="L8800" s="226"/>
      <c r="M8800" s="101"/>
      <c r="N8800" s="101"/>
    </row>
    <row r="8801" spans="7:14" hidden="1" x14ac:dyDescent="0.3">
      <c r="G8801" s="101"/>
      <c r="H8801" s="101"/>
      <c r="I8801" s="101"/>
      <c r="K8801" s="226"/>
      <c r="L8801" s="226"/>
      <c r="M8801" s="101"/>
      <c r="N8801" s="101"/>
    </row>
    <row r="8802" spans="7:14" hidden="1" x14ac:dyDescent="0.3">
      <c r="G8802" s="101"/>
      <c r="H8802" s="101"/>
      <c r="I8802" s="101"/>
      <c r="K8802" s="226"/>
      <c r="L8802" s="226"/>
      <c r="M8802" s="101"/>
      <c r="N8802" s="101"/>
    </row>
    <row r="8803" spans="7:14" hidden="1" x14ac:dyDescent="0.3">
      <c r="G8803" s="101"/>
      <c r="H8803" s="101"/>
      <c r="I8803" s="101"/>
      <c r="K8803" s="226"/>
      <c r="L8803" s="226"/>
      <c r="M8803" s="101"/>
      <c r="N8803" s="101"/>
    </row>
    <row r="8804" spans="7:14" hidden="1" x14ac:dyDescent="0.3">
      <c r="G8804" s="101"/>
      <c r="H8804" s="101"/>
      <c r="I8804" s="101"/>
      <c r="K8804" s="226"/>
      <c r="L8804" s="226"/>
      <c r="M8804" s="101"/>
      <c r="N8804" s="101"/>
    </row>
    <row r="8805" spans="7:14" hidden="1" x14ac:dyDescent="0.3">
      <c r="G8805" s="101"/>
      <c r="H8805" s="101"/>
      <c r="I8805" s="101"/>
      <c r="K8805" s="226"/>
      <c r="L8805" s="226"/>
      <c r="M8805" s="101"/>
      <c r="N8805" s="101"/>
    </row>
    <row r="8806" spans="7:14" hidden="1" x14ac:dyDescent="0.3">
      <c r="G8806" s="101"/>
      <c r="H8806" s="101"/>
      <c r="I8806" s="101"/>
      <c r="K8806" s="226"/>
      <c r="L8806" s="226"/>
      <c r="M8806" s="101"/>
      <c r="N8806" s="101"/>
    </row>
    <row r="8807" spans="7:14" hidden="1" x14ac:dyDescent="0.3">
      <c r="G8807" s="101"/>
      <c r="H8807" s="101"/>
      <c r="I8807" s="101"/>
      <c r="K8807" s="226"/>
      <c r="L8807" s="226"/>
      <c r="M8807" s="101"/>
      <c r="N8807" s="101"/>
    </row>
    <row r="8808" spans="7:14" hidden="1" x14ac:dyDescent="0.3">
      <c r="G8808" s="101"/>
      <c r="H8808" s="101"/>
      <c r="I8808" s="101"/>
      <c r="K8808" s="226"/>
      <c r="L8808" s="226"/>
      <c r="M8808" s="101"/>
      <c r="N8808" s="101"/>
    </row>
    <row r="8809" spans="7:14" hidden="1" x14ac:dyDescent="0.3">
      <c r="G8809" s="101"/>
      <c r="H8809" s="101"/>
      <c r="I8809" s="101"/>
      <c r="K8809" s="226"/>
      <c r="L8809" s="226"/>
      <c r="M8809" s="101"/>
      <c r="N8809" s="101"/>
    </row>
    <row r="8810" spans="7:14" hidden="1" x14ac:dyDescent="0.3">
      <c r="G8810" s="101"/>
      <c r="H8810" s="101"/>
      <c r="I8810" s="101"/>
      <c r="K8810" s="226"/>
      <c r="L8810" s="226"/>
      <c r="M8810" s="101"/>
      <c r="N8810" s="101"/>
    </row>
    <row r="8811" spans="7:14" hidden="1" x14ac:dyDescent="0.3">
      <c r="G8811" s="101"/>
      <c r="H8811" s="101"/>
      <c r="I8811" s="101"/>
      <c r="K8811" s="226"/>
      <c r="L8811" s="226"/>
      <c r="M8811" s="101"/>
      <c r="N8811" s="101"/>
    </row>
    <row r="8812" spans="7:14" hidden="1" x14ac:dyDescent="0.3">
      <c r="G8812" s="101"/>
      <c r="H8812" s="101"/>
      <c r="I8812" s="101"/>
      <c r="K8812" s="226"/>
      <c r="L8812" s="226"/>
      <c r="M8812" s="101"/>
      <c r="N8812" s="101"/>
    </row>
    <row r="8813" spans="7:14" hidden="1" x14ac:dyDescent="0.3">
      <c r="G8813" s="101"/>
      <c r="H8813" s="101"/>
      <c r="I8813" s="101"/>
      <c r="K8813" s="226"/>
      <c r="L8813" s="226"/>
      <c r="M8813" s="101"/>
      <c r="N8813" s="101"/>
    </row>
    <row r="8814" spans="7:14" hidden="1" x14ac:dyDescent="0.3">
      <c r="G8814" s="101"/>
      <c r="H8814" s="101"/>
      <c r="I8814" s="101"/>
      <c r="K8814" s="226"/>
      <c r="L8814" s="226"/>
      <c r="M8814" s="101"/>
      <c r="N8814" s="101"/>
    </row>
    <row r="8815" spans="7:14" hidden="1" x14ac:dyDescent="0.3">
      <c r="G8815" s="101"/>
      <c r="H8815" s="101"/>
      <c r="I8815" s="101"/>
      <c r="K8815" s="226"/>
      <c r="L8815" s="226"/>
      <c r="M8815" s="101"/>
      <c r="N8815" s="101"/>
    </row>
    <row r="8816" spans="7:14" hidden="1" x14ac:dyDescent="0.3">
      <c r="G8816" s="101"/>
      <c r="H8816" s="101"/>
      <c r="I8816" s="101"/>
      <c r="K8816" s="226"/>
      <c r="L8816" s="226"/>
      <c r="M8816" s="101"/>
      <c r="N8816" s="101"/>
    </row>
    <row r="8817" spans="7:14" hidden="1" x14ac:dyDescent="0.3">
      <c r="G8817" s="101"/>
      <c r="H8817" s="101"/>
      <c r="I8817" s="101"/>
      <c r="K8817" s="226"/>
      <c r="L8817" s="226"/>
      <c r="M8817" s="101"/>
      <c r="N8817" s="101"/>
    </row>
    <row r="8818" spans="7:14" hidden="1" x14ac:dyDescent="0.3">
      <c r="G8818" s="101"/>
      <c r="H8818" s="101"/>
      <c r="I8818" s="101"/>
      <c r="K8818" s="226"/>
      <c r="L8818" s="226"/>
      <c r="M8818" s="101"/>
      <c r="N8818" s="101"/>
    </row>
    <row r="8819" spans="7:14" hidden="1" x14ac:dyDescent="0.3">
      <c r="G8819" s="101"/>
      <c r="H8819" s="101"/>
      <c r="I8819" s="101"/>
      <c r="K8819" s="226"/>
      <c r="L8819" s="226"/>
      <c r="M8819" s="101"/>
      <c r="N8819" s="101"/>
    </row>
    <row r="8820" spans="7:14" hidden="1" x14ac:dyDescent="0.3">
      <c r="G8820" s="101"/>
      <c r="H8820" s="101"/>
      <c r="I8820" s="101"/>
      <c r="K8820" s="226"/>
      <c r="L8820" s="226"/>
      <c r="M8820" s="101"/>
      <c r="N8820" s="101"/>
    </row>
    <row r="8821" spans="7:14" hidden="1" x14ac:dyDescent="0.3">
      <c r="G8821" s="101"/>
      <c r="H8821" s="101"/>
      <c r="I8821" s="101"/>
      <c r="K8821" s="226"/>
      <c r="L8821" s="226"/>
      <c r="M8821" s="101"/>
      <c r="N8821" s="101"/>
    </row>
    <row r="8822" spans="7:14" hidden="1" x14ac:dyDescent="0.3">
      <c r="G8822" s="101"/>
      <c r="H8822" s="101"/>
      <c r="I8822" s="101"/>
      <c r="K8822" s="226"/>
      <c r="L8822" s="226"/>
      <c r="M8822" s="101"/>
      <c r="N8822" s="101"/>
    </row>
    <row r="8823" spans="7:14" hidden="1" x14ac:dyDescent="0.3">
      <c r="G8823" s="101"/>
      <c r="H8823" s="101"/>
      <c r="I8823" s="101"/>
      <c r="K8823" s="226"/>
      <c r="L8823" s="226"/>
      <c r="M8823" s="101"/>
      <c r="N8823" s="101"/>
    </row>
    <row r="8824" spans="7:14" hidden="1" x14ac:dyDescent="0.3">
      <c r="G8824" s="101"/>
      <c r="H8824" s="101"/>
      <c r="I8824" s="101"/>
      <c r="K8824" s="226"/>
      <c r="L8824" s="226"/>
      <c r="M8824" s="101"/>
      <c r="N8824" s="101"/>
    </row>
    <row r="8825" spans="7:14" hidden="1" x14ac:dyDescent="0.3">
      <c r="G8825" s="101"/>
      <c r="H8825" s="101"/>
      <c r="I8825" s="101"/>
      <c r="K8825" s="226"/>
      <c r="L8825" s="226"/>
      <c r="M8825" s="101"/>
      <c r="N8825" s="101"/>
    </row>
    <row r="8826" spans="7:14" hidden="1" x14ac:dyDescent="0.3">
      <c r="G8826" s="101"/>
      <c r="H8826" s="101"/>
      <c r="I8826" s="101"/>
      <c r="K8826" s="226"/>
      <c r="L8826" s="226"/>
      <c r="M8826" s="101"/>
      <c r="N8826" s="101"/>
    </row>
    <row r="8827" spans="7:14" hidden="1" x14ac:dyDescent="0.3">
      <c r="G8827" s="101"/>
      <c r="H8827" s="101"/>
      <c r="I8827" s="101"/>
      <c r="K8827" s="226"/>
      <c r="L8827" s="226"/>
      <c r="M8827" s="101"/>
      <c r="N8827" s="101"/>
    </row>
    <row r="8828" spans="7:14" hidden="1" x14ac:dyDescent="0.3">
      <c r="G8828" s="101"/>
      <c r="H8828" s="101"/>
      <c r="I8828" s="101"/>
      <c r="K8828" s="226"/>
      <c r="L8828" s="226"/>
      <c r="M8828" s="101"/>
      <c r="N8828" s="101"/>
    </row>
    <row r="8829" spans="7:14" hidden="1" x14ac:dyDescent="0.3">
      <c r="G8829" s="101"/>
      <c r="H8829" s="101"/>
      <c r="I8829" s="101"/>
      <c r="K8829" s="226"/>
      <c r="L8829" s="226"/>
      <c r="M8829" s="101"/>
      <c r="N8829" s="101"/>
    </row>
    <row r="8830" spans="7:14" hidden="1" x14ac:dyDescent="0.3">
      <c r="G8830" s="101"/>
      <c r="H8830" s="101"/>
      <c r="I8830" s="101"/>
      <c r="K8830" s="226"/>
      <c r="L8830" s="226"/>
      <c r="M8830" s="101"/>
      <c r="N8830" s="101"/>
    </row>
    <row r="8831" spans="7:14" hidden="1" x14ac:dyDescent="0.3">
      <c r="G8831" s="101"/>
      <c r="H8831" s="101"/>
      <c r="I8831" s="101"/>
      <c r="K8831" s="226"/>
      <c r="L8831" s="226"/>
      <c r="M8831" s="101"/>
      <c r="N8831" s="101"/>
    </row>
    <row r="8832" spans="7:14" hidden="1" x14ac:dyDescent="0.3">
      <c r="G8832" s="101"/>
      <c r="H8832" s="101"/>
      <c r="I8832" s="101"/>
      <c r="K8832" s="226"/>
      <c r="L8832" s="226"/>
      <c r="M8832" s="101"/>
      <c r="N8832" s="101"/>
    </row>
    <row r="8833" spans="7:14" hidden="1" x14ac:dyDescent="0.3">
      <c r="G8833" s="101"/>
      <c r="H8833" s="101"/>
      <c r="I8833" s="101"/>
      <c r="K8833" s="226"/>
      <c r="L8833" s="226"/>
      <c r="M8833" s="101"/>
      <c r="N8833" s="101"/>
    </row>
    <row r="8834" spans="7:14" hidden="1" x14ac:dyDescent="0.3">
      <c r="G8834" s="101"/>
      <c r="H8834" s="101"/>
      <c r="I8834" s="101"/>
      <c r="K8834" s="226"/>
      <c r="L8834" s="226"/>
      <c r="M8834" s="101"/>
      <c r="N8834" s="101"/>
    </row>
    <row r="8835" spans="7:14" hidden="1" x14ac:dyDescent="0.3">
      <c r="G8835" s="101"/>
      <c r="H8835" s="101"/>
      <c r="I8835" s="101"/>
      <c r="K8835" s="226"/>
      <c r="L8835" s="226"/>
      <c r="M8835" s="101"/>
      <c r="N8835" s="101"/>
    </row>
    <row r="8836" spans="7:14" hidden="1" x14ac:dyDescent="0.3">
      <c r="G8836" s="101"/>
      <c r="H8836" s="101"/>
      <c r="I8836" s="101"/>
      <c r="K8836" s="226"/>
      <c r="L8836" s="226"/>
      <c r="M8836" s="101"/>
      <c r="N8836" s="101"/>
    </row>
    <row r="8837" spans="7:14" hidden="1" x14ac:dyDescent="0.3">
      <c r="G8837" s="101"/>
      <c r="H8837" s="101"/>
      <c r="I8837" s="101"/>
      <c r="K8837" s="226"/>
      <c r="L8837" s="226"/>
      <c r="M8837" s="101"/>
      <c r="N8837" s="101"/>
    </row>
    <row r="8838" spans="7:14" hidden="1" x14ac:dyDescent="0.3">
      <c r="G8838" s="101"/>
      <c r="H8838" s="101"/>
      <c r="I8838" s="101"/>
      <c r="K8838" s="226"/>
      <c r="L8838" s="226"/>
      <c r="M8838" s="101"/>
      <c r="N8838" s="101"/>
    </row>
    <row r="8839" spans="7:14" hidden="1" x14ac:dyDescent="0.3">
      <c r="G8839" s="101"/>
      <c r="H8839" s="101"/>
      <c r="I8839" s="101"/>
      <c r="K8839" s="226"/>
      <c r="L8839" s="226"/>
      <c r="M8839" s="101"/>
      <c r="N8839" s="101"/>
    </row>
    <row r="8840" spans="7:14" hidden="1" x14ac:dyDescent="0.3">
      <c r="G8840" s="101"/>
      <c r="H8840" s="101"/>
      <c r="I8840" s="101"/>
      <c r="K8840" s="226"/>
      <c r="L8840" s="226"/>
      <c r="M8840" s="101"/>
      <c r="N8840" s="101"/>
    </row>
    <row r="8841" spans="7:14" hidden="1" x14ac:dyDescent="0.3">
      <c r="G8841" s="101"/>
      <c r="H8841" s="101"/>
      <c r="I8841" s="101"/>
      <c r="K8841" s="226"/>
      <c r="L8841" s="226"/>
      <c r="M8841" s="101"/>
      <c r="N8841" s="101"/>
    </row>
    <row r="8842" spans="7:14" hidden="1" x14ac:dyDescent="0.3">
      <c r="G8842" s="101"/>
      <c r="H8842" s="101"/>
      <c r="I8842" s="101"/>
      <c r="K8842" s="226"/>
      <c r="L8842" s="226"/>
      <c r="M8842" s="101"/>
      <c r="N8842" s="101"/>
    </row>
    <row r="8843" spans="7:14" hidden="1" x14ac:dyDescent="0.3">
      <c r="G8843" s="101"/>
      <c r="H8843" s="101"/>
      <c r="I8843" s="101"/>
      <c r="K8843" s="226"/>
      <c r="L8843" s="226"/>
      <c r="M8843" s="101"/>
      <c r="N8843" s="101"/>
    </row>
    <row r="8844" spans="7:14" hidden="1" x14ac:dyDescent="0.3">
      <c r="G8844" s="101"/>
      <c r="H8844" s="101"/>
      <c r="I8844" s="101"/>
      <c r="K8844" s="226"/>
      <c r="L8844" s="226"/>
      <c r="M8844" s="101"/>
      <c r="N8844" s="101"/>
    </row>
    <row r="8845" spans="7:14" hidden="1" x14ac:dyDescent="0.3">
      <c r="G8845" s="101"/>
      <c r="H8845" s="101"/>
      <c r="I8845" s="101"/>
      <c r="K8845" s="226"/>
      <c r="L8845" s="226"/>
      <c r="M8845" s="101"/>
      <c r="N8845" s="101"/>
    </row>
    <row r="8846" spans="7:14" hidden="1" x14ac:dyDescent="0.3">
      <c r="G8846" s="101"/>
      <c r="H8846" s="101"/>
      <c r="I8846" s="101"/>
      <c r="K8846" s="226"/>
      <c r="L8846" s="226"/>
      <c r="M8846" s="101"/>
      <c r="N8846" s="101"/>
    </row>
    <row r="8847" spans="7:14" hidden="1" x14ac:dyDescent="0.3">
      <c r="G8847" s="101"/>
      <c r="H8847" s="101"/>
      <c r="I8847" s="101"/>
      <c r="K8847" s="226"/>
      <c r="L8847" s="226"/>
      <c r="M8847" s="101"/>
      <c r="N8847" s="101"/>
    </row>
    <row r="8848" spans="7:14" hidden="1" x14ac:dyDescent="0.3">
      <c r="G8848" s="101"/>
      <c r="H8848" s="101"/>
      <c r="I8848" s="101"/>
      <c r="K8848" s="226"/>
      <c r="L8848" s="226"/>
      <c r="M8848" s="101"/>
      <c r="N8848" s="101"/>
    </row>
    <row r="8849" spans="7:14" hidden="1" x14ac:dyDescent="0.3">
      <c r="G8849" s="101"/>
      <c r="H8849" s="101"/>
      <c r="I8849" s="101"/>
      <c r="K8849" s="226"/>
      <c r="L8849" s="226"/>
      <c r="M8849" s="101"/>
      <c r="N8849" s="101"/>
    </row>
    <row r="8850" spans="7:14" hidden="1" x14ac:dyDescent="0.3">
      <c r="G8850" s="101"/>
      <c r="H8850" s="101"/>
      <c r="I8850" s="101"/>
      <c r="K8850" s="226"/>
      <c r="L8850" s="226"/>
      <c r="M8850" s="101"/>
      <c r="N8850" s="101"/>
    </row>
    <row r="8851" spans="7:14" hidden="1" x14ac:dyDescent="0.3">
      <c r="G8851" s="101"/>
      <c r="H8851" s="101"/>
      <c r="I8851" s="101"/>
      <c r="K8851" s="226"/>
      <c r="L8851" s="226"/>
      <c r="M8851" s="101"/>
      <c r="N8851" s="101"/>
    </row>
    <row r="8852" spans="7:14" hidden="1" x14ac:dyDescent="0.3">
      <c r="G8852" s="101"/>
      <c r="H8852" s="101"/>
      <c r="I8852" s="101"/>
      <c r="K8852" s="226"/>
      <c r="L8852" s="226"/>
      <c r="M8852" s="101"/>
      <c r="N8852" s="101"/>
    </row>
    <row r="8853" spans="7:14" hidden="1" x14ac:dyDescent="0.3">
      <c r="G8853" s="101"/>
      <c r="H8853" s="101"/>
      <c r="I8853" s="101"/>
      <c r="K8853" s="226"/>
      <c r="L8853" s="226"/>
      <c r="M8853" s="101"/>
      <c r="N8853" s="101"/>
    </row>
    <row r="8854" spans="7:14" hidden="1" x14ac:dyDescent="0.3">
      <c r="G8854" s="101"/>
      <c r="H8854" s="101"/>
      <c r="I8854" s="101"/>
      <c r="K8854" s="226"/>
      <c r="L8854" s="226"/>
      <c r="M8854" s="101"/>
      <c r="N8854" s="101"/>
    </row>
    <row r="8855" spans="7:14" hidden="1" x14ac:dyDescent="0.3">
      <c r="G8855" s="101"/>
      <c r="H8855" s="101"/>
      <c r="I8855" s="101"/>
      <c r="K8855" s="226"/>
      <c r="L8855" s="226"/>
      <c r="M8855" s="101"/>
      <c r="N8855" s="101"/>
    </row>
    <row r="8856" spans="7:14" hidden="1" x14ac:dyDescent="0.3">
      <c r="G8856" s="101"/>
      <c r="H8856" s="101"/>
      <c r="I8856" s="101"/>
      <c r="K8856" s="226"/>
      <c r="L8856" s="226"/>
      <c r="M8856" s="101"/>
      <c r="N8856" s="101"/>
    </row>
    <row r="8857" spans="7:14" hidden="1" x14ac:dyDescent="0.3">
      <c r="G8857" s="101"/>
      <c r="H8857" s="101"/>
      <c r="I8857" s="101"/>
      <c r="K8857" s="226"/>
      <c r="L8857" s="226"/>
      <c r="M8857" s="101"/>
      <c r="N8857" s="101"/>
    </row>
    <row r="8858" spans="7:14" hidden="1" x14ac:dyDescent="0.3">
      <c r="G8858" s="101"/>
      <c r="H8858" s="101"/>
      <c r="I8858" s="101"/>
      <c r="K8858" s="226"/>
      <c r="L8858" s="226"/>
      <c r="M8858" s="101"/>
      <c r="N8858" s="101"/>
    </row>
    <row r="8859" spans="7:14" hidden="1" x14ac:dyDescent="0.3">
      <c r="G8859" s="101"/>
      <c r="H8859" s="101"/>
      <c r="I8859" s="101"/>
      <c r="K8859" s="226"/>
      <c r="L8859" s="226"/>
      <c r="M8859" s="101"/>
      <c r="N8859" s="101"/>
    </row>
    <row r="8860" spans="7:14" hidden="1" x14ac:dyDescent="0.3">
      <c r="G8860" s="101"/>
      <c r="H8860" s="101"/>
      <c r="I8860" s="101"/>
      <c r="K8860" s="226"/>
      <c r="L8860" s="226"/>
      <c r="M8860" s="101"/>
      <c r="N8860" s="101"/>
    </row>
    <row r="8861" spans="7:14" hidden="1" x14ac:dyDescent="0.3">
      <c r="G8861" s="101"/>
      <c r="H8861" s="101"/>
      <c r="I8861" s="101"/>
      <c r="K8861" s="226"/>
      <c r="L8861" s="226"/>
      <c r="M8861" s="101"/>
      <c r="N8861" s="101"/>
    </row>
    <row r="8862" spans="7:14" hidden="1" x14ac:dyDescent="0.3">
      <c r="G8862" s="101"/>
      <c r="H8862" s="101"/>
      <c r="I8862" s="101"/>
      <c r="K8862" s="226"/>
      <c r="L8862" s="226"/>
      <c r="M8862" s="101"/>
      <c r="N8862" s="101"/>
    </row>
    <row r="8863" spans="7:14" hidden="1" x14ac:dyDescent="0.3">
      <c r="G8863" s="101"/>
      <c r="H8863" s="101"/>
      <c r="I8863" s="101"/>
      <c r="K8863" s="226"/>
      <c r="L8863" s="226"/>
      <c r="M8863" s="101"/>
      <c r="N8863" s="101"/>
    </row>
    <row r="8864" spans="7:14" hidden="1" x14ac:dyDescent="0.3">
      <c r="G8864" s="101"/>
      <c r="H8864" s="101"/>
      <c r="I8864" s="101"/>
      <c r="K8864" s="226"/>
      <c r="L8864" s="226"/>
      <c r="M8864" s="101"/>
      <c r="N8864" s="101"/>
    </row>
    <row r="8865" spans="7:14" hidden="1" x14ac:dyDescent="0.3">
      <c r="G8865" s="101"/>
      <c r="H8865" s="101"/>
      <c r="I8865" s="101"/>
      <c r="K8865" s="226"/>
      <c r="L8865" s="226"/>
      <c r="M8865" s="101"/>
      <c r="N8865" s="101"/>
    </row>
    <row r="8866" spans="7:14" hidden="1" x14ac:dyDescent="0.3">
      <c r="G8866" s="101"/>
      <c r="H8866" s="101"/>
      <c r="I8866" s="101"/>
      <c r="K8866" s="226"/>
      <c r="L8866" s="226"/>
      <c r="M8866" s="101"/>
      <c r="N8866" s="101"/>
    </row>
    <row r="8867" spans="7:14" hidden="1" x14ac:dyDescent="0.3">
      <c r="G8867" s="101"/>
      <c r="H8867" s="101"/>
      <c r="I8867" s="101"/>
      <c r="K8867" s="226"/>
      <c r="L8867" s="226"/>
      <c r="M8867" s="101"/>
      <c r="N8867" s="101"/>
    </row>
    <row r="8868" spans="7:14" hidden="1" x14ac:dyDescent="0.3">
      <c r="G8868" s="101"/>
      <c r="H8868" s="101"/>
      <c r="I8868" s="101"/>
      <c r="K8868" s="226"/>
      <c r="L8868" s="226"/>
      <c r="M8868" s="101"/>
      <c r="N8868" s="101"/>
    </row>
    <row r="8869" spans="7:14" hidden="1" x14ac:dyDescent="0.3">
      <c r="G8869" s="101"/>
      <c r="H8869" s="101"/>
      <c r="I8869" s="101"/>
      <c r="K8869" s="226"/>
      <c r="L8869" s="226"/>
      <c r="M8869" s="101"/>
      <c r="N8869" s="101"/>
    </row>
    <row r="8870" spans="7:14" hidden="1" x14ac:dyDescent="0.3">
      <c r="G8870" s="101"/>
      <c r="H8870" s="101"/>
      <c r="I8870" s="101"/>
      <c r="K8870" s="226"/>
      <c r="L8870" s="226"/>
      <c r="M8870" s="101"/>
      <c r="N8870" s="101"/>
    </row>
    <row r="8871" spans="7:14" hidden="1" x14ac:dyDescent="0.3">
      <c r="G8871" s="101"/>
      <c r="H8871" s="101"/>
      <c r="I8871" s="101"/>
      <c r="K8871" s="226"/>
      <c r="L8871" s="226"/>
      <c r="M8871" s="101"/>
      <c r="N8871" s="101"/>
    </row>
    <row r="8872" spans="7:14" hidden="1" x14ac:dyDescent="0.3">
      <c r="G8872" s="101"/>
      <c r="H8872" s="101"/>
      <c r="I8872" s="101"/>
      <c r="K8872" s="226"/>
      <c r="L8872" s="226"/>
      <c r="M8872" s="101"/>
      <c r="N8872" s="101"/>
    </row>
    <row r="8873" spans="7:14" hidden="1" x14ac:dyDescent="0.3">
      <c r="G8873" s="101"/>
      <c r="H8873" s="101"/>
      <c r="I8873" s="101"/>
      <c r="K8873" s="226"/>
      <c r="L8873" s="226"/>
      <c r="M8873" s="101"/>
      <c r="N8873" s="101"/>
    </row>
    <row r="8874" spans="7:14" hidden="1" x14ac:dyDescent="0.3">
      <c r="G8874" s="101"/>
      <c r="H8874" s="101"/>
      <c r="I8874" s="101"/>
      <c r="K8874" s="226"/>
      <c r="L8874" s="226"/>
      <c r="M8874" s="101"/>
      <c r="N8874" s="101"/>
    </row>
    <row r="8875" spans="7:14" hidden="1" x14ac:dyDescent="0.3">
      <c r="G8875" s="101"/>
      <c r="H8875" s="101"/>
      <c r="I8875" s="101"/>
      <c r="K8875" s="226"/>
      <c r="L8875" s="226"/>
      <c r="M8875" s="101"/>
      <c r="N8875" s="101"/>
    </row>
    <row r="8876" spans="7:14" hidden="1" x14ac:dyDescent="0.3">
      <c r="G8876" s="101"/>
      <c r="H8876" s="101"/>
      <c r="I8876" s="101"/>
      <c r="K8876" s="226"/>
      <c r="L8876" s="226"/>
      <c r="M8876" s="101"/>
      <c r="N8876" s="101"/>
    </row>
    <row r="8877" spans="7:14" hidden="1" x14ac:dyDescent="0.3">
      <c r="G8877" s="101"/>
      <c r="H8877" s="101"/>
      <c r="I8877" s="101"/>
      <c r="K8877" s="226"/>
      <c r="L8877" s="226"/>
      <c r="M8877" s="101"/>
      <c r="N8877" s="101"/>
    </row>
    <row r="8878" spans="7:14" hidden="1" x14ac:dyDescent="0.3">
      <c r="G8878" s="101"/>
      <c r="H8878" s="101"/>
      <c r="I8878" s="101"/>
      <c r="K8878" s="226"/>
      <c r="L8878" s="226"/>
      <c r="M8878" s="101"/>
      <c r="N8878" s="101"/>
    </row>
    <row r="8879" spans="7:14" hidden="1" x14ac:dyDescent="0.3">
      <c r="G8879" s="101"/>
      <c r="H8879" s="101"/>
      <c r="I8879" s="101"/>
      <c r="K8879" s="226"/>
      <c r="L8879" s="226"/>
      <c r="M8879" s="101"/>
      <c r="N8879" s="101"/>
    </row>
    <row r="8880" spans="7:14" hidden="1" x14ac:dyDescent="0.3">
      <c r="G8880" s="101"/>
      <c r="H8880" s="101"/>
      <c r="I8880" s="101"/>
      <c r="K8880" s="226"/>
      <c r="L8880" s="226"/>
      <c r="M8880" s="101"/>
      <c r="N8880" s="101"/>
    </row>
    <row r="8881" spans="7:14" hidden="1" x14ac:dyDescent="0.3">
      <c r="G8881" s="101"/>
      <c r="H8881" s="101"/>
      <c r="I8881" s="101"/>
      <c r="K8881" s="226"/>
      <c r="L8881" s="226"/>
      <c r="M8881" s="101"/>
      <c r="N8881" s="101"/>
    </row>
    <row r="8882" spans="7:14" hidden="1" x14ac:dyDescent="0.3">
      <c r="G8882" s="101"/>
      <c r="H8882" s="101"/>
      <c r="I8882" s="101"/>
      <c r="K8882" s="226"/>
      <c r="L8882" s="226"/>
      <c r="M8882" s="101"/>
      <c r="N8882" s="101"/>
    </row>
    <row r="8883" spans="7:14" hidden="1" x14ac:dyDescent="0.3">
      <c r="G8883" s="101"/>
      <c r="H8883" s="101"/>
      <c r="I8883" s="101"/>
      <c r="K8883" s="226"/>
      <c r="L8883" s="226"/>
      <c r="M8883" s="101"/>
      <c r="N8883" s="101"/>
    </row>
    <row r="8884" spans="7:14" hidden="1" x14ac:dyDescent="0.3">
      <c r="G8884" s="101"/>
      <c r="H8884" s="101"/>
      <c r="I8884" s="101"/>
      <c r="K8884" s="226"/>
      <c r="L8884" s="226"/>
      <c r="M8884" s="101"/>
      <c r="N8884" s="101"/>
    </row>
    <row r="8885" spans="7:14" hidden="1" x14ac:dyDescent="0.3">
      <c r="G8885" s="101"/>
      <c r="H8885" s="101"/>
      <c r="I8885" s="101"/>
      <c r="K8885" s="226"/>
      <c r="L8885" s="226"/>
      <c r="M8885" s="101"/>
      <c r="N8885" s="101"/>
    </row>
    <row r="8886" spans="7:14" hidden="1" x14ac:dyDescent="0.3">
      <c r="G8886" s="101"/>
      <c r="H8886" s="101"/>
      <c r="I8886" s="101"/>
      <c r="K8886" s="226"/>
      <c r="L8886" s="226"/>
      <c r="M8886" s="101"/>
      <c r="N8886" s="101"/>
    </row>
    <row r="8887" spans="7:14" hidden="1" x14ac:dyDescent="0.3">
      <c r="G8887" s="101"/>
      <c r="H8887" s="101"/>
      <c r="I8887" s="101"/>
      <c r="K8887" s="226"/>
      <c r="L8887" s="226"/>
      <c r="M8887" s="101"/>
      <c r="N8887" s="101"/>
    </row>
    <row r="8888" spans="7:14" hidden="1" x14ac:dyDescent="0.3">
      <c r="G8888" s="101"/>
      <c r="H8888" s="101"/>
      <c r="I8888" s="101"/>
      <c r="K8888" s="226"/>
      <c r="L8888" s="226"/>
      <c r="M8888" s="101"/>
      <c r="N8888" s="101"/>
    </row>
    <row r="8889" spans="7:14" hidden="1" x14ac:dyDescent="0.3">
      <c r="G8889" s="101"/>
      <c r="H8889" s="101"/>
      <c r="I8889" s="101"/>
      <c r="K8889" s="226"/>
      <c r="L8889" s="226"/>
      <c r="M8889" s="101"/>
      <c r="N8889" s="101"/>
    </row>
    <row r="8890" spans="7:14" hidden="1" x14ac:dyDescent="0.3">
      <c r="G8890" s="101"/>
      <c r="H8890" s="101"/>
      <c r="I8890" s="101"/>
      <c r="K8890" s="226"/>
      <c r="L8890" s="226"/>
      <c r="M8890" s="101"/>
      <c r="N8890" s="101"/>
    </row>
    <row r="8891" spans="7:14" hidden="1" x14ac:dyDescent="0.3">
      <c r="G8891" s="101"/>
      <c r="H8891" s="101"/>
      <c r="I8891" s="101"/>
      <c r="K8891" s="226"/>
      <c r="L8891" s="226"/>
      <c r="M8891" s="101"/>
      <c r="N8891" s="101"/>
    </row>
    <row r="8892" spans="7:14" hidden="1" x14ac:dyDescent="0.3">
      <c r="G8892" s="101"/>
      <c r="H8892" s="101"/>
      <c r="I8892" s="101"/>
      <c r="K8892" s="226"/>
      <c r="L8892" s="226"/>
      <c r="M8892" s="101"/>
      <c r="N8892" s="101"/>
    </row>
    <row r="8893" spans="7:14" hidden="1" x14ac:dyDescent="0.3">
      <c r="G8893" s="101"/>
      <c r="H8893" s="101"/>
      <c r="I8893" s="101"/>
      <c r="K8893" s="226"/>
      <c r="L8893" s="226"/>
      <c r="M8893" s="101"/>
      <c r="N8893" s="101"/>
    </row>
    <row r="8894" spans="7:14" hidden="1" x14ac:dyDescent="0.3">
      <c r="G8894" s="101"/>
      <c r="H8894" s="101"/>
      <c r="I8894" s="101"/>
      <c r="K8894" s="226"/>
      <c r="L8894" s="226"/>
      <c r="M8894" s="101"/>
      <c r="N8894" s="101"/>
    </row>
    <row r="8895" spans="7:14" hidden="1" x14ac:dyDescent="0.3">
      <c r="G8895" s="101"/>
      <c r="H8895" s="101"/>
      <c r="I8895" s="101"/>
      <c r="K8895" s="226"/>
      <c r="L8895" s="226"/>
      <c r="M8895" s="101"/>
      <c r="N8895" s="101"/>
    </row>
    <row r="8896" spans="7:14" hidden="1" x14ac:dyDescent="0.3">
      <c r="G8896" s="101"/>
      <c r="H8896" s="101"/>
      <c r="I8896" s="101"/>
      <c r="K8896" s="226"/>
      <c r="L8896" s="226"/>
      <c r="M8896" s="101"/>
      <c r="N8896" s="101"/>
    </row>
    <row r="8897" spans="7:14" hidden="1" x14ac:dyDescent="0.3">
      <c r="G8897" s="101"/>
      <c r="H8897" s="101"/>
      <c r="I8897" s="101"/>
      <c r="K8897" s="226"/>
      <c r="L8897" s="226"/>
      <c r="M8897" s="101"/>
      <c r="N8897" s="101"/>
    </row>
    <row r="8898" spans="7:14" hidden="1" x14ac:dyDescent="0.3">
      <c r="G8898" s="101"/>
      <c r="H8898" s="101"/>
      <c r="I8898" s="101"/>
      <c r="K8898" s="226"/>
      <c r="L8898" s="226"/>
      <c r="M8898" s="101"/>
      <c r="N8898" s="101"/>
    </row>
    <row r="8899" spans="7:14" hidden="1" x14ac:dyDescent="0.3">
      <c r="G8899" s="101"/>
      <c r="H8899" s="101"/>
      <c r="I8899" s="101"/>
      <c r="K8899" s="226"/>
      <c r="L8899" s="226"/>
      <c r="M8899" s="101"/>
      <c r="N8899" s="101"/>
    </row>
    <row r="8900" spans="7:14" hidden="1" x14ac:dyDescent="0.3">
      <c r="G8900" s="101"/>
      <c r="H8900" s="101"/>
      <c r="I8900" s="101"/>
      <c r="K8900" s="226"/>
      <c r="L8900" s="226"/>
      <c r="M8900" s="101"/>
      <c r="N8900" s="101"/>
    </row>
    <row r="8901" spans="7:14" hidden="1" x14ac:dyDescent="0.3">
      <c r="G8901" s="101"/>
      <c r="H8901" s="101"/>
      <c r="I8901" s="101"/>
      <c r="K8901" s="226"/>
      <c r="L8901" s="226"/>
      <c r="M8901" s="101"/>
      <c r="N8901" s="101"/>
    </row>
    <row r="8902" spans="7:14" hidden="1" x14ac:dyDescent="0.3">
      <c r="G8902" s="101"/>
      <c r="H8902" s="101"/>
      <c r="I8902" s="101"/>
      <c r="K8902" s="226"/>
      <c r="L8902" s="226"/>
      <c r="M8902" s="101"/>
      <c r="N8902" s="101"/>
    </row>
    <row r="8903" spans="7:14" hidden="1" x14ac:dyDescent="0.3">
      <c r="G8903" s="101"/>
      <c r="H8903" s="101"/>
      <c r="I8903" s="101"/>
      <c r="K8903" s="226"/>
      <c r="L8903" s="226"/>
      <c r="M8903" s="101"/>
      <c r="N8903" s="101"/>
    </row>
    <row r="8904" spans="7:14" hidden="1" x14ac:dyDescent="0.3">
      <c r="G8904" s="101"/>
      <c r="H8904" s="101"/>
      <c r="I8904" s="101"/>
      <c r="K8904" s="226"/>
      <c r="L8904" s="226"/>
      <c r="M8904" s="101"/>
      <c r="N8904" s="101"/>
    </row>
    <row r="8905" spans="7:14" hidden="1" x14ac:dyDescent="0.3">
      <c r="G8905" s="101"/>
      <c r="H8905" s="101"/>
      <c r="I8905" s="101"/>
      <c r="K8905" s="226"/>
      <c r="L8905" s="226"/>
      <c r="M8905" s="101"/>
      <c r="N8905" s="101"/>
    </row>
    <row r="8906" spans="7:14" hidden="1" x14ac:dyDescent="0.3">
      <c r="G8906" s="101"/>
      <c r="H8906" s="101"/>
      <c r="I8906" s="101"/>
      <c r="K8906" s="226"/>
      <c r="L8906" s="226"/>
      <c r="M8906" s="101"/>
      <c r="N8906" s="101"/>
    </row>
    <row r="8907" spans="7:14" hidden="1" x14ac:dyDescent="0.3">
      <c r="G8907" s="101"/>
      <c r="H8907" s="101"/>
      <c r="I8907" s="101"/>
      <c r="K8907" s="226"/>
      <c r="L8907" s="226"/>
      <c r="M8907" s="101"/>
      <c r="N8907" s="101"/>
    </row>
    <row r="8908" spans="7:14" hidden="1" x14ac:dyDescent="0.3">
      <c r="G8908" s="101"/>
      <c r="H8908" s="101"/>
      <c r="I8908" s="101"/>
      <c r="K8908" s="226"/>
      <c r="L8908" s="226"/>
      <c r="M8908" s="101"/>
      <c r="N8908" s="101"/>
    </row>
    <row r="8909" spans="7:14" hidden="1" x14ac:dyDescent="0.3">
      <c r="G8909" s="101"/>
      <c r="H8909" s="101"/>
      <c r="I8909" s="101"/>
      <c r="K8909" s="226"/>
      <c r="L8909" s="226"/>
      <c r="M8909" s="101"/>
      <c r="N8909" s="101"/>
    </row>
    <row r="8910" spans="7:14" hidden="1" x14ac:dyDescent="0.3">
      <c r="G8910" s="101"/>
      <c r="H8910" s="101"/>
      <c r="I8910" s="101"/>
      <c r="K8910" s="226"/>
      <c r="L8910" s="226"/>
      <c r="M8910" s="101"/>
      <c r="N8910" s="101"/>
    </row>
    <row r="8911" spans="7:14" hidden="1" x14ac:dyDescent="0.3">
      <c r="G8911" s="101"/>
      <c r="H8911" s="101"/>
      <c r="I8911" s="101"/>
      <c r="K8911" s="226"/>
      <c r="L8911" s="226"/>
      <c r="M8911" s="101"/>
      <c r="N8911" s="101"/>
    </row>
    <row r="8912" spans="7:14" hidden="1" x14ac:dyDescent="0.3">
      <c r="G8912" s="101"/>
      <c r="H8912" s="101"/>
      <c r="I8912" s="101"/>
      <c r="K8912" s="226"/>
      <c r="L8912" s="226"/>
      <c r="M8912" s="101"/>
      <c r="N8912" s="101"/>
    </row>
    <row r="8913" spans="7:14" hidden="1" x14ac:dyDescent="0.3">
      <c r="G8913" s="101"/>
      <c r="H8913" s="101"/>
      <c r="I8913" s="101"/>
      <c r="K8913" s="226"/>
      <c r="L8913" s="226"/>
      <c r="M8913" s="101"/>
      <c r="N8913" s="101"/>
    </row>
    <row r="8914" spans="7:14" hidden="1" x14ac:dyDescent="0.3">
      <c r="G8914" s="101"/>
      <c r="H8914" s="101"/>
      <c r="I8914" s="101"/>
      <c r="K8914" s="226"/>
      <c r="L8914" s="226"/>
      <c r="M8914" s="101"/>
      <c r="N8914" s="101"/>
    </row>
    <row r="8915" spans="7:14" hidden="1" x14ac:dyDescent="0.3">
      <c r="G8915" s="101"/>
      <c r="H8915" s="101"/>
      <c r="I8915" s="101"/>
      <c r="K8915" s="226"/>
      <c r="L8915" s="226"/>
      <c r="M8915" s="101"/>
      <c r="N8915" s="101"/>
    </row>
    <row r="8916" spans="7:14" hidden="1" x14ac:dyDescent="0.3">
      <c r="G8916" s="101"/>
      <c r="H8916" s="101"/>
      <c r="I8916" s="101"/>
      <c r="K8916" s="226"/>
      <c r="L8916" s="226"/>
      <c r="M8916" s="101"/>
      <c r="N8916" s="101"/>
    </row>
    <row r="8917" spans="7:14" hidden="1" x14ac:dyDescent="0.3">
      <c r="G8917" s="101"/>
      <c r="H8917" s="101"/>
      <c r="I8917" s="101"/>
      <c r="K8917" s="226"/>
      <c r="L8917" s="226"/>
      <c r="M8917" s="101"/>
      <c r="N8917" s="101"/>
    </row>
    <row r="8918" spans="7:14" hidden="1" x14ac:dyDescent="0.3">
      <c r="G8918" s="101"/>
      <c r="H8918" s="101"/>
      <c r="I8918" s="101"/>
      <c r="K8918" s="226"/>
      <c r="L8918" s="226"/>
      <c r="M8918" s="101"/>
      <c r="N8918" s="101"/>
    </row>
    <row r="8919" spans="7:14" hidden="1" x14ac:dyDescent="0.3">
      <c r="G8919" s="101"/>
      <c r="H8919" s="101"/>
      <c r="I8919" s="101"/>
      <c r="K8919" s="226"/>
      <c r="L8919" s="226"/>
      <c r="M8919" s="101"/>
      <c r="N8919" s="101"/>
    </row>
    <row r="8920" spans="7:14" hidden="1" x14ac:dyDescent="0.3">
      <c r="G8920" s="101"/>
      <c r="H8920" s="101"/>
      <c r="I8920" s="101"/>
      <c r="K8920" s="226"/>
      <c r="L8920" s="226"/>
      <c r="M8920" s="101"/>
      <c r="N8920" s="101"/>
    </row>
    <row r="8921" spans="7:14" hidden="1" x14ac:dyDescent="0.3">
      <c r="G8921" s="101"/>
      <c r="H8921" s="101"/>
      <c r="I8921" s="101"/>
      <c r="K8921" s="226"/>
      <c r="L8921" s="226"/>
      <c r="M8921" s="101"/>
      <c r="N8921" s="101"/>
    </row>
    <row r="8922" spans="7:14" hidden="1" x14ac:dyDescent="0.3">
      <c r="G8922" s="101"/>
      <c r="H8922" s="101"/>
      <c r="I8922" s="101"/>
      <c r="K8922" s="226"/>
      <c r="L8922" s="226"/>
      <c r="M8922" s="101"/>
      <c r="N8922" s="101"/>
    </row>
    <row r="8923" spans="7:14" hidden="1" x14ac:dyDescent="0.3">
      <c r="G8923" s="101"/>
      <c r="H8923" s="101"/>
      <c r="I8923" s="101"/>
      <c r="K8923" s="226"/>
      <c r="L8923" s="226"/>
      <c r="M8923" s="101"/>
      <c r="N8923" s="101"/>
    </row>
    <row r="8924" spans="7:14" hidden="1" x14ac:dyDescent="0.3">
      <c r="G8924" s="101"/>
      <c r="H8924" s="101"/>
      <c r="I8924" s="101"/>
      <c r="K8924" s="226"/>
      <c r="L8924" s="226"/>
      <c r="M8924" s="101"/>
      <c r="N8924" s="101"/>
    </row>
    <row r="8925" spans="7:14" hidden="1" x14ac:dyDescent="0.3">
      <c r="G8925" s="101"/>
      <c r="H8925" s="101"/>
      <c r="I8925" s="101"/>
      <c r="K8925" s="226"/>
      <c r="L8925" s="226"/>
      <c r="M8925" s="101"/>
      <c r="N8925" s="101"/>
    </row>
    <row r="8926" spans="7:14" hidden="1" x14ac:dyDescent="0.3">
      <c r="G8926" s="101"/>
      <c r="H8926" s="101"/>
      <c r="I8926" s="101"/>
      <c r="K8926" s="226"/>
      <c r="L8926" s="226"/>
      <c r="M8926" s="101"/>
      <c r="N8926" s="101"/>
    </row>
    <row r="8927" spans="7:14" hidden="1" x14ac:dyDescent="0.3">
      <c r="G8927" s="101"/>
      <c r="H8927" s="101"/>
      <c r="I8927" s="101"/>
      <c r="K8927" s="226"/>
      <c r="L8927" s="226"/>
      <c r="M8927" s="101"/>
      <c r="N8927" s="101"/>
    </row>
    <row r="8928" spans="7:14" hidden="1" x14ac:dyDescent="0.3">
      <c r="G8928" s="101"/>
      <c r="H8928" s="101"/>
      <c r="I8928" s="101"/>
      <c r="K8928" s="226"/>
      <c r="L8928" s="226"/>
      <c r="M8928" s="101"/>
      <c r="N8928" s="101"/>
    </row>
    <row r="8929" spans="7:14" hidden="1" x14ac:dyDescent="0.3">
      <c r="G8929" s="101"/>
      <c r="H8929" s="101"/>
      <c r="I8929" s="101"/>
      <c r="K8929" s="226"/>
      <c r="L8929" s="226"/>
      <c r="M8929" s="101"/>
      <c r="N8929" s="101"/>
    </row>
    <row r="8930" spans="7:14" hidden="1" x14ac:dyDescent="0.3">
      <c r="G8930" s="101"/>
      <c r="H8930" s="101"/>
      <c r="I8930" s="101"/>
      <c r="K8930" s="226"/>
      <c r="L8930" s="226"/>
      <c r="M8930" s="101"/>
      <c r="N8930" s="101"/>
    </row>
    <row r="8931" spans="7:14" hidden="1" x14ac:dyDescent="0.3">
      <c r="G8931" s="101"/>
      <c r="H8931" s="101"/>
      <c r="I8931" s="101"/>
      <c r="K8931" s="226"/>
      <c r="L8931" s="226"/>
      <c r="M8931" s="101"/>
      <c r="N8931" s="101"/>
    </row>
    <row r="8932" spans="7:14" hidden="1" x14ac:dyDescent="0.3">
      <c r="G8932" s="101"/>
      <c r="H8932" s="101"/>
      <c r="I8932" s="101"/>
      <c r="K8932" s="226"/>
      <c r="L8932" s="226"/>
      <c r="M8932" s="101"/>
      <c r="N8932" s="101"/>
    </row>
    <row r="8933" spans="7:14" hidden="1" x14ac:dyDescent="0.3">
      <c r="G8933" s="101"/>
      <c r="H8933" s="101"/>
      <c r="I8933" s="101"/>
      <c r="K8933" s="226"/>
      <c r="L8933" s="226"/>
      <c r="M8933" s="101"/>
      <c r="N8933" s="101"/>
    </row>
    <row r="8934" spans="7:14" hidden="1" x14ac:dyDescent="0.3">
      <c r="G8934" s="101"/>
      <c r="H8934" s="101"/>
      <c r="I8934" s="101"/>
      <c r="K8934" s="226"/>
      <c r="L8934" s="226"/>
      <c r="M8934" s="101"/>
      <c r="N8934" s="101"/>
    </row>
    <row r="8935" spans="7:14" hidden="1" x14ac:dyDescent="0.3">
      <c r="G8935" s="101"/>
      <c r="H8935" s="101"/>
      <c r="I8935" s="101"/>
      <c r="K8935" s="226"/>
      <c r="L8935" s="226"/>
      <c r="M8935" s="101"/>
      <c r="N8935" s="101"/>
    </row>
    <row r="8936" spans="7:14" hidden="1" x14ac:dyDescent="0.3">
      <c r="G8936" s="101"/>
      <c r="H8936" s="101"/>
      <c r="I8936" s="101"/>
      <c r="K8936" s="226"/>
      <c r="L8936" s="226"/>
      <c r="M8936" s="101"/>
      <c r="N8936" s="101"/>
    </row>
    <row r="8937" spans="7:14" hidden="1" x14ac:dyDescent="0.3">
      <c r="G8937" s="101"/>
      <c r="H8937" s="101"/>
      <c r="I8937" s="101"/>
      <c r="K8937" s="226"/>
      <c r="L8937" s="226"/>
      <c r="M8937" s="101"/>
      <c r="N8937" s="101"/>
    </row>
    <row r="8938" spans="7:14" hidden="1" x14ac:dyDescent="0.3">
      <c r="G8938" s="101"/>
      <c r="H8938" s="101"/>
      <c r="I8938" s="101"/>
      <c r="K8938" s="226"/>
      <c r="L8938" s="226"/>
      <c r="M8938" s="101"/>
      <c r="N8938" s="101"/>
    </row>
    <row r="8939" spans="7:14" hidden="1" x14ac:dyDescent="0.3">
      <c r="G8939" s="101"/>
      <c r="H8939" s="101"/>
      <c r="I8939" s="101"/>
      <c r="K8939" s="226"/>
      <c r="L8939" s="226"/>
      <c r="M8939" s="101"/>
      <c r="N8939" s="101"/>
    </row>
    <row r="8940" spans="7:14" hidden="1" x14ac:dyDescent="0.3">
      <c r="G8940" s="101"/>
      <c r="H8940" s="101"/>
      <c r="I8940" s="101"/>
      <c r="K8940" s="226"/>
      <c r="L8940" s="226"/>
      <c r="M8940" s="101"/>
      <c r="N8940" s="101"/>
    </row>
    <row r="8941" spans="7:14" hidden="1" x14ac:dyDescent="0.3">
      <c r="G8941" s="101"/>
      <c r="H8941" s="101"/>
      <c r="I8941" s="101"/>
      <c r="K8941" s="226"/>
      <c r="L8941" s="226"/>
      <c r="M8941" s="101"/>
      <c r="N8941" s="101"/>
    </row>
    <row r="8942" spans="7:14" hidden="1" x14ac:dyDescent="0.3">
      <c r="G8942" s="101"/>
      <c r="H8942" s="101"/>
      <c r="I8942" s="101"/>
      <c r="K8942" s="226"/>
      <c r="L8942" s="226"/>
      <c r="M8942" s="101"/>
      <c r="N8942" s="101"/>
    </row>
    <row r="8943" spans="7:14" hidden="1" x14ac:dyDescent="0.3">
      <c r="G8943" s="101"/>
      <c r="H8943" s="101"/>
      <c r="I8943" s="101"/>
      <c r="K8943" s="226"/>
      <c r="L8943" s="226"/>
      <c r="M8943" s="101"/>
      <c r="N8943" s="101"/>
    </row>
    <row r="8944" spans="7:14" hidden="1" x14ac:dyDescent="0.3">
      <c r="G8944" s="101"/>
      <c r="H8944" s="101"/>
      <c r="I8944" s="101"/>
      <c r="K8944" s="226"/>
      <c r="L8944" s="226"/>
      <c r="M8944" s="101"/>
      <c r="N8944" s="101"/>
    </row>
    <row r="8945" spans="7:14" hidden="1" x14ac:dyDescent="0.3">
      <c r="G8945" s="101"/>
      <c r="H8945" s="101"/>
      <c r="I8945" s="101"/>
      <c r="K8945" s="226"/>
      <c r="L8945" s="226"/>
      <c r="M8945" s="101"/>
      <c r="N8945" s="101"/>
    </row>
    <row r="8946" spans="7:14" hidden="1" x14ac:dyDescent="0.3">
      <c r="G8946" s="101"/>
      <c r="H8946" s="101"/>
      <c r="I8946" s="101"/>
      <c r="K8946" s="226"/>
      <c r="L8946" s="226"/>
      <c r="M8946" s="101"/>
      <c r="N8946" s="101"/>
    </row>
    <row r="8947" spans="7:14" hidden="1" x14ac:dyDescent="0.3">
      <c r="G8947" s="101"/>
      <c r="H8947" s="101"/>
      <c r="I8947" s="101"/>
      <c r="K8947" s="226"/>
      <c r="L8947" s="226"/>
      <c r="M8947" s="101"/>
      <c r="N8947" s="101"/>
    </row>
    <row r="8948" spans="7:14" hidden="1" x14ac:dyDescent="0.3">
      <c r="G8948" s="101"/>
      <c r="H8948" s="101"/>
      <c r="I8948" s="101"/>
      <c r="K8948" s="226"/>
      <c r="L8948" s="226"/>
      <c r="M8948" s="101"/>
      <c r="N8948" s="101"/>
    </row>
    <row r="8949" spans="7:14" hidden="1" x14ac:dyDescent="0.3">
      <c r="G8949" s="101"/>
      <c r="H8949" s="101"/>
      <c r="I8949" s="101"/>
      <c r="K8949" s="226"/>
      <c r="L8949" s="226"/>
      <c r="M8949" s="101"/>
      <c r="N8949" s="101"/>
    </row>
    <row r="8950" spans="7:14" hidden="1" x14ac:dyDescent="0.3">
      <c r="G8950" s="101"/>
      <c r="H8950" s="101"/>
      <c r="I8950" s="101"/>
      <c r="K8950" s="226"/>
      <c r="L8950" s="226"/>
      <c r="M8950" s="101"/>
      <c r="N8950" s="101"/>
    </row>
    <row r="8951" spans="7:14" hidden="1" x14ac:dyDescent="0.3">
      <c r="G8951" s="101"/>
      <c r="H8951" s="101"/>
      <c r="I8951" s="101"/>
      <c r="K8951" s="226"/>
      <c r="L8951" s="226"/>
      <c r="M8951" s="101"/>
      <c r="N8951" s="101"/>
    </row>
    <row r="8952" spans="7:14" hidden="1" x14ac:dyDescent="0.3">
      <c r="G8952" s="101"/>
      <c r="H8952" s="101"/>
      <c r="I8952" s="101"/>
      <c r="K8952" s="226"/>
      <c r="L8952" s="226"/>
      <c r="M8952" s="101"/>
      <c r="N8952" s="101"/>
    </row>
    <row r="8953" spans="7:14" hidden="1" x14ac:dyDescent="0.3">
      <c r="G8953" s="101"/>
      <c r="H8953" s="101"/>
      <c r="I8953" s="101"/>
      <c r="K8953" s="226"/>
      <c r="L8953" s="226"/>
      <c r="M8953" s="101"/>
      <c r="N8953" s="101"/>
    </row>
    <row r="8954" spans="7:14" hidden="1" x14ac:dyDescent="0.3">
      <c r="G8954" s="101"/>
      <c r="H8954" s="101"/>
      <c r="I8954" s="101"/>
      <c r="K8954" s="226"/>
      <c r="L8954" s="226"/>
      <c r="M8954" s="101"/>
      <c r="N8954" s="101"/>
    </row>
    <row r="8955" spans="7:14" hidden="1" x14ac:dyDescent="0.3">
      <c r="G8955" s="101"/>
      <c r="H8955" s="101"/>
      <c r="I8955" s="101"/>
      <c r="K8955" s="226"/>
      <c r="L8955" s="226"/>
      <c r="M8955" s="101"/>
      <c r="N8955" s="101"/>
    </row>
    <row r="8956" spans="7:14" hidden="1" x14ac:dyDescent="0.3">
      <c r="G8956" s="101"/>
      <c r="H8956" s="101"/>
      <c r="I8956" s="101"/>
      <c r="K8956" s="226"/>
      <c r="L8956" s="226"/>
      <c r="M8956" s="101"/>
      <c r="N8956" s="101"/>
    </row>
    <row r="8957" spans="7:14" hidden="1" x14ac:dyDescent="0.3">
      <c r="G8957" s="101"/>
      <c r="H8957" s="101"/>
      <c r="I8957" s="101"/>
      <c r="K8957" s="226"/>
      <c r="L8957" s="226"/>
      <c r="M8957" s="101"/>
      <c r="N8957" s="101"/>
    </row>
    <row r="8958" spans="7:14" hidden="1" x14ac:dyDescent="0.3">
      <c r="G8958" s="101"/>
      <c r="H8958" s="101"/>
      <c r="I8958" s="101"/>
      <c r="K8958" s="226"/>
      <c r="L8958" s="226"/>
      <c r="M8958" s="101"/>
      <c r="N8958" s="101"/>
    </row>
    <row r="8959" spans="7:14" hidden="1" x14ac:dyDescent="0.3">
      <c r="G8959" s="101"/>
      <c r="H8959" s="101"/>
      <c r="I8959" s="101"/>
      <c r="K8959" s="226"/>
      <c r="L8959" s="226"/>
      <c r="M8959" s="101"/>
      <c r="N8959" s="101"/>
    </row>
    <row r="8960" spans="7:14" hidden="1" x14ac:dyDescent="0.3">
      <c r="G8960" s="101"/>
      <c r="H8960" s="101"/>
      <c r="I8960" s="101"/>
      <c r="K8960" s="226"/>
      <c r="L8960" s="226"/>
      <c r="M8960" s="101"/>
      <c r="N8960" s="101"/>
    </row>
    <row r="8961" spans="7:14" hidden="1" x14ac:dyDescent="0.3">
      <c r="G8961" s="101"/>
      <c r="H8961" s="101"/>
      <c r="I8961" s="101"/>
      <c r="K8961" s="226"/>
      <c r="L8961" s="226"/>
      <c r="M8961" s="101"/>
      <c r="N8961" s="101"/>
    </row>
    <row r="8962" spans="7:14" hidden="1" x14ac:dyDescent="0.3">
      <c r="G8962" s="101"/>
      <c r="H8962" s="101"/>
      <c r="I8962" s="101"/>
      <c r="K8962" s="226"/>
      <c r="L8962" s="226"/>
      <c r="M8962" s="101"/>
      <c r="N8962" s="101"/>
    </row>
    <row r="8963" spans="7:14" hidden="1" x14ac:dyDescent="0.3">
      <c r="G8963" s="101"/>
      <c r="H8963" s="101"/>
      <c r="I8963" s="101"/>
      <c r="K8963" s="226"/>
      <c r="L8963" s="226"/>
      <c r="M8963" s="101"/>
      <c r="N8963" s="101"/>
    </row>
    <row r="8964" spans="7:14" hidden="1" x14ac:dyDescent="0.3">
      <c r="G8964" s="101"/>
      <c r="H8964" s="101"/>
      <c r="I8964" s="101"/>
      <c r="K8964" s="226"/>
      <c r="L8964" s="226"/>
      <c r="M8964" s="101"/>
      <c r="N8964" s="101"/>
    </row>
    <row r="8965" spans="7:14" hidden="1" x14ac:dyDescent="0.3">
      <c r="G8965" s="101"/>
      <c r="H8965" s="101"/>
      <c r="I8965" s="101"/>
      <c r="K8965" s="226"/>
      <c r="L8965" s="226"/>
      <c r="M8965" s="101"/>
      <c r="N8965" s="101"/>
    </row>
    <row r="8966" spans="7:14" hidden="1" x14ac:dyDescent="0.3">
      <c r="G8966" s="101"/>
      <c r="H8966" s="101"/>
      <c r="I8966" s="101"/>
      <c r="K8966" s="226"/>
      <c r="L8966" s="226"/>
      <c r="M8966" s="101"/>
      <c r="N8966" s="101"/>
    </row>
    <row r="8967" spans="7:14" hidden="1" x14ac:dyDescent="0.3">
      <c r="G8967" s="101"/>
      <c r="H8967" s="101"/>
      <c r="I8967" s="101"/>
      <c r="K8967" s="226"/>
      <c r="L8967" s="226"/>
      <c r="M8967" s="101"/>
      <c r="N8967" s="101"/>
    </row>
    <row r="8968" spans="7:14" hidden="1" x14ac:dyDescent="0.3">
      <c r="G8968" s="101"/>
      <c r="H8968" s="101"/>
      <c r="I8968" s="101"/>
      <c r="K8968" s="226"/>
      <c r="L8968" s="226"/>
      <c r="M8968" s="101"/>
      <c r="N8968" s="101"/>
    </row>
    <row r="8969" spans="7:14" hidden="1" x14ac:dyDescent="0.3">
      <c r="G8969" s="101"/>
      <c r="H8969" s="101"/>
      <c r="I8969" s="101"/>
      <c r="K8969" s="226"/>
      <c r="L8969" s="226"/>
      <c r="M8969" s="101"/>
      <c r="N8969" s="101"/>
    </row>
    <row r="8970" spans="7:14" hidden="1" x14ac:dyDescent="0.3">
      <c r="G8970" s="101"/>
      <c r="H8970" s="101"/>
      <c r="I8970" s="101"/>
      <c r="K8970" s="226"/>
      <c r="L8970" s="226"/>
      <c r="M8970" s="101"/>
      <c r="N8970" s="101"/>
    </row>
    <row r="8971" spans="7:14" hidden="1" x14ac:dyDescent="0.3">
      <c r="G8971" s="101"/>
      <c r="H8971" s="101"/>
      <c r="I8971" s="101"/>
      <c r="K8971" s="226"/>
      <c r="L8971" s="226"/>
      <c r="M8971" s="101"/>
      <c r="N8971" s="101"/>
    </row>
    <row r="8972" spans="7:14" hidden="1" x14ac:dyDescent="0.3">
      <c r="G8972" s="101"/>
      <c r="H8972" s="101"/>
      <c r="I8972" s="101"/>
      <c r="K8972" s="226"/>
      <c r="L8972" s="226"/>
      <c r="M8972" s="101"/>
      <c r="N8972" s="101"/>
    </row>
    <row r="8973" spans="7:14" hidden="1" x14ac:dyDescent="0.3">
      <c r="G8973" s="101"/>
      <c r="H8973" s="101"/>
      <c r="I8973" s="101"/>
      <c r="K8973" s="226"/>
      <c r="L8973" s="226"/>
      <c r="M8973" s="101"/>
      <c r="N8973" s="101"/>
    </row>
    <row r="8974" spans="7:14" hidden="1" x14ac:dyDescent="0.3">
      <c r="G8974" s="101"/>
      <c r="H8974" s="101"/>
      <c r="I8974" s="101"/>
      <c r="K8974" s="226"/>
      <c r="L8974" s="226"/>
      <c r="M8974" s="101"/>
      <c r="N8974" s="101"/>
    </row>
    <row r="8975" spans="7:14" hidden="1" x14ac:dyDescent="0.3">
      <c r="G8975" s="101"/>
      <c r="H8975" s="101"/>
      <c r="I8975" s="101"/>
      <c r="K8975" s="226"/>
      <c r="L8975" s="226"/>
      <c r="M8975" s="101"/>
      <c r="N8975" s="101"/>
    </row>
    <row r="8976" spans="7:14" hidden="1" x14ac:dyDescent="0.3">
      <c r="G8976" s="101"/>
      <c r="H8976" s="101"/>
      <c r="I8976" s="101"/>
      <c r="K8976" s="226"/>
      <c r="L8976" s="226"/>
      <c r="M8976" s="101"/>
      <c r="N8976" s="101"/>
    </row>
    <row r="8977" spans="7:14" hidden="1" x14ac:dyDescent="0.3">
      <c r="G8977" s="101"/>
      <c r="H8977" s="101"/>
      <c r="I8977" s="101"/>
      <c r="K8977" s="226"/>
      <c r="L8977" s="226"/>
      <c r="M8977" s="101"/>
      <c r="N8977" s="101"/>
    </row>
    <row r="8978" spans="7:14" hidden="1" x14ac:dyDescent="0.3">
      <c r="G8978" s="101"/>
      <c r="H8978" s="101"/>
      <c r="I8978" s="101"/>
      <c r="K8978" s="226"/>
      <c r="L8978" s="226"/>
      <c r="M8978" s="101"/>
      <c r="N8978" s="101"/>
    </row>
    <row r="8979" spans="7:14" hidden="1" x14ac:dyDescent="0.3">
      <c r="G8979" s="101"/>
      <c r="H8979" s="101"/>
      <c r="I8979" s="101"/>
      <c r="K8979" s="226"/>
      <c r="L8979" s="226"/>
      <c r="M8979" s="101"/>
      <c r="N8979" s="101"/>
    </row>
    <row r="8980" spans="7:14" hidden="1" x14ac:dyDescent="0.3">
      <c r="G8980" s="101"/>
      <c r="H8980" s="101"/>
      <c r="I8980" s="101"/>
      <c r="K8980" s="226"/>
      <c r="L8980" s="226"/>
      <c r="M8980" s="101"/>
      <c r="N8980" s="101"/>
    </row>
    <row r="8981" spans="7:14" hidden="1" x14ac:dyDescent="0.3">
      <c r="G8981" s="101"/>
      <c r="H8981" s="101"/>
      <c r="I8981" s="101"/>
      <c r="K8981" s="226"/>
      <c r="L8981" s="226"/>
      <c r="M8981" s="101"/>
      <c r="N8981" s="101"/>
    </row>
    <row r="8982" spans="7:14" hidden="1" x14ac:dyDescent="0.3">
      <c r="G8982" s="101"/>
      <c r="H8982" s="101"/>
      <c r="I8982" s="101"/>
      <c r="K8982" s="226"/>
      <c r="L8982" s="226"/>
      <c r="M8982" s="101"/>
      <c r="N8982" s="101"/>
    </row>
    <row r="8983" spans="7:14" hidden="1" x14ac:dyDescent="0.3">
      <c r="G8983" s="101"/>
      <c r="H8983" s="101"/>
      <c r="I8983" s="101"/>
      <c r="K8983" s="226"/>
      <c r="L8983" s="226"/>
      <c r="M8983" s="101"/>
      <c r="N8983" s="101"/>
    </row>
    <row r="8984" spans="7:14" hidden="1" x14ac:dyDescent="0.3">
      <c r="G8984" s="101"/>
      <c r="H8984" s="101"/>
      <c r="I8984" s="101"/>
      <c r="K8984" s="226"/>
      <c r="L8984" s="226"/>
      <c r="M8984" s="101"/>
      <c r="N8984" s="101"/>
    </row>
    <row r="8985" spans="7:14" hidden="1" x14ac:dyDescent="0.3">
      <c r="G8985" s="101"/>
      <c r="H8985" s="101"/>
      <c r="I8985" s="101"/>
      <c r="K8985" s="226"/>
      <c r="L8985" s="226"/>
      <c r="M8985" s="101"/>
      <c r="N8985" s="101"/>
    </row>
    <row r="8986" spans="7:14" hidden="1" x14ac:dyDescent="0.3">
      <c r="G8986" s="101"/>
      <c r="H8986" s="101"/>
      <c r="I8986" s="101"/>
      <c r="K8986" s="226"/>
      <c r="L8986" s="226"/>
      <c r="M8986" s="101"/>
      <c r="N8986" s="101"/>
    </row>
    <row r="8987" spans="7:14" hidden="1" x14ac:dyDescent="0.3">
      <c r="G8987" s="101"/>
      <c r="H8987" s="101"/>
      <c r="I8987" s="101"/>
      <c r="K8987" s="226"/>
      <c r="L8987" s="226"/>
      <c r="M8987" s="101"/>
      <c r="N8987" s="101"/>
    </row>
    <row r="8988" spans="7:14" hidden="1" x14ac:dyDescent="0.3">
      <c r="G8988" s="101"/>
      <c r="H8988" s="101"/>
      <c r="I8988" s="101"/>
      <c r="K8988" s="226"/>
      <c r="L8988" s="226"/>
      <c r="M8988" s="101"/>
      <c r="N8988" s="101"/>
    </row>
    <row r="8989" spans="7:14" hidden="1" x14ac:dyDescent="0.3">
      <c r="G8989" s="101"/>
      <c r="H8989" s="101"/>
      <c r="I8989" s="101"/>
      <c r="K8989" s="226"/>
      <c r="L8989" s="226"/>
      <c r="M8989" s="101"/>
      <c r="N8989" s="101"/>
    </row>
    <row r="8990" spans="7:14" hidden="1" x14ac:dyDescent="0.3">
      <c r="G8990" s="101"/>
      <c r="H8990" s="101"/>
      <c r="I8990" s="101"/>
      <c r="K8990" s="226"/>
      <c r="L8990" s="226"/>
      <c r="M8990" s="101"/>
      <c r="N8990" s="101"/>
    </row>
    <row r="8991" spans="7:14" hidden="1" x14ac:dyDescent="0.3">
      <c r="G8991" s="101"/>
      <c r="H8991" s="101"/>
      <c r="I8991" s="101"/>
      <c r="K8991" s="226"/>
      <c r="L8991" s="226"/>
      <c r="M8991" s="101"/>
      <c r="N8991" s="101"/>
    </row>
    <row r="8992" spans="7:14" hidden="1" x14ac:dyDescent="0.3">
      <c r="G8992" s="101"/>
      <c r="H8992" s="101"/>
      <c r="I8992" s="101"/>
      <c r="K8992" s="226"/>
      <c r="L8992" s="226"/>
      <c r="M8992" s="101"/>
      <c r="N8992" s="101"/>
    </row>
    <row r="8993" spans="7:14" hidden="1" x14ac:dyDescent="0.3">
      <c r="G8993" s="101"/>
      <c r="H8993" s="101"/>
      <c r="I8993" s="101"/>
      <c r="K8993" s="226"/>
      <c r="L8993" s="226"/>
      <c r="M8993" s="101"/>
      <c r="N8993" s="101"/>
    </row>
    <row r="8994" spans="7:14" hidden="1" x14ac:dyDescent="0.3">
      <c r="G8994" s="101"/>
      <c r="H8994" s="101"/>
      <c r="I8994" s="101"/>
      <c r="K8994" s="226"/>
      <c r="L8994" s="226"/>
      <c r="M8994" s="101"/>
      <c r="N8994" s="101"/>
    </row>
    <row r="8995" spans="7:14" hidden="1" x14ac:dyDescent="0.3">
      <c r="G8995" s="101"/>
      <c r="H8995" s="101"/>
      <c r="I8995" s="101"/>
      <c r="K8995" s="226"/>
      <c r="L8995" s="226"/>
      <c r="M8995" s="101"/>
      <c r="N8995" s="101"/>
    </row>
    <row r="8996" spans="7:14" hidden="1" x14ac:dyDescent="0.3">
      <c r="G8996" s="101"/>
      <c r="H8996" s="101"/>
      <c r="I8996" s="101"/>
      <c r="K8996" s="226"/>
      <c r="L8996" s="226"/>
      <c r="M8996" s="101"/>
      <c r="N8996" s="101"/>
    </row>
    <row r="8997" spans="7:14" hidden="1" x14ac:dyDescent="0.3">
      <c r="G8997" s="101"/>
      <c r="H8997" s="101"/>
      <c r="I8997" s="101"/>
      <c r="K8997" s="226"/>
      <c r="L8997" s="226"/>
      <c r="M8997" s="101"/>
      <c r="N8997" s="101"/>
    </row>
    <row r="8998" spans="7:14" hidden="1" x14ac:dyDescent="0.3">
      <c r="G8998" s="101"/>
      <c r="H8998" s="101"/>
      <c r="I8998" s="101"/>
      <c r="K8998" s="226"/>
      <c r="L8998" s="226"/>
      <c r="M8998" s="101"/>
      <c r="N8998" s="101"/>
    </row>
    <row r="8999" spans="7:14" hidden="1" x14ac:dyDescent="0.3">
      <c r="G8999" s="101"/>
      <c r="H8999" s="101"/>
      <c r="I8999" s="101"/>
      <c r="K8999" s="226"/>
      <c r="L8999" s="226"/>
      <c r="M8999" s="101"/>
      <c r="N8999" s="101"/>
    </row>
    <row r="9000" spans="7:14" hidden="1" x14ac:dyDescent="0.3">
      <c r="G9000" s="101"/>
      <c r="H9000" s="101"/>
      <c r="I9000" s="101"/>
      <c r="K9000" s="226"/>
      <c r="L9000" s="226"/>
      <c r="M9000" s="101"/>
      <c r="N9000" s="101"/>
    </row>
    <row r="9001" spans="7:14" hidden="1" x14ac:dyDescent="0.3">
      <c r="G9001" s="101"/>
      <c r="H9001" s="101"/>
      <c r="I9001" s="101"/>
      <c r="K9001" s="226"/>
      <c r="L9001" s="226"/>
      <c r="M9001" s="101"/>
      <c r="N9001" s="101"/>
    </row>
    <row r="9002" spans="7:14" hidden="1" x14ac:dyDescent="0.3">
      <c r="G9002" s="101"/>
      <c r="H9002" s="101"/>
      <c r="I9002" s="101"/>
      <c r="K9002" s="226"/>
      <c r="L9002" s="226"/>
      <c r="M9002" s="101"/>
      <c r="N9002" s="101"/>
    </row>
    <row r="9003" spans="7:14" hidden="1" x14ac:dyDescent="0.3">
      <c r="G9003" s="101"/>
      <c r="H9003" s="101"/>
      <c r="I9003" s="101"/>
      <c r="K9003" s="226"/>
      <c r="L9003" s="226"/>
      <c r="M9003" s="101"/>
      <c r="N9003" s="101"/>
    </row>
    <row r="9004" spans="7:14" hidden="1" x14ac:dyDescent="0.3">
      <c r="G9004" s="101"/>
      <c r="H9004" s="101"/>
      <c r="I9004" s="101"/>
      <c r="K9004" s="226"/>
      <c r="L9004" s="226"/>
      <c r="M9004" s="101"/>
      <c r="N9004" s="101"/>
    </row>
    <row r="9005" spans="7:14" hidden="1" x14ac:dyDescent="0.3">
      <c r="G9005" s="101"/>
      <c r="H9005" s="101"/>
      <c r="I9005" s="101"/>
      <c r="K9005" s="226"/>
      <c r="L9005" s="226"/>
      <c r="M9005" s="101"/>
      <c r="N9005" s="101"/>
    </row>
    <row r="9006" spans="7:14" hidden="1" x14ac:dyDescent="0.3">
      <c r="G9006" s="101"/>
      <c r="H9006" s="101"/>
      <c r="I9006" s="101"/>
      <c r="K9006" s="226"/>
      <c r="L9006" s="226"/>
      <c r="M9006" s="101"/>
      <c r="N9006" s="101"/>
    </row>
    <row r="9007" spans="7:14" hidden="1" x14ac:dyDescent="0.3">
      <c r="G9007" s="101"/>
      <c r="H9007" s="101"/>
      <c r="I9007" s="101"/>
      <c r="K9007" s="226"/>
      <c r="L9007" s="226"/>
      <c r="M9007" s="101"/>
      <c r="N9007" s="101"/>
    </row>
    <row r="9008" spans="7:14" hidden="1" x14ac:dyDescent="0.3">
      <c r="G9008" s="101"/>
      <c r="H9008" s="101"/>
      <c r="I9008" s="101"/>
      <c r="K9008" s="226"/>
      <c r="L9008" s="226"/>
      <c r="M9008" s="101"/>
      <c r="N9008" s="101"/>
    </row>
    <row r="9009" spans="7:14" hidden="1" x14ac:dyDescent="0.3">
      <c r="G9009" s="101"/>
      <c r="H9009" s="101"/>
      <c r="I9009" s="101"/>
      <c r="K9009" s="226"/>
      <c r="L9009" s="226"/>
      <c r="M9009" s="101"/>
      <c r="N9009" s="101"/>
    </row>
    <row r="9010" spans="7:14" hidden="1" x14ac:dyDescent="0.3">
      <c r="G9010" s="101"/>
      <c r="H9010" s="101"/>
      <c r="I9010" s="101"/>
      <c r="K9010" s="226"/>
      <c r="L9010" s="226"/>
      <c r="M9010" s="101"/>
      <c r="N9010" s="101"/>
    </row>
    <row r="9011" spans="7:14" hidden="1" x14ac:dyDescent="0.3">
      <c r="G9011" s="101"/>
      <c r="H9011" s="101"/>
      <c r="I9011" s="101"/>
      <c r="K9011" s="226"/>
      <c r="L9011" s="226"/>
      <c r="M9011" s="101"/>
      <c r="N9011" s="101"/>
    </row>
    <row r="9012" spans="7:14" hidden="1" x14ac:dyDescent="0.3">
      <c r="G9012" s="101"/>
      <c r="H9012" s="101"/>
      <c r="I9012" s="101"/>
      <c r="K9012" s="226"/>
      <c r="L9012" s="226"/>
      <c r="M9012" s="101"/>
      <c r="N9012" s="101"/>
    </row>
    <row r="9013" spans="7:14" hidden="1" x14ac:dyDescent="0.3">
      <c r="G9013" s="101"/>
      <c r="H9013" s="101"/>
      <c r="I9013" s="101"/>
      <c r="K9013" s="226"/>
      <c r="L9013" s="226"/>
      <c r="M9013" s="101"/>
      <c r="N9013" s="101"/>
    </row>
    <row r="9014" spans="7:14" hidden="1" x14ac:dyDescent="0.3">
      <c r="G9014" s="101"/>
      <c r="H9014" s="101"/>
      <c r="I9014" s="101"/>
      <c r="K9014" s="226"/>
      <c r="L9014" s="226"/>
      <c r="M9014" s="101"/>
      <c r="N9014" s="101"/>
    </row>
    <row r="9015" spans="7:14" hidden="1" x14ac:dyDescent="0.3">
      <c r="G9015" s="101"/>
      <c r="H9015" s="101"/>
      <c r="I9015" s="101"/>
      <c r="K9015" s="226"/>
      <c r="L9015" s="226"/>
      <c r="M9015" s="101"/>
      <c r="N9015" s="101"/>
    </row>
    <row r="9016" spans="7:14" hidden="1" x14ac:dyDescent="0.3">
      <c r="G9016" s="101"/>
      <c r="H9016" s="101"/>
      <c r="I9016" s="101"/>
      <c r="K9016" s="226"/>
      <c r="L9016" s="226"/>
      <c r="M9016" s="101"/>
      <c r="N9016" s="101"/>
    </row>
    <row r="9017" spans="7:14" hidden="1" x14ac:dyDescent="0.3">
      <c r="G9017" s="101"/>
      <c r="H9017" s="101"/>
      <c r="I9017" s="101"/>
      <c r="K9017" s="226"/>
      <c r="L9017" s="226"/>
      <c r="M9017" s="101"/>
      <c r="N9017" s="101"/>
    </row>
    <row r="9018" spans="7:14" hidden="1" x14ac:dyDescent="0.3">
      <c r="G9018" s="101"/>
      <c r="H9018" s="101"/>
      <c r="I9018" s="101"/>
      <c r="K9018" s="226"/>
      <c r="L9018" s="226"/>
      <c r="M9018" s="101"/>
      <c r="N9018" s="101"/>
    </row>
    <row r="9019" spans="7:14" hidden="1" x14ac:dyDescent="0.3">
      <c r="G9019" s="101"/>
      <c r="H9019" s="101"/>
      <c r="I9019" s="101"/>
      <c r="K9019" s="226"/>
      <c r="L9019" s="226"/>
      <c r="M9019" s="101"/>
      <c r="N9019" s="101"/>
    </row>
    <row r="9020" spans="7:14" hidden="1" x14ac:dyDescent="0.3">
      <c r="G9020" s="101"/>
      <c r="H9020" s="101"/>
      <c r="I9020" s="101"/>
      <c r="K9020" s="226"/>
      <c r="L9020" s="226"/>
      <c r="M9020" s="101"/>
      <c r="N9020" s="101"/>
    </row>
    <row r="9021" spans="7:14" hidden="1" x14ac:dyDescent="0.3">
      <c r="G9021" s="101"/>
      <c r="H9021" s="101"/>
      <c r="I9021" s="101"/>
      <c r="K9021" s="226"/>
      <c r="L9021" s="226"/>
      <c r="M9021" s="101"/>
      <c r="N9021" s="101"/>
    </row>
    <row r="9022" spans="7:14" hidden="1" x14ac:dyDescent="0.3">
      <c r="G9022" s="101"/>
      <c r="H9022" s="101"/>
      <c r="I9022" s="101"/>
      <c r="K9022" s="226"/>
      <c r="L9022" s="226"/>
      <c r="M9022" s="101"/>
      <c r="N9022" s="101"/>
    </row>
    <row r="9023" spans="7:14" hidden="1" x14ac:dyDescent="0.3">
      <c r="G9023" s="101"/>
      <c r="H9023" s="101"/>
      <c r="I9023" s="101"/>
      <c r="K9023" s="226"/>
      <c r="L9023" s="226"/>
      <c r="M9023" s="101"/>
      <c r="N9023" s="101"/>
    </row>
    <row r="9024" spans="7:14" hidden="1" x14ac:dyDescent="0.3">
      <c r="G9024" s="101"/>
      <c r="H9024" s="101"/>
      <c r="I9024" s="101"/>
      <c r="K9024" s="226"/>
      <c r="L9024" s="226"/>
      <c r="M9024" s="101"/>
      <c r="N9024" s="101"/>
    </row>
    <row r="9025" spans="7:14" hidden="1" x14ac:dyDescent="0.3">
      <c r="G9025" s="101"/>
      <c r="H9025" s="101"/>
      <c r="I9025" s="101"/>
      <c r="K9025" s="226"/>
      <c r="L9025" s="226"/>
      <c r="M9025" s="101"/>
      <c r="N9025" s="101"/>
    </row>
    <row r="9026" spans="7:14" hidden="1" x14ac:dyDescent="0.3">
      <c r="G9026" s="101"/>
      <c r="H9026" s="101"/>
      <c r="I9026" s="101"/>
      <c r="K9026" s="226"/>
      <c r="L9026" s="226"/>
      <c r="M9026" s="101"/>
      <c r="N9026" s="101"/>
    </row>
    <row r="9027" spans="7:14" hidden="1" x14ac:dyDescent="0.3">
      <c r="G9027" s="101"/>
      <c r="H9027" s="101"/>
      <c r="I9027" s="101"/>
      <c r="K9027" s="226"/>
      <c r="L9027" s="226"/>
      <c r="M9027" s="101"/>
      <c r="N9027" s="101"/>
    </row>
    <row r="9028" spans="7:14" hidden="1" x14ac:dyDescent="0.3">
      <c r="G9028" s="101"/>
      <c r="H9028" s="101"/>
      <c r="I9028" s="101"/>
      <c r="K9028" s="226"/>
      <c r="L9028" s="226"/>
      <c r="M9028" s="101"/>
      <c r="N9028" s="101"/>
    </row>
    <row r="9029" spans="7:14" hidden="1" x14ac:dyDescent="0.3">
      <c r="G9029" s="101"/>
      <c r="H9029" s="101"/>
      <c r="I9029" s="101"/>
      <c r="K9029" s="226"/>
      <c r="L9029" s="226"/>
      <c r="M9029" s="101"/>
      <c r="N9029" s="101"/>
    </row>
    <row r="9030" spans="7:14" hidden="1" x14ac:dyDescent="0.3">
      <c r="G9030" s="101"/>
      <c r="H9030" s="101"/>
      <c r="I9030" s="101"/>
      <c r="K9030" s="226"/>
      <c r="L9030" s="226"/>
      <c r="M9030" s="101"/>
      <c r="N9030" s="101"/>
    </row>
    <row r="9031" spans="7:14" hidden="1" x14ac:dyDescent="0.3">
      <c r="G9031" s="101"/>
      <c r="H9031" s="101"/>
      <c r="I9031" s="101"/>
      <c r="K9031" s="226"/>
      <c r="L9031" s="226"/>
      <c r="M9031" s="101"/>
      <c r="N9031" s="101"/>
    </row>
    <row r="9032" spans="7:14" hidden="1" x14ac:dyDescent="0.3">
      <c r="G9032" s="101"/>
      <c r="H9032" s="101"/>
      <c r="I9032" s="101"/>
      <c r="K9032" s="226"/>
      <c r="L9032" s="226"/>
      <c r="M9032" s="101"/>
      <c r="N9032" s="101"/>
    </row>
    <row r="9033" spans="7:14" hidden="1" x14ac:dyDescent="0.3">
      <c r="G9033" s="101"/>
      <c r="H9033" s="101"/>
      <c r="I9033" s="101"/>
      <c r="K9033" s="226"/>
      <c r="L9033" s="226"/>
      <c r="M9033" s="101"/>
      <c r="N9033" s="101"/>
    </row>
    <row r="9034" spans="7:14" hidden="1" x14ac:dyDescent="0.3">
      <c r="G9034" s="101"/>
      <c r="H9034" s="101"/>
      <c r="I9034" s="101"/>
      <c r="K9034" s="226"/>
      <c r="L9034" s="226"/>
      <c r="M9034" s="101"/>
      <c r="N9034" s="101"/>
    </row>
    <row r="9035" spans="7:14" hidden="1" x14ac:dyDescent="0.3">
      <c r="G9035" s="101"/>
      <c r="H9035" s="101"/>
      <c r="I9035" s="101"/>
      <c r="K9035" s="226"/>
      <c r="L9035" s="226"/>
      <c r="M9035" s="101"/>
      <c r="N9035" s="101"/>
    </row>
    <row r="9036" spans="7:14" hidden="1" x14ac:dyDescent="0.3">
      <c r="G9036" s="101"/>
      <c r="H9036" s="101"/>
      <c r="I9036" s="101"/>
      <c r="K9036" s="226"/>
      <c r="L9036" s="226"/>
      <c r="M9036" s="101"/>
      <c r="N9036" s="101"/>
    </row>
    <row r="9037" spans="7:14" hidden="1" x14ac:dyDescent="0.3">
      <c r="G9037" s="101"/>
      <c r="H9037" s="101"/>
      <c r="I9037" s="101"/>
      <c r="K9037" s="226"/>
      <c r="L9037" s="226"/>
      <c r="M9037" s="101"/>
      <c r="N9037" s="101"/>
    </row>
    <row r="9038" spans="7:14" hidden="1" x14ac:dyDescent="0.3">
      <c r="G9038" s="101"/>
      <c r="H9038" s="101"/>
      <c r="I9038" s="101"/>
      <c r="K9038" s="226"/>
      <c r="L9038" s="226"/>
      <c r="M9038" s="101"/>
      <c r="N9038" s="101"/>
    </row>
    <row r="9039" spans="7:14" hidden="1" x14ac:dyDescent="0.3">
      <c r="G9039" s="101"/>
      <c r="H9039" s="101"/>
      <c r="I9039" s="101"/>
      <c r="K9039" s="226"/>
      <c r="L9039" s="226"/>
      <c r="M9039" s="101"/>
      <c r="N9039" s="101"/>
    </row>
    <row r="9040" spans="7:14" hidden="1" x14ac:dyDescent="0.3">
      <c r="G9040" s="101"/>
      <c r="H9040" s="101"/>
      <c r="I9040" s="101"/>
      <c r="K9040" s="226"/>
      <c r="L9040" s="226"/>
      <c r="M9040" s="101"/>
      <c r="N9040" s="101"/>
    </row>
    <row r="9041" spans="7:14" hidden="1" x14ac:dyDescent="0.3">
      <c r="G9041" s="101"/>
      <c r="H9041" s="101"/>
      <c r="I9041" s="101"/>
      <c r="K9041" s="226"/>
      <c r="L9041" s="226"/>
      <c r="M9041" s="101"/>
      <c r="N9041" s="101"/>
    </row>
    <row r="9042" spans="7:14" hidden="1" x14ac:dyDescent="0.3">
      <c r="G9042" s="101"/>
      <c r="H9042" s="101"/>
      <c r="I9042" s="101"/>
      <c r="K9042" s="226"/>
      <c r="L9042" s="226"/>
      <c r="M9042" s="101"/>
      <c r="N9042" s="101"/>
    </row>
    <row r="9043" spans="7:14" hidden="1" x14ac:dyDescent="0.3">
      <c r="G9043" s="101"/>
      <c r="H9043" s="101"/>
      <c r="I9043" s="101"/>
      <c r="K9043" s="226"/>
      <c r="L9043" s="226"/>
      <c r="M9043" s="101"/>
      <c r="N9043" s="101"/>
    </row>
    <row r="9044" spans="7:14" hidden="1" x14ac:dyDescent="0.3">
      <c r="G9044" s="101"/>
      <c r="H9044" s="101"/>
      <c r="I9044" s="101"/>
      <c r="K9044" s="226"/>
      <c r="L9044" s="226"/>
      <c r="M9044" s="101"/>
      <c r="N9044" s="101"/>
    </row>
    <row r="9045" spans="7:14" hidden="1" x14ac:dyDescent="0.3">
      <c r="G9045" s="101"/>
      <c r="H9045" s="101"/>
      <c r="I9045" s="101"/>
      <c r="K9045" s="226"/>
      <c r="L9045" s="226"/>
      <c r="M9045" s="101"/>
      <c r="N9045" s="101"/>
    </row>
    <row r="9046" spans="7:14" hidden="1" x14ac:dyDescent="0.3">
      <c r="G9046" s="101"/>
      <c r="H9046" s="101"/>
      <c r="I9046" s="101"/>
      <c r="K9046" s="226"/>
      <c r="L9046" s="226"/>
      <c r="M9046" s="101"/>
      <c r="N9046" s="101"/>
    </row>
    <row r="9047" spans="7:14" hidden="1" x14ac:dyDescent="0.3">
      <c r="G9047" s="101"/>
      <c r="H9047" s="101"/>
      <c r="I9047" s="101"/>
      <c r="K9047" s="226"/>
      <c r="L9047" s="226"/>
      <c r="M9047" s="101"/>
      <c r="N9047" s="101"/>
    </row>
    <row r="9048" spans="7:14" hidden="1" x14ac:dyDescent="0.3">
      <c r="G9048" s="101"/>
      <c r="H9048" s="101"/>
      <c r="I9048" s="101"/>
      <c r="K9048" s="226"/>
      <c r="L9048" s="226"/>
      <c r="M9048" s="101"/>
      <c r="N9048" s="101"/>
    </row>
    <row r="9049" spans="7:14" hidden="1" x14ac:dyDescent="0.3">
      <c r="G9049" s="101"/>
      <c r="H9049" s="101"/>
      <c r="I9049" s="101"/>
      <c r="K9049" s="226"/>
      <c r="L9049" s="226"/>
      <c r="M9049" s="101"/>
      <c r="N9049" s="101"/>
    </row>
    <row r="9050" spans="7:14" hidden="1" x14ac:dyDescent="0.3">
      <c r="G9050" s="101"/>
      <c r="H9050" s="101"/>
      <c r="I9050" s="101"/>
      <c r="K9050" s="226"/>
      <c r="L9050" s="226"/>
      <c r="M9050" s="101"/>
      <c r="N9050" s="101"/>
    </row>
    <row r="9051" spans="7:14" hidden="1" x14ac:dyDescent="0.3">
      <c r="G9051" s="101"/>
      <c r="H9051" s="101"/>
      <c r="I9051" s="101"/>
      <c r="K9051" s="226"/>
      <c r="L9051" s="226"/>
      <c r="M9051" s="101"/>
      <c r="N9051" s="101"/>
    </row>
    <row r="9052" spans="7:14" hidden="1" x14ac:dyDescent="0.3">
      <c r="G9052" s="101"/>
      <c r="H9052" s="101"/>
      <c r="I9052" s="101"/>
      <c r="K9052" s="226"/>
      <c r="L9052" s="226"/>
      <c r="M9052" s="101"/>
      <c r="N9052" s="101"/>
    </row>
    <row r="9053" spans="7:14" hidden="1" x14ac:dyDescent="0.3">
      <c r="G9053" s="101"/>
      <c r="H9053" s="101"/>
      <c r="I9053" s="101"/>
      <c r="K9053" s="226"/>
      <c r="L9053" s="226"/>
      <c r="M9053" s="101"/>
      <c r="N9053" s="101"/>
    </row>
    <row r="9054" spans="7:14" hidden="1" x14ac:dyDescent="0.3">
      <c r="G9054" s="101"/>
      <c r="H9054" s="101"/>
      <c r="I9054" s="101"/>
      <c r="K9054" s="226"/>
      <c r="L9054" s="226"/>
      <c r="M9054" s="101"/>
      <c r="N9054" s="101"/>
    </row>
    <row r="9055" spans="7:14" hidden="1" x14ac:dyDescent="0.3">
      <c r="G9055" s="101"/>
      <c r="H9055" s="101"/>
      <c r="I9055" s="101"/>
      <c r="K9055" s="226"/>
      <c r="L9055" s="226"/>
      <c r="M9055" s="101"/>
      <c r="N9055" s="101"/>
    </row>
    <row r="9056" spans="7:14" hidden="1" x14ac:dyDescent="0.3">
      <c r="G9056" s="101"/>
      <c r="H9056" s="101"/>
      <c r="I9056" s="101"/>
      <c r="K9056" s="226"/>
      <c r="L9056" s="226"/>
      <c r="M9056" s="101"/>
      <c r="N9056" s="101"/>
    </row>
    <row r="9057" spans="7:14" hidden="1" x14ac:dyDescent="0.3">
      <c r="G9057" s="101"/>
      <c r="H9057" s="101"/>
      <c r="I9057" s="101"/>
      <c r="K9057" s="226"/>
      <c r="L9057" s="226"/>
      <c r="M9057" s="101"/>
      <c r="N9057" s="101"/>
    </row>
    <row r="9058" spans="7:14" hidden="1" x14ac:dyDescent="0.3">
      <c r="G9058" s="101"/>
      <c r="H9058" s="101"/>
      <c r="I9058" s="101"/>
      <c r="K9058" s="226"/>
      <c r="L9058" s="226"/>
      <c r="M9058" s="101"/>
      <c r="N9058" s="101"/>
    </row>
    <row r="9059" spans="7:14" hidden="1" x14ac:dyDescent="0.3">
      <c r="G9059" s="101"/>
      <c r="H9059" s="101"/>
      <c r="I9059" s="101"/>
      <c r="K9059" s="226"/>
      <c r="L9059" s="226"/>
      <c r="M9059" s="101"/>
      <c r="N9059" s="101"/>
    </row>
    <row r="9060" spans="7:14" hidden="1" x14ac:dyDescent="0.3">
      <c r="G9060" s="101"/>
      <c r="H9060" s="101"/>
      <c r="I9060" s="101"/>
      <c r="K9060" s="226"/>
      <c r="L9060" s="226"/>
      <c r="M9060" s="101"/>
      <c r="N9060" s="101"/>
    </row>
    <row r="9061" spans="7:14" hidden="1" x14ac:dyDescent="0.3">
      <c r="G9061" s="101"/>
      <c r="H9061" s="101"/>
      <c r="I9061" s="101"/>
      <c r="K9061" s="226"/>
      <c r="L9061" s="226"/>
      <c r="M9061" s="101"/>
      <c r="N9061" s="101"/>
    </row>
    <row r="9062" spans="7:14" hidden="1" x14ac:dyDescent="0.3">
      <c r="G9062" s="101"/>
      <c r="H9062" s="101"/>
      <c r="I9062" s="101"/>
      <c r="K9062" s="226"/>
      <c r="L9062" s="226"/>
      <c r="M9062" s="101"/>
      <c r="N9062" s="101"/>
    </row>
    <row r="9063" spans="7:14" hidden="1" x14ac:dyDescent="0.3">
      <c r="G9063" s="101"/>
      <c r="H9063" s="101"/>
      <c r="I9063" s="101"/>
      <c r="K9063" s="226"/>
      <c r="L9063" s="226"/>
      <c r="M9063" s="101"/>
      <c r="N9063" s="101"/>
    </row>
    <row r="9064" spans="7:14" hidden="1" x14ac:dyDescent="0.3">
      <c r="G9064" s="101"/>
      <c r="H9064" s="101"/>
      <c r="I9064" s="101"/>
      <c r="K9064" s="226"/>
      <c r="L9064" s="226"/>
      <c r="M9064" s="101"/>
      <c r="N9064" s="101"/>
    </row>
    <row r="9065" spans="7:14" hidden="1" x14ac:dyDescent="0.3">
      <c r="G9065" s="101"/>
      <c r="H9065" s="101"/>
      <c r="I9065" s="101"/>
      <c r="K9065" s="226"/>
      <c r="L9065" s="226"/>
      <c r="M9065" s="101"/>
      <c r="N9065" s="101"/>
    </row>
    <row r="9066" spans="7:14" hidden="1" x14ac:dyDescent="0.3">
      <c r="G9066" s="101"/>
      <c r="H9066" s="101"/>
      <c r="I9066" s="101"/>
      <c r="K9066" s="226"/>
      <c r="L9066" s="226"/>
      <c r="M9066" s="101"/>
      <c r="N9066" s="101"/>
    </row>
    <row r="9067" spans="7:14" hidden="1" x14ac:dyDescent="0.3">
      <c r="G9067" s="101"/>
      <c r="H9067" s="101"/>
      <c r="I9067" s="101"/>
      <c r="K9067" s="226"/>
      <c r="L9067" s="226"/>
      <c r="M9067" s="101"/>
      <c r="N9067" s="101"/>
    </row>
    <row r="9068" spans="7:14" hidden="1" x14ac:dyDescent="0.3">
      <c r="G9068" s="101"/>
      <c r="H9068" s="101"/>
      <c r="I9068" s="101"/>
      <c r="K9068" s="226"/>
      <c r="L9068" s="226"/>
      <c r="M9068" s="101"/>
      <c r="N9068" s="101"/>
    </row>
    <row r="9069" spans="7:14" hidden="1" x14ac:dyDescent="0.3">
      <c r="G9069" s="101"/>
      <c r="H9069" s="101"/>
      <c r="I9069" s="101"/>
      <c r="K9069" s="226"/>
      <c r="L9069" s="226"/>
      <c r="M9069" s="101"/>
      <c r="N9069" s="101"/>
    </row>
    <row r="9070" spans="7:14" hidden="1" x14ac:dyDescent="0.3">
      <c r="G9070" s="101"/>
      <c r="H9070" s="101"/>
      <c r="I9070" s="101"/>
      <c r="K9070" s="226"/>
      <c r="L9070" s="226"/>
      <c r="M9070" s="101"/>
      <c r="N9070" s="101"/>
    </row>
    <row r="9071" spans="7:14" hidden="1" x14ac:dyDescent="0.3">
      <c r="G9071" s="101"/>
      <c r="H9071" s="101"/>
      <c r="I9071" s="101"/>
      <c r="K9071" s="226"/>
      <c r="L9071" s="226"/>
      <c r="M9071" s="101"/>
      <c r="N9071" s="101"/>
    </row>
    <row r="9072" spans="7:14" hidden="1" x14ac:dyDescent="0.3">
      <c r="G9072" s="101"/>
      <c r="H9072" s="101"/>
      <c r="I9072" s="101"/>
      <c r="K9072" s="226"/>
      <c r="L9072" s="226"/>
      <c r="M9072" s="101"/>
      <c r="N9072" s="101"/>
    </row>
    <row r="9073" spans="7:14" hidden="1" x14ac:dyDescent="0.3">
      <c r="G9073" s="101"/>
      <c r="H9073" s="101"/>
      <c r="I9073" s="101"/>
      <c r="K9073" s="226"/>
      <c r="L9073" s="226"/>
      <c r="M9073" s="101"/>
      <c r="N9073" s="101"/>
    </row>
    <row r="9074" spans="7:14" hidden="1" x14ac:dyDescent="0.3">
      <c r="G9074" s="101"/>
      <c r="H9074" s="101"/>
      <c r="I9074" s="101"/>
      <c r="K9074" s="226"/>
      <c r="L9074" s="226"/>
      <c r="M9074" s="101"/>
      <c r="N9074" s="101"/>
    </row>
    <row r="9075" spans="7:14" hidden="1" x14ac:dyDescent="0.3">
      <c r="G9075" s="101"/>
      <c r="H9075" s="101"/>
      <c r="I9075" s="101"/>
      <c r="K9075" s="226"/>
      <c r="L9075" s="226"/>
      <c r="M9075" s="101"/>
      <c r="N9075" s="101"/>
    </row>
    <row r="9076" spans="7:14" hidden="1" x14ac:dyDescent="0.3">
      <c r="G9076" s="101"/>
      <c r="H9076" s="101"/>
      <c r="I9076" s="101"/>
      <c r="K9076" s="226"/>
      <c r="L9076" s="226"/>
      <c r="M9076" s="101"/>
      <c r="N9076" s="101"/>
    </row>
    <row r="9077" spans="7:14" hidden="1" x14ac:dyDescent="0.3">
      <c r="G9077" s="101"/>
      <c r="H9077" s="101"/>
      <c r="I9077" s="101"/>
      <c r="K9077" s="226"/>
      <c r="L9077" s="226"/>
      <c r="M9077" s="101"/>
      <c r="N9077" s="101"/>
    </row>
    <row r="9078" spans="7:14" hidden="1" x14ac:dyDescent="0.3">
      <c r="G9078" s="101"/>
      <c r="H9078" s="101"/>
      <c r="I9078" s="101"/>
      <c r="K9078" s="226"/>
      <c r="L9078" s="226"/>
      <c r="M9078" s="101"/>
      <c r="N9078" s="101"/>
    </row>
    <row r="9079" spans="7:14" hidden="1" x14ac:dyDescent="0.3">
      <c r="G9079" s="101"/>
      <c r="H9079" s="101"/>
      <c r="I9079" s="101"/>
      <c r="K9079" s="226"/>
      <c r="L9079" s="226"/>
      <c r="M9079" s="101"/>
      <c r="N9079" s="101"/>
    </row>
    <row r="9080" spans="7:14" hidden="1" x14ac:dyDescent="0.3">
      <c r="G9080" s="101"/>
      <c r="H9080" s="101"/>
      <c r="I9080" s="101"/>
      <c r="K9080" s="226"/>
      <c r="L9080" s="226"/>
      <c r="M9080" s="101"/>
      <c r="N9080" s="101"/>
    </row>
    <row r="9081" spans="7:14" hidden="1" x14ac:dyDescent="0.3">
      <c r="G9081" s="101"/>
      <c r="H9081" s="101"/>
      <c r="I9081" s="101"/>
      <c r="K9081" s="226"/>
      <c r="L9081" s="226"/>
      <c r="M9081" s="101"/>
      <c r="N9081" s="101"/>
    </row>
    <row r="9082" spans="7:14" hidden="1" x14ac:dyDescent="0.3">
      <c r="G9082" s="101"/>
      <c r="H9082" s="101"/>
      <c r="I9082" s="101"/>
      <c r="K9082" s="226"/>
      <c r="L9082" s="226"/>
      <c r="M9082" s="101"/>
      <c r="N9082" s="101"/>
    </row>
    <row r="9083" spans="7:14" hidden="1" x14ac:dyDescent="0.3">
      <c r="G9083" s="101"/>
      <c r="H9083" s="101"/>
      <c r="I9083" s="101"/>
      <c r="K9083" s="226"/>
      <c r="L9083" s="226"/>
      <c r="M9083" s="101"/>
      <c r="N9083" s="101"/>
    </row>
    <row r="9084" spans="7:14" hidden="1" x14ac:dyDescent="0.3">
      <c r="G9084" s="101"/>
      <c r="H9084" s="101"/>
      <c r="I9084" s="101"/>
      <c r="K9084" s="226"/>
      <c r="L9084" s="226"/>
      <c r="M9084" s="101"/>
      <c r="N9084" s="101"/>
    </row>
    <row r="9085" spans="7:14" hidden="1" x14ac:dyDescent="0.3">
      <c r="G9085" s="101"/>
      <c r="H9085" s="101"/>
      <c r="I9085" s="101"/>
      <c r="K9085" s="226"/>
      <c r="L9085" s="226"/>
      <c r="M9085" s="101"/>
      <c r="N9085" s="101"/>
    </row>
    <row r="9086" spans="7:14" hidden="1" x14ac:dyDescent="0.3">
      <c r="G9086" s="101"/>
      <c r="H9086" s="101"/>
      <c r="I9086" s="101"/>
      <c r="K9086" s="226"/>
      <c r="L9086" s="226"/>
      <c r="M9086" s="101"/>
      <c r="N9086" s="101"/>
    </row>
    <row r="9087" spans="7:14" hidden="1" x14ac:dyDescent="0.3">
      <c r="G9087" s="101"/>
      <c r="H9087" s="101"/>
      <c r="I9087" s="101"/>
      <c r="K9087" s="226"/>
      <c r="L9087" s="226"/>
      <c r="M9087" s="101"/>
      <c r="N9087" s="101"/>
    </row>
    <row r="9088" spans="7:14" hidden="1" x14ac:dyDescent="0.3">
      <c r="G9088" s="101"/>
      <c r="H9088" s="101"/>
      <c r="I9088" s="101"/>
      <c r="K9088" s="226"/>
      <c r="L9088" s="226"/>
      <c r="M9088" s="101"/>
      <c r="N9088" s="101"/>
    </row>
    <row r="9089" spans="7:14" hidden="1" x14ac:dyDescent="0.3">
      <c r="G9089" s="101"/>
      <c r="H9089" s="101"/>
      <c r="I9089" s="101"/>
      <c r="K9089" s="226"/>
      <c r="L9089" s="226"/>
      <c r="M9089" s="101"/>
      <c r="N9089" s="101"/>
    </row>
    <row r="9090" spans="7:14" hidden="1" x14ac:dyDescent="0.3">
      <c r="G9090" s="101"/>
      <c r="H9090" s="101"/>
      <c r="I9090" s="101"/>
      <c r="K9090" s="226"/>
      <c r="L9090" s="226"/>
      <c r="M9090" s="101"/>
      <c r="N9090" s="101"/>
    </row>
    <row r="9091" spans="7:14" hidden="1" x14ac:dyDescent="0.3">
      <c r="G9091" s="101"/>
      <c r="H9091" s="101"/>
      <c r="I9091" s="101"/>
      <c r="K9091" s="226"/>
      <c r="L9091" s="226"/>
      <c r="M9091" s="101"/>
      <c r="N9091" s="101"/>
    </row>
    <row r="9092" spans="7:14" hidden="1" x14ac:dyDescent="0.3">
      <c r="G9092" s="101"/>
      <c r="H9092" s="101"/>
      <c r="I9092" s="101"/>
      <c r="K9092" s="226"/>
      <c r="L9092" s="226"/>
      <c r="M9092" s="101"/>
      <c r="N9092" s="101"/>
    </row>
    <row r="9093" spans="7:14" hidden="1" x14ac:dyDescent="0.3">
      <c r="G9093" s="101"/>
      <c r="H9093" s="101"/>
      <c r="I9093" s="101"/>
      <c r="K9093" s="226"/>
      <c r="L9093" s="226"/>
      <c r="M9093" s="101"/>
      <c r="N9093" s="101"/>
    </row>
    <row r="9094" spans="7:14" hidden="1" x14ac:dyDescent="0.3">
      <c r="G9094" s="101"/>
      <c r="H9094" s="101"/>
      <c r="I9094" s="101"/>
      <c r="K9094" s="226"/>
      <c r="L9094" s="226"/>
      <c r="M9094" s="101"/>
      <c r="N9094" s="101"/>
    </row>
    <row r="9095" spans="7:14" hidden="1" x14ac:dyDescent="0.3">
      <c r="G9095" s="101"/>
      <c r="H9095" s="101"/>
      <c r="I9095" s="101"/>
      <c r="K9095" s="226"/>
      <c r="L9095" s="226"/>
      <c r="M9095" s="101"/>
      <c r="N9095" s="101"/>
    </row>
    <row r="9096" spans="7:14" hidden="1" x14ac:dyDescent="0.3">
      <c r="G9096" s="101"/>
      <c r="H9096" s="101"/>
      <c r="I9096" s="101"/>
      <c r="K9096" s="226"/>
      <c r="L9096" s="226"/>
      <c r="M9096" s="101"/>
      <c r="N9096" s="101"/>
    </row>
    <row r="9097" spans="7:14" hidden="1" x14ac:dyDescent="0.3">
      <c r="G9097" s="101"/>
      <c r="H9097" s="101"/>
      <c r="I9097" s="101"/>
      <c r="K9097" s="226"/>
      <c r="L9097" s="226"/>
      <c r="M9097" s="101"/>
      <c r="N9097" s="101"/>
    </row>
    <row r="9098" spans="7:14" hidden="1" x14ac:dyDescent="0.3">
      <c r="G9098" s="101"/>
      <c r="H9098" s="101"/>
      <c r="I9098" s="101"/>
      <c r="K9098" s="226"/>
      <c r="L9098" s="226"/>
      <c r="M9098" s="101"/>
      <c r="N9098" s="101"/>
    </row>
    <row r="9099" spans="7:14" hidden="1" x14ac:dyDescent="0.3">
      <c r="G9099" s="101"/>
      <c r="H9099" s="101"/>
      <c r="I9099" s="101"/>
      <c r="K9099" s="226"/>
      <c r="L9099" s="226"/>
      <c r="M9099" s="101"/>
      <c r="N9099" s="101"/>
    </row>
    <row r="9100" spans="7:14" hidden="1" x14ac:dyDescent="0.3">
      <c r="G9100" s="101"/>
      <c r="H9100" s="101"/>
      <c r="I9100" s="101"/>
      <c r="K9100" s="226"/>
      <c r="L9100" s="226"/>
      <c r="M9100" s="101"/>
      <c r="N9100" s="101"/>
    </row>
    <row r="9101" spans="7:14" hidden="1" x14ac:dyDescent="0.3">
      <c r="G9101" s="101"/>
      <c r="H9101" s="101"/>
      <c r="I9101" s="101"/>
      <c r="K9101" s="226"/>
      <c r="L9101" s="226"/>
      <c r="M9101" s="101"/>
      <c r="N9101" s="101"/>
    </row>
    <row r="9102" spans="7:14" hidden="1" x14ac:dyDescent="0.3">
      <c r="G9102" s="101"/>
      <c r="H9102" s="101"/>
      <c r="I9102" s="101"/>
      <c r="K9102" s="226"/>
      <c r="L9102" s="226"/>
      <c r="M9102" s="101"/>
      <c r="N9102" s="101"/>
    </row>
    <row r="9103" spans="7:14" hidden="1" x14ac:dyDescent="0.3">
      <c r="G9103" s="101"/>
      <c r="H9103" s="101"/>
      <c r="I9103" s="101"/>
      <c r="K9103" s="226"/>
      <c r="L9103" s="226"/>
      <c r="M9103" s="101"/>
      <c r="N9103" s="101"/>
    </row>
    <row r="9104" spans="7:14" hidden="1" x14ac:dyDescent="0.3">
      <c r="G9104" s="101"/>
      <c r="H9104" s="101"/>
      <c r="I9104" s="101"/>
      <c r="K9104" s="226"/>
      <c r="L9104" s="226"/>
      <c r="M9104" s="101"/>
      <c r="N9104" s="101"/>
    </row>
    <row r="9105" spans="7:14" hidden="1" x14ac:dyDescent="0.3">
      <c r="G9105" s="101"/>
      <c r="H9105" s="101"/>
      <c r="I9105" s="101"/>
      <c r="K9105" s="226"/>
      <c r="L9105" s="226"/>
      <c r="M9105" s="101"/>
      <c r="N9105" s="101"/>
    </row>
    <row r="9106" spans="7:14" hidden="1" x14ac:dyDescent="0.3">
      <c r="G9106" s="101"/>
      <c r="H9106" s="101"/>
      <c r="I9106" s="101"/>
      <c r="K9106" s="226"/>
      <c r="L9106" s="226"/>
      <c r="M9106" s="101"/>
      <c r="N9106" s="101"/>
    </row>
    <row r="9107" spans="7:14" hidden="1" x14ac:dyDescent="0.3">
      <c r="G9107" s="101"/>
      <c r="H9107" s="101"/>
      <c r="I9107" s="101"/>
      <c r="K9107" s="226"/>
      <c r="L9107" s="226"/>
      <c r="M9107" s="101"/>
      <c r="N9107" s="101"/>
    </row>
    <row r="9108" spans="7:14" hidden="1" x14ac:dyDescent="0.3">
      <c r="G9108" s="101"/>
      <c r="H9108" s="101"/>
      <c r="I9108" s="101"/>
      <c r="K9108" s="226"/>
      <c r="L9108" s="226"/>
      <c r="M9108" s="101"/>
      <c r="N9108" s="101"/>
    </row>
    <row r="9109" spans="7:14" hidden="1" x14ac:dyDescent="0.3">
      <c r="G9109" s="101"/>
      <c r="H9109" s="101"/>
      <c r="I9109" s="101"/>
      <c r="K9109" s="226"/>
      <c r="L9109" s="226"/>
      <c r="M9109" s="101"/>
      <c r="N9109" s="101"/>
    </row>
    <row r="9110" spans="7:14" hidden="1" x14ac:dyDescent="0.3">
      <c r="G9110" s="101"/>
      <c r="H9110" s="101"/>
      <c r="I9110" s="101"/>
      <c r="K9110" s="226"/>
      <c r="L9110" s="226"/>
      <c r="M9110" s="101"/>
      <c r="N9110" s="101"/>
    </row>
    <row r="9111" spans="7:14" hidden="1" x14ac:dyDescent="0.3">
      <c r="G9111" s="101"/>
      <c r="H9111" s="101"/>
      <c r="I9111" s="101"/>
      <c r="K9111" s="226"/>
      <c r="L9111" s="226"/>
      <c r="M9111" s="101"/>
      <c r="N9111" s="101"/>
    </row>
    <row r="9112" spans="7:14" hidden="1" x14ac:dyDescent="0.3">
      <c r="G9112" s="101"/>
      <c r="H9112" s="101"/>
      <c r="I9112" s="101"/>
      <c r="K9112" s="226"/>
      <c r="L9112" s="226"/>
      <c r="M9112" s="101"/>
      <c r="N9112" s="101"/>
    </row>
    <row r="9113" spans="7:14" hidden="1" x14ac:dyDescent="0.3">
      <c r="G9113" s="101"/>
      <c r="H9113" s="101"/>
      <c r="I9113" s="101"/>
      <c r="K9113" s="226"/>
      <c r="L9113" s="226"/>
      <c r="M9113" s="101"/>
      <c r="N9113" s="101"/>
    </row>
    <row r="9114" spans="7:14" hidden="1" x14ac:dyDescent="0.3">
      <c r="G9114" s="101"/>
      <c r="H9114" s="101"/>
      <c r="I9114" s="101"/>
      <c r="K9114" s="226"/>
      <c r="L9114" s="226"/>
      <c r="M9114" s="101"/>
      <c r="N9114" s="101"/>
    </row>
    <row r="9115" spans="7:14" hidden="1" x14ac:dyDescent="0.3">
      <c r="G9115" s="101"/>
      <c r="H9115" s="101"/>
      <c r="I9115" s="101"/>
      <c r="K9115" s="226"/>
      <c r="L9115" s="226"/>
      <c r="M9115" s="101"/>
      <c r="N9115" s="101"/>
    </row>
    <row r="9116" spans="7:14" hidden="1" x14ac:dyDescent="0.3">
      <c r="G9116" s="101"/>
      <c r="H9116" s="101"/>
      <c r="I9116" s="101"/>
      <c r="K9116" s="226"/>
      <c r="L9116" s="226"/>
      <c r="M9116" s="101"/>
      <c r="N9116" s="101"/>
    </row>
    <row r="9117" spans="7:14" hidden="1" x14ac:dyDescent="0.3">
      <c r="G9117" s="101"/>
      <c r="H9117" s="101"/>
      <c r="I9117" s="101"/>
      <c r="K9117" s="226"/>
      <c r="L9117" s="226"/>
      <c r="M9117" s="101"/>
      <c r="N9117" s="101"/>
    </row>
    <row r="9118" spans="7:14" hidden="1" x14ac:dyDescent="0.3">
      <c r="G9118" s="101"/>
      <c r="H9118" s="101"/>
      <c r="I9118" s="101"/>
      <c r="K9118" s="226"/>
      <c r="L9118" s="226"/>
      <c r="M9118" s="101"/>
      <c r="N9118" s="101"/>
    </row>
    <row r="9119" spans="7:14" hidden="1" x14ac:dyDescent="0.3">
      <c r="G9119" s="101"/>
      <c r="H9119" s="101"/>
      <c r="I9119" s="101"/>
      <c r="K9119" s="226"/>
      <c r="L9119" s="226"/>
      <c r="M9119" s="101"/>
      <c r="N9119" s="101"/>
    </row>
    <row r="9120" spans="7:14" hidden="1" x14ac:dyDescent="0.3">
      <c r="G9120" s="101"/>
      <c r="H9120" s="101"/>
      <c r="I9120" s="101"/>
      <c r="K9120" s="226"/>
      <c r="L9120" s="226"/>
      <c r="M9120" s="101"/>
      <c r="N9120" s="101"/>
    </row>
    <row r="9121" spans="7:14" hidden="1" x14ac:dyDescent="0.3">
      <c r="G9121" s="101"/>
      <c r="H9121" s="101"/>
      <c r="I9121" s="101"/>
      <c r="K9121" s="226"/>
      <c r="L9121" s="226"/>
      <c r="M9121" s="101"/>
      <c r="N9121" s="101"/>
    </row>
    <row r="9122" spans="7:14" hidden="1" x14ac:dyDescent="0.3">
      <c r="G9122" s="101"/>
      <c r="H9122" s="101"/>
      <c r="I9122" s="101"/>
      <c r="K9122" s="226"/>
      <c r="L9122" s="226"/>
      <c r="M9122" s="101"/>
      <c r="N9122" s="101"/>
    </row>
    <row r="9123" spans="7:14" hidden="1" x14ac:dyDescent="0.3">
      <c r="G9123" s="101"/>
      <c r="H9123" s="101"/>
      <c r="I9123" s="101"/>
      <c r="K9123" s="226"/>
      <c r="L9123" s="226"/>
      <c r="M9123" s="101"/>
      <c r="N9123" s="101"/>
    </row>
    <row r="9124" spans="7:14" hidden="1" x14ac:dyDescent="0.3">
      <c r="G9124" s="101"/>
      <c r="H9124" s="101"/>
      <c r="I9124" s="101"/>
      <c r="K9124" s="226"/>
      <c r="L9124" s="226"/>
      <c r="M9124" s="101"/>
      <c r="N9124" s="101"/>
    </row>
    <row r="9125" spans="7:14" hidden="1" x14ac:dyDescent="0.3">
      <c r="G9125" s="101"/>
      <c r="H9125" s="101"/>
      <c r="I9125" s="101"/>
      <c r="K9125" s="226"/>
      <c r="L9125" s="226"/>
      <c r="M9125" s="101"/>
      <c r="N9125" s="101"/>
    </row>
    <row r="9126" spans="7:14" hidden="1" x14ac:dyDescent="0.3">
      <c r="G9126" s="101"/>
      <c r="H9126" s="101"/>
      <c r="I9126" s="101"/>
      <c r="K9126" s="226"/>
      <c r="L9126" s="226"/>
      <c r="M9126" s="101"/>
      <c r="N9126" s="101"/>
    </row>
    <row r="9127" spans="7:14" hidden="1" x14ac:dyDescent="0.3">
      <c r="G9127" s="101"/>
      <c r="H9127" s="101"/>
      <c r="I9127" s="101"/>
      <c r="K9127" s="226"/>
      <c r="L9127" s="226"/>
      <c r="M9127" s="101"/>
      <c r="N9127" s="101"/>
    </row>
    <row r="9128" spans="7:14" hidden="1" x14ac:dyDescent="0.3">
      <c r="G9128" s="101"/>
      <c r="H9128" s="101"/>
      <c r="I9128" s="101"/>
      <c r="K9128" s="226"/>
      <c r="L9128" s="226"/>
      <c r="M9128" s="101"/>
      <c r="N9128" s="101"/>
    </row>
    <row r="9129" spans="7:14" hidden="1" x14ac:dyDescent="0.3">
      <c r="G9129" s="101"/>
      <c r="H9129" s="101"/>
      <c r="I9129" s="101"/>
      <c r="K9129" s="226"/>
      <c r="L9129" s="226"/>
      <c r="M9129" s="101"/>
      <c r="N9129" s="101"/>
    </row>
    <row r="9130" spans="7:14" hidden="1" x14ac:dyDescent="0.3">
      <c r="G9130" s="101"/>
      <c r="H9130" s="101"/>
      <c r="I9130" s="101"/>
      <c r="K9130" s="226"/>
      <c r="L9130" s="226"/>
      <c r="M9130" s="101"/>
      <c r="N9130" s="101"/>
    </row>
    <row r="9131" spans="7:14" hidden="1" x14ac:dyDescent="0.3">
      <c r="G9131" s="101"/>
      <c r="H9131" s="101"/>
      <c r="I9131" s="101"/>
      <c r="K9131" s="226"/>
      <c r="L9131" s="226"/>
      <c r="M9131" s="101"/>
      <c r="N9131" s="101"/>
    </row>
    <row r="9132" spans="7:14" hidden="1" x14ac:dyDescent="0.3">
      <c r="G9132" s="101"/>
      <c r="H9132" s="101"/>
      <c r="I9132" s="101"/>
      <c r="K9132" s="226"/>
      <c r="L9132" s="226"/>
      <c r="M9132" s="101"/>
      <c r="N9132" s="101"/>
    </row>
    <row r="9133" spans="7:14" hidden="1" x14ac:dyDescent="0.3">
      <c r="G9133" s="101"/>
      <c r="H9133" s="101"/>
      <c r="I9133" s="101"/>
      <c r="K9133" s="226"/>
      <c r="L9133" s="226"/>
      <c r="M9133" s="101"/>
      <c r="N9133" s="101"/>
    </row>
    <row r="9134" spans="7:14" hidden="1" x14ac:dyDescent="0.3">
      <c r="G9134" s="101"/>
      <c r="H9134" s="101"/>
      <c r="I9134" s="101"/>
      <c r="K9134" s="226"/>
      <c r="L9134" s="226"/>
      <c r="M9134" s="101"/>
      <c r="N9134" s="101"/>
    </row>
    <row r="9135" spans="7:14" hidden="1" x14ac:dyDescent="0.3">
      <c r="G9135" s="101"/>
      <c r="H9135" s="101"/>
      <c r="I9135" s="101"/>
      <c r="K9135" s="226"/>
      <c r="L9135" s="226"/>
      <c r="M9135" s="101"/>
      <c r="N9135" s="101"/>
    </row>
    <row r="9136" spans="7:14" hidden="1" x14ac:dyDescent="0.3">
      <c r="G9136" s="101"/>
      <c r="H9136" s="101"/>
      <c r="I9136" s="101"/>
      <c r="K9136" s="226"/>
      <c r="L9136" s="226"/>
      <c r="M9136" s="101"/>
      <c r="N9136" s="101"/>
    </row>
    <row r="9137" spans="7:14" hidden="1" x14ac:dyDescent="0.3">
      <c r="G9137" s="101"/>
      <c r="H9137" s="101"/>
      <c r="I9137" s="101"/>
      <c r="K9137" s="226"/>
      <c r="L9137" s="226"/>
      <c r="M9137" s="101"/>
      <c r="N9137" s="101"/>
    </row>
    <row r="9138" spans="7:14" hidden="1" x14ac:dyDescent="0.3">
      <c r="G9138" s="101"/>
      <c r="H9138" s="101"/>
      <c r="I9138" s="101"/>
      <c r="K9138" s="226"/>
      <c r="L9138" s="226"/>
      <c r="M9138" s="101"/>
      <c r="N9138" s="101"/>
    </row>
    <row r="9139" spans="7:14" hidden="1" x14ac:dyDescent="0.3">
      <c r="G9139" s="101"/>
      <c r="H9139" s="101"/>
      <c r="I9139" s="101"/>
      <c r="K9139" s="226"/>
      <c r="L9139" s="226"/>
      <c r="M9139" s="101"/>
      <c r="N9139" s="101"/>
    </row>
    <row r="9140" spans="7:14" hidden="1" x14ac:dyDescent="0.3">
      <c r="G9140" s="101"/>
      <c r="H9140" s="101"/>
      <c r="I9140" s="101"/>
      <c r="K9140" s="226"/>
      <c r="L9140" s="226"/>
      <c r="M9140" s="101"/>
      <c r="N9140" s="101"/>
    </row>
    <row r="9141" spans="7:14" hidden="1" x14ac:dyDescent="0.3">
      <c r="G9141" s="101"/>
      <c r="H9141" s="101"/>
      <c r="I9141" s="101"/>
      <c r="K9141" s="226"/>
      <c r="L9141" s="226"/>
      <c r="M9141" s="101"/>
      <c r="N9141" s="101"/>
    </row>
    <row r="9142" spans="7:14" hidden="1" x14ac:dyDescent="0.3">
      <c r="G9142" s="101"/>
      <c r="H9142" s="101"/>
      <c r="I9142" s="101"/>
      <c r="K9142" s="226"/>
      <c r="L9142" s="226"/>
      <c r="M9142" s="101"/>
      <c r="N9142" s="101"/>
    </row>
    <row r="9143" spans="7:14" hidden="1" x14ac:dyDescent="0.3">
      <c r="G9143" s="101"/>
      <c r="H9143" s="101"/>
      <c r="I9143" s="101"/>
      <c r="K9143" s="226"/>
      <c r="L9143" s="226"/>
      <c r="M9143" s="101"/>
      <c r="N9143" s="101"/>
    </row>
    <row r="9144" spans="7:14" hidden="1" x14ac:dyDescent="0.3">
      <c r="G9144" s="101"/>
      <c r="H9144" s="101"/>
      <c r="I9144" s="101"/>
      <c r="K9144" s="226"/>
      <c r="L9144" s="226"/>
      <c r="M9144" s="101"/>
      <c r="N9144" s="101"/>
    </row>
    <row r="9145" spans="7:14" hidden="1" x14ac:dyDescent="0.3">
      <c r="G9145" s="101"/>
      <c r="H9145" s="101"/>
      <c r="I9145" s="101"/>
      <c r="K9145" s="226"/>
      <c r="L9145" s="226"/>
      <c r="M9145" s="101"/>
      <c r="N9145" s="101"/>
    </row>
    <row r="9146" spans="7:14" hidden="1" x14ac:dyDescent="0.3">
      <c r="G9146" s="101"/>
      <c r="H9146" s="101"/>
      <c r="I9146" s="101"/>
      <c r="K9146" s="226"/>
      <c r="L9146" s="226"/>
      <c r="M9146" s="101"/>
      <c r="N9146" s="101"/>
    </row>
    <row r="9147" spans="7:14" hidden="1" x14ac:dyDescent="0.3">
      <c r="G9147" s="101"/>
      <c r="H9147" s="101"/>
      <c r="I9147" s="101"/>
      <c r="K9147" s="226"/>
      <c r="L9147" s="226"/>
      <c r="M9147" s="101"/>
      <c r="N9147" s="101"/>
    </row>
    <row r="9148" spans="7:14" hidden="1" x14ac:dyDescent="0.3">
      <c r="G9148" s="101"/>
      <c r="H9148" s="101"/>
      <c r="I9148" s="101"/>
      <c r="K9148" s="226"/>
      <c r="L9148" s="226"/>
      <c r="M9148" s="101"/>
      <c r="N9148" s="101"/>
    </row>
    <row r="9149" spans="7:14" hidden="1" x14ac:dyDescent="0.3">
      <c r="G9149" s="101"/>
      <c r="H9149" s="101"/>
      <c r="I9149" s="101"/>
      <c r="K9149" s="226"/>
      <c r="L9149" s="226"/>
      <c r="M9149" s="101"/>
      <c r="N9149" s="101"/>
    </row>
    <row r="9150" spans="7:14" hidden="1" x14ac:dyDescent="0.3">
      <c r="G9150" s="101"/>
      <c r="H9150" s="101"/>
      <c r="I9150" s="101"/>
      <c r="K9150" s="226"/>
      <c r="L9150" s="226"/>
      <c r="M9150" s="101"/>
      <c r="N9150" s="101"/>
    </row>
    <row r="9151" spans="7:14" hidden="1" x14ac:dyDescent="0.3">
      <c r="G9151" s="101"/>
      <c r="H9151" s="101"/>
      <c r="I9151" s="101"/>
      <c r="K9151" s="226"/>
      <c r="L9151" s="226"/>
      <c r="M9151" s="101"/>
      <c r="N9151" s="101"/>
    </row>
    <row r="9152" spans="7:14" hidden="1" x14ac:dyDescent="0.3">
      <c r="G9152" s="101"/>
      <c r="H9152" s="101"/>
      <c r="I9152" s="101"/>
      <c r="K9152" s="226"/>
      <c r="L9152" s="226"/>
      <c r="M9152" s="101"/>
      <c r="N9152" s="101"/>
    </row>
    <row r="9153" spans="7:14" hidden="1" x14ac:dyDescent="0.3">
      <c r="G9153" s="101"/>
      <c r="H9153" s="101"/>
      <c r="I9153" s="101"/>
      <c r="K9153" s="226"/>
      <c r="L9153" s="226"/>
      <c r="M9153" s="101"/>
      <c r="N9153" s="101"/>
    </row>
    <row r="9154" spans="7:14" hidden="1" x14ac:dyDescent="0.3">
      <c r="G9154" s="101"/>
      <c r="H9154" s="101"/>
      <c r="I9154" s="101"/>
      <c r="K9154" s="226"/>
      <c r="L9154" s="226"/>
      <c r="M9154" s="101"/>
      <c r="N9154" s="101"/>
    </row>
    <row r="9155" spans="7:14" hidden="1" x14ac:dyDescent="0.3">
      <c r="G9155" s="101"/>
      <c r="H9155" s="101"/>
      <c r="I9155" s="101"/>
      <c r="K9155" s="226"/>
      <c r="L9155" s="226"/>
      <c r="M9155" s="101"/>
      <c r="N9155" s="101"/>
    </row>
    <row r="9156" spans="7:14" hidden="1" x14ac:dyDescent="0.3">
      <c r="G9156" s="101"/>
      <c r="H9156" s="101"/>
      <c r="I9156" s="101"/>
      <c r="K9156" s="226"/>
      <c r="L9156" s="226"/>
      <c r="M9156" s="101"/>
      <c r="N9156" s="101"/>
    </row>
    <row r="9157" spans="7:14" hidden="1" x14ac:dyDescent="0.3">
      <c r="G9157" s="101"/>
      <c r="H9157" s="101"/>
      <c r="I9157" s="101"/>
      <c r="K9157" s="226"/>
      <c r="L9157" s="226"/>
      <c r="M9157" s="101"/>
      <c r="N9157" s="101"/>
    </row>
    <row r="9158" spans="7:14" hidden="1" x14ac:dyDescent="0.3">
      <c r="G9158" s="101"/>
      <c r="H9158" s="101"/>
      <c r="I9158" s="101"/>
      <c r="K9158" s="226"/>
      <c r="L9158" s="226"/>
      <c r="M9158" s="101"/>
      <c r="N9158" s="101"/>
    </row>
    <row r="9159" spans="7:14" hidden="1" x14ac:dyDescent="0.3">
      <c r="G9159" s="101"/>
      <c r="H9159" s="101"/>
      <c r="I9159" s="101"/>
      <c r="K9159" s="226"/>
      <c r="L9159" s="226"/>
      <c r="M9159" s="101"/>
      <c r="N9159" s="101"/>
    </row>
    <row r="9160" spans="7:14" hidden="1" x14ac:dyDescent="0.3">
      <c r="G9160" s="101"/>
      <c r="H9160" s="101"/>
      <c r="I9160" s="101"/>
      <c r="K9160" s="226"/>
      <c r="L9160" s="226"/>
      <c r="M9160" s="101"/>
      <c r="N9160" s="101"/>
    </row>
    <row r="9161" spans="7:14" hidden="1" x14ac:dyDescent="0.3">
      <c r="G9161" s="101"/>
      <c r="H9161" s="101"/>
      <c r="I9161" s="101"/>
      <c r="K9161" s="226"/>
      <c r="L9161" s="226"/>
      <c r="M9161" s="101"/>
      <c r="N9161" s="101"/>
    </row>
    <row r="9162" spans="7:14" hidden="1" x14ac:dyDescent="0.3">
      <c r="G9162" s="101"/>
      <c r="H9162" s="101"/>
      <c r="I9162" s="101"/>
      <c r="K9162" s="226"/>
      <c r="L9162" s="226"/>
      <c r="M9162" s="101"/>
      <c r="N9162" s="101"/>
    </row>
    <row r="9163" spans="7:14" hidden="1" x14ac:dyDescent="0.3">
      <c r="G9163" s="101"/>
      <c r="H9163" s="101"/>
      <c r="I9163" s="101"/>
      <c r="K9163" s="226"/>
      <c r="L9163" s="226"/>
      <c r="M9163" s="101"/>
      <c r="N9163" s="101"/>
    </row>
    <row r="9164" spans="7:14" hidden="1" x14ac:dyDescent="0.3">
      <c r="G9164" s="101"/>
      <c r="H9164" s="101"/>
      <c r="I9164" s="101"/>
      <c r="K9164" s="226"/>
      <c r="L9164" s="226"/>
      <c r="M9164" s="101"/>
      <c r="N9164" s="101"/>
    </row>
    <row r="9165" spans="7:14" hidden="1" x14ac:dyDescent="0.3">
      <c r="G9165" s="101"/>
      <c r="H9165" s="101"/>
      <c r="I9165" s="101"/>
      <c r="K9165" s="226"/>
      <c r="L9165" s="226"/>
      <c r="M9165" s="101"/>
      <c r="N9165" s="101"/>
    </row>
    <row r="9166" spans="7:14" hidden="1" x14ac:dyDescent="0.3">
      <c r="G9166" s="101"/>
      <c r="H9166" s="101"/>
      <c r="I9166" s="101"/>
      <c r="K9166" s="226"/>
      <c r="L9166" s="226"/>
      <c r="M9166" s="101"/>
      <c r="N9166" s="101"/>
    </row>
    <row r="9167" spans="7:14" hidden="1" x14ac:dyDescent="0.3">
      <c r="G9167" s="101"/>
      <c r="H9167" s="101"/>
      <c r="I9167" s="101"/>
      <c r="K9167" s="226"/>
      <c r="L9167" s="226"/>
      <c r="M9167" s="101"/>
      <c r="N9167" s="101"/>
    </row>
    <row r="9168" spans="7:14" hidden="1" x14ac:dyDescent="0.3">
      <c r="G9168" s="101"/>
      <c r="H9168" s="101"/>
      <c r="I9168" s="101"/>
      <c r="K9168" s="226"/>
      <c r="L9168" s="226"/>
      <c r="M9168" s="101"/>
      <c r="N9168" s="101"/>
    </row>
    <row r="9169" spans="7:14" hidden="1" x14ac:dyDescent="0.3">
      <c r="G9169" s="101"/>
      <c r="H9169" s="101"/>
      <c r="I9169" s="101"/>
      <c r="K9169" s="226"/>
      <c r="L9169" s="226"/>
      <c r="M9169" s="101"/>
      <c r="N9169" s="101"/>
    </row>
    <row r="9170" spans="7:14" hidden="1" x14ac:dyDescent="0.3">
      <c r="G9170" s="101"/>
      <c r="H9170" s="101"/>
      <c r="I9170" s="101"/>
      <c r="K9170" s="226"/>
      <c r="L9170" s="226"/>
      <c r="M9170" s="101"/>
      <c r="N9170" s="101"/>
    </row>
    <row r="9171" spans="7:14" hidden="1" x14ac:dyDescent="0.3">
      <c r="G9171" s="101"/>
      <c r="H9171" s="101"/>
      <c r="I9171" s="101"/>
      <c r="K9171" s="226"/>
      <c r="L9171" s="226"/>
      <c r="M9171" s="101"/>
      <c r="N9171" s="101"/>
    </row>
    <row r="9172" spans="7:14" hidden="1" x14ac:dyDescent="0.3">
      <c r="G9172" s="101"/>
      <c r="H9172" s="101"/>
      <c r="I9172" s="101"/>
      <c r="K9172" s="226"/>
      <c r="L9172" s="226"/>
      <c r="M9172" s="101"/>
      <c r="N9172" s="101"/>
    </row>
    <row r="9173" spans="7:14" hidden="1" x14ac:dyDescent="0.3">
      <c r="G9173" s="101"/>
      <c r="H9173" s="101"/>
      <c r="I9173" s="101"/>
      <c r="K9173" s="226"/>
      <c r="L9173" s="226"/>
      <c r="M9173" s="101"/>
      <c r="N9173" s="101"/>
    </row>
    <row r="9174" spans="7:14" hidden="1" x14ac:dyDescent="0.3">
      <c r="G9174" s="101"/>
      <c r="H9174" s="101"/>
      <c r="I9174" s="101"/>
      <c r="K9174" s="226"/>
      <c r="L9174" s="226"/>
      <c r="M9174" s="101"/>
      <c r="N9174" s="101"/>
    </row>
    <row r="9175" spans="7:14" hidden="1" x14ac:dyDescent="0.3">
      <c r="G9175" s="101"/>
      <c r="H9175" s="101"/>
      <c r="I9175" s="101"/>
      <c r="K9175" s="226"/>
      <c r="L9175" s="226"/>
      <c r="M9175" s="101"/>
      <c r="N9175" s="101"/>
    </row>
    <row r="9176" spans="7:14" hidden="1" x14ac:dyDescent="0.3">
      <c r="G9176" s="101"/>
      <c r="H9176" s="101"/>
      <c r="I9176" s="101"/>
      <c r="K9176" s="226"/>
      <c r="L9176" s="226"/>
      <c r="M9176" s="101"/>
      <c r="N9176" s="101"/>
    </row>
    <row r="9177" spans="7:14" hidden="1" x14ac:dyDescent="0.3">
      <c r="G9177" s="101"/>
      <c r="H9177" s="101"/>
      <c r="I9177" s="101"/>
      <c r="K9177" s="226"/>
      <c r="L9177" s="226"/>
      <c r="M9177" s="101"/>
      <c r="N9177" s="101"/>
    </row>
    <row r="9178" spans="7:14" hidden="1" x14ac:dyDescent="0.3">
      <c r="G9178" s="101"/>
      <c r="H9178" s="101"/>
      <c r="I9178" s="101"/>
      <c r="K9178" s="226"/>
      <c r="L9178" s="226"/>
      <c r="M9178" s="101"/>
      <c r="N9178" s="101"/>
    </row>
    <row r="9179" spans="7:14" hidden="1" x14ac:dyDescent="0.3">
      <c r="G9179" s="101"/>
      <c r="H9179" s="101"/>
      <c r="I9179" s="101"/>
      <c r="K9179" s="226"/>
      <c r="L9179" s="226"/>
      <c r="M9179" s="101"/>
      <c r="N9179" s="101"/>
    </row>
    <row r="9180" spans="7:14" hidden="1" x14ac:dyDescent="0.3">
      <c r="G9180" s="101"/>
      <c r="H9180" s="101"/>
      <c r="I9180" s="101"/>
      <c r="K9180" s="226"/>
      <c r="L9180" s="226"/>
      <c r="M9180" s="101"/>
      <c r="N9180" s="101"/>
    </row>
    <row r="9181" spans="7:14" hidden="1" x14ac:dyDescent="0.3">
      <c r="G9181" s="101"/>
      <c r="H9181" s="101"/>
      <c r="I9181" s="101"/>
      <c r="K9181" s="226"/>
      <c r="L9181" s="226"/>
      <c r="M9181" s="101"/>
      <c r="N9181" s="101"/>
    </row>
    <row r="9182" spans="7:14" hidden="1" x14ac:dyDescent="0.3">
      <c r="G9182" s="101"/>
      <c r="H9182" s="101"/>
      <c r="I9182" s="101"/>
      <c r="K9182" s="226"/>
      <c r="L9182" s="226"/>
      <c r="M9182" s="101"/>
      <c r="N9182" s="101"/>
    </row>
    <row r="9183" spans="7:14" hidden="1" x14ac:dyDescent="0.3">
      <c r="G9183" s="101"/>
      <c r="H9183" s="101"/>
      <c r="I9183" s="101"/>
      <c r="K9183" s="226"/>
      <c r="L9183" s="226"/>
      <c r="M9183" s="101"/>
      <c r="N9183" s="101"/>
    </row>
    <row r="9184" spans="7:14" hidden="1" x14ac:dyDescent="0.3">
      <c r="G9184" s="101"/>
      <c r="H9184" s="101"/>
      <c r="I9184" s="101"/>
      <c r="K9184" s="226"/>
      <c r="L9184" s="226"/>
      <c r="M9184" s="101"/>
      <c r="N9184" s="101"/>
    </row>
    <row r="9185" spans="7:14" hidden="1" x14ac:dyDescent="0.3">
      <c r="G9185" s="101"/>
      <c r="H9185" s="101"/>
      <c r="I9185" s="101"/>
      <c r="K9185" s="226"/>
      <c r="L9185" s="226"/>
      <c r="M9185" s="101"/>
      <c r="N9185" s="101"/>
    </row>
    <row r="9186" spans="7:14" hidden="1" x14ac:dyDescent="0.3">
      <c r="G9186" s="101"/>
      <c r="H9186" s="101"/>
      <c r="I9186" s="101"/>
      <c r="K9186" s="226"/>
      <c r="L9186" s="226"/>
      <c r="M9186" s="101"/>
      <c r="N9186" s="101"/>
    </row>
    <row r="9187" spans="7:14" hidden="1" x14ac:dyDescent="0.3">
      <c r="G9187" s="101"/>
      <c r="H9187" s="101"/>
      <c r="I9187" s="101"/>
      <c r="K9187" s="226"/>
      <c r="L9187" s="226"/>
      <c r="M9187" s="101"/>
      <c r="N9187" s="101"/>
    </row>
    <row r="9188" spans="7:14" hidden="1" x14ac:dyDescent="0.3">
      <c r="G9188" s="101"/>
      <c r="H9188" s="101"/>
      <c r="I9188" s="101"/>
      <c r="K9188" s="226"/>
      <c r="L9188" s="226"/>
      <c r="M9188" s="101"/>
      <c r="N9188" s="101"/>
    </row>
    <row r="9189" spans="7:14" hidden="1" x14ac:dyDescent="0.3">
      <c r="G9189" s="101"/>
      <c r="H9189" s="101"/>
      <c r="I9189" s="101"/>
      <c r="K9189" s="226"/>
      <c r="L9189" s="226"/>
      <c r="M9189" s="101"/>
      <c r="N9189" s="101"/>
    </row>
    <row r="9190" spans="7:14" hidden="1" x14ac:dyDescent="0.3">
      <c r="G9190" s="101"/>
      <c r="H9190" s="101"/>
      <c r="I9190" s="101"/>
      <c r="K9190" s="226"/>
      <c r="L9190" s="226"/>
      <c r="M9190" s="101"/>
      <c r="N9190" s="101"/>
    </row>
    <row r="9191" spans="7:14" hidden="1" x14ac:dyDescent="0.3">
      <c r="G9191" s="101"/>
      <c r="H9191" s="101"/>
      <c r="I9191" s="101"/>
      <c r="K9191" s="226"/>
      <c r="L9191" s="226"/>
      <c r="M9191" s="101"/>
      <c r="N9191" s="101"/>
    </row>
    <row r="9192" spans="7:14" hidden="1" x14ac:dyDescent="0.3">
      <c r="G9192" s="101"/>
      <c r="H9192" s="101"/>
      <c r="I9192" s="101"/>
      <c r="K9192" s="226"/>
      <c r="L9192" s="226"/>
      <c r="M9192" s="101"/>
      <c r="N9192" s="101"/>
    </row>
    <row r="9193" spans="7:14" hidden="1" x14ac:dyDescent="0.3">
      <c r="G9193" s="101"/>
      <c r="H9193" s="101"/>
      <c r="I9193" s="101"/>
      <c r="K9193" s="226"/>
      <c r="L9193" s="226"/>
      <c r="M9193" s="101"/>
      <c r="N9193" s="101"/>
    </row>
    <row r="9194" spans="7:14" hidden="1" x14ac:dyDescent="0.3">
      <c r="G9194" s="101"/>
      <c r="H9194" s="101"/>
      <c r="I9194" s="101"/>
      <c r="K9194" s="226"/>
      <c r="L9194" s="226"/>
      <c r="M9194" s="101"/>
      <c r="N9194" s="101"/>
    </row>
    <row r="9195" spans="7:14" hidden="1" x14ac:dyDescent="0.3">
      <c r="G9195" s="101"/>
      <c r="H9195" s="101"/>
      <c r="I9195" s="101"/>
      <c r="K9195" s="226"/>
      <c r="L9195" s="226"/>
      <c r="M9195" s="101"/>
      <c r="N9195" s="101"/>
    </row>
    <row r="9196" spans="7:14" hidden="1" x14ac:dyDescent="0.3">
      <c r="G9196" s="101"/>
      <c r="H9196" s="101"/>
      <c r="I9196" s="101"/>
      <c r="K9196" s="226"/>
      <c r="L9196" s="226"/>
      <c r="M9196" s="101"/>
      <c r="N9196" s="101"/>
    </row>
    <row r="9197" spans="7:14" hidden="1" x14ac:dyDescent="0.3">
      <c r="G9197" s="101"/>
      <c r="H9197" s="101"/>
      <c r="I9197" s="101"/>
      <c r="K9197" s="226"/>
      <c r="L9197" s="226"/>
      <c r="M9197" s="101"/>
      <c r="N9197" s="101"/>
    </row>
    <row r="9198" spans="7:14" hidden="1" x14ac:dyDescent="0.3">
      <c r="G9198" s="101"/>
      <c r="H9198" s="101"/>
      <c r="I9198" s="101"/>
      <c r="K9198" s="226"/>
      <c r="L9198" s="226"/>
      <c r="M9198" s="101"/>
      <c r="N9198" s="101"/>
    </row>
    <row r="9199" spans="7:14" hidden="1" x14ac:dyDescent="0.3">
      <c r="G9199" s="101"/>
      <c r="H9199" s="101"/>
      <c r="I9199" s="101"/>
      <c r="K9199" s="226"/>
      <c r="L9199" s="226"/>
      <c r="M9199" s="101"/>
      <c r="N9199" s="101"/>
    </row>
    <row r="9200" spans="7:14" hidden="1" x14ac:dyDescent="0.3">
      <c r="G9200" s="101"/>
      <c r="H9200" s="101"/>
      <c r="I9200" s="101"/>
      <c r="K9200" s="226"/>
      <c r="L9200" s="226"/>
      <c r="M9200" s="101"/>
      <c r="N9200" s="101"/>
    </row>
    <row r="9201" spans="7:14" hidden="1" x14ac:dyDescent="0.3">
      <c r="G9201" s="101"/>
      <c r="H9201" s="101"/>
      <c r="I9201" s="101"/>
      <c r="K9201" s="226"/>
      <c r="L9201" s="226"/>
      <c r="M9201" s="101"/>
      <c r="N9201" s="101"/>
    </row>
    <row r="9202" spans="7:14" hidden="1" x14ac:dyDescent="0.3">
      <c r="G9202" s="101"/>
      <c r="H9202" s="101"/>
      <c r="I9202" s="101"/>
      <c r="K9202" s="226"/>
      <c r="L9202" s="226"/>
      <c r="M9202" s="101"/>
      <c r="N9202" s="101"/>
    </row>
    <row r="9203" spans="7:14" hidden="1" x14ac:dyDescent="0.3">
      <c r="G9203" s="101"/>
      <c r="H9203" s="101"/>
      <c r="I9203" s="101"/>
      <c r="K9203" s="226"/>
      <c r="L9203" s="226"/>
      <c r="M9203" s="101"/>
      <c r="N9203" s="101"/>
    </row>
    <row r="9204" spans="7:14" hidden="1" x14ac:dyDescent="0.3">
      <c r="G9204" s="101"/>
      <c r="H9204" s="101"/>
      <c r="I9204" s="101"/>
      <c r="K9204" s="226"/>
      <c r="L9204" s="226"/>
      <c r="M9204" s="101"/>
      <c r="N9204" s="101"/>
    </row>
    <row r="9205" spans="7:14" hidden="1" x14ac:dyDescent="0.3">
      <c r="G9205" s="101"/>
      <c r="H9205" s="101"/>
      <c r="I9205" s="101"/>
      <c r="K9205" s="226"/>
      <c r="L9205" s="226"/>
      <c r="M9205" s="101"/>
      <c r="N9205" s="101"/>
    </row>
    <row r="9206" spans="7:14" hidden="1" x14ac:dyDescent="0.3">
      <c r="G9206" s="101"/>
      <c r="H9206" s="101"/>
      <c r="I9206" s="101"/>
      <c r="K9206" s="226"/>
      <c r="L9206" s="226"/>
      <c r="M9206" s="101"/>
      <c r="N9206" s="101"/>
    </row>
    <row r="9207" spans="7:14" hidden="1" x14ac:dyDescent="0.3">
      <c r="G9207" s="101"/>
      <c r="H9207" s="101"/>
      <c r="I9207" s="101"/>
      <c r="K9207" s="226"/>
      <c r="L9207" s="226"/>
      <c r="M9207" s="101"/>
      <c r="N9207" s="101"/>
    </row>
    <row r="9208" spans="7:14" hidden="1" x14ac:dyDescent="0.3">
      <c r="G9208" s="101"/>
      <c r="H9208" s="101"/>
      <c r="I9208" s="101"/>
      <c r="K9208" s="226"/>
      <c r="L9208" s="226"/>
      <c r="M9208" s="101"/>
      <c r="N9208" s="101"/>
    </row>
    <row r="9209" spans="7:14" hidden="1" x14ac:dyDescent="0.3">
      <c r="G9209" s="101"/>
      <c r="H9209" s="101"/>
      <c r="I9209" s="101"/>
      <c r="K9209" s="226"/>
      <c r="L9209" s="226"/>
      <c r="M9209" s="101"/>
      <c r="N9209" s="101"/>
    </row>
    <row r="9210" spans="7:14" hidden="1" x14ac:dyDescent="0.3">
      <c r="G9210" s="101"/>
      <c r="H9210" s="101"/>
      <c r="I9210" s="101"/>
      <c r="K9210" s="226"/>
      <c r="L9210" s="226"/>
      <c r="M9210" s="101"/>
      <c r="N9210" s="101"/>
    </row>
    <row r="9211" spans="7:14" hidden="1" x14ac:dyDescent="0.3">
      <c r="G9211" s="101"/>
      <c r="H9211" s="101"/>
      <c r="I9211" s="101"/>
      <c r="K9211" s="226"/>
      <c r="L9211" s="226"/>
      <c r="M9211" s="101"/>
      <c r="N9211" s="101"/>
    </row>
    <row r="9212" spans="7:14" hidden="1" x14ac:dyDescent="0.3">
      <c r="G9212" s="101"/>
      <c r="H9212" s="101"/>
      <c r="I9212" s="101"/>
      <c r="K9212" s="226"/>
      <c r="L9212" s="226"/>
      <c r="M9212" s="101"/>
      <c r="N9212" s="101"/>
    </row>
    <row r="9213" spans="7:14" hidden="1" x14ac:dyDescent="0.3">
      <c r="G9213" s="101"/>
      <c r="H9213" s="101"/>
      <c r="I9213" s="101"/>
      <c r="K9213" s="226"/>
      <c r="L9213" s="226"/>
      <c r="M9213" s="101"/>
      <c r="N9213" s="101"/>
    </row>
    <row r="9214" spans="7:14" hidden="1" x14ac:dyDescent="0.3">
      <c r="G9214" s="101"/>
      <c r="H9214" s="101"/>
      <c r="I9214" s="101"/>
      <c r="K9214" s="226"/>
      <c r="L9214" s="226"/>
      <c r="M9214" s="101"/>
      <c r="N9214" s="101"/>
    </row>
    <row r="9215" spans="7:14" hidden="1" x14ac:dyDescent="0.3">
      <c r="G9215" s="101"/>
      <c r="H9215" s="101"/>
      <c r="I9215" s="101"/>
      <c r="K9215" s="226"/>
      <c r="L9215" s="226"/>
      <c r="M9215" s="101"/>
      <c r="N9215" s="101"/>
    </row>
    <row r="9216" spans="7:14" hidden="1" x14ac:dyDescent="0.3">
      <c r="G9216" s="101"/>
      <c r="H9216" s="101"/>
      <c r="I9216" s="101"/>
      <c r="K9216" s="226"/>
      <c r="L9216" s="226"/>
      <c r="M9216" s="101"/>
      <c r="N9216" s="101"/>
    </row>
    <row r="9217" spans="7:14" hidden="1" x14ac:dyDescent="0.3">
      <c r="G9217" s="101"/>
      <c r="H9217" s="101"/>
      <c r="I9217" s="101"/>
      <c r="K9217" s="226"/>
      <c r="L9217" s="226"/>
      <c r="M9217" s="101"/>
      <c r="N9217" s="101"/>
    </row>
    <row r="9218" spans="7:14" hidden="1" x14ac:dyDescent="0.3">
      <c r="G9218" s="101"/>
      <c r="H9218" s="101"/>
      <c r="I9218" s="101"/>
      <c r="K9218" s="226"/>
      <c r="L9218" s="226"/>
      <c r="M9218" s="101"/>
      <c r="N9218" s="101"/>
    </row>
    <row r="9219" spans="7:14" hidden="1" x14ac:dyDescent="0.3">
      <c r="G9219" s="101"/>
      <c r="H9219" s="101"/>
      <c r="I9219" s="101"/>
      <c r="K9219" s="226"/>
      <c r="L9219" s="226"/>
      <c r="M9219" s="101"/>
      <c r="N9219" s="101"/>
    </row>
    <row r="9220" spans="7:14" hidden="1" x14ac:dyDescent="0.3">
      <c r="G9220" s="101"/>
      <c r="H9220" s="101"/>
      <c r="I9220" s="101"/>
      <c r="K9220" s="226"/>
      <c r="L9220" s="226"/>
      <c r="M9220" s="101"/>
      <c r="N9220" s="101"/>
    </row>
    <row r="9221" spans="7:14" hidden="1" x14ac:dyDescent="0.3">
      <c r="G9221" s="101"/>
      <c r="H9221" s="101"/>
      <c r="I9221" s="101"/>
      <c r="K9221" s="226"/>
      <c r="L9221" s="226"/>
      <c r="M9221" s="101"/>
      <c r="N9221" s="101"/>
    </row>
    <row r="9222" spans="7:14" hidden="1" x14ac:dyDescent="0.3">
      <c r="G9222" s="101"/>
      <c r="H9222" s="101"/>
      <c r="I9222" s="101"/>
      <c r="K9222" s="226"/>
      <c r="L9222" s="226"/>
      <c r="M9222" s="101"/>
      <c r="N9222" s="101"/>
    </row>
    <row r="9223" spans="7:14" hidden="1" x14ac:dyDescent="0.3">
      <c r="G9223" s="101"/>
      <c r="H9223" s="101"/>
      <c r="I9223" s="101"/>
      <c r="K9223" s="226"/>
      <c r="L9223" s="226"/>
      <c r="M9223" s="101"/>
      <c r="N9223" s="101"/>
    </row>
    <row r="9224" spans="7:14" hidden="1" x14ac:dyDescent="0.3">
      <c r="G9224" s="101"/>
      <c r="H9224" s="101"/>
      <c r="I9224" s="101"/>
      <c r="K9224" s="226"/>
      <c r="L9224" s="226"/>
      <c r="M9224" s="101"/>
      <c r="N9224" s="101"/>
    </row>
    <row r="9225" spans="7:14" hidden="1" x14ac:dyDescent="0.3">
      <c r="G9225" s="101"/>
      <c r="H9225" s="101"/>
      <c r="I9225" s="101"/>
      <c r="K9225" s="226"/>
      <c r="L9225" s="226"/>
      <c r="M9225" s="101"/>
      <c r="N9225" s="101"/>
    </row>
    <row r="9226" spans="7:14" hidden="1" x14ac:dyDescent="0.3">
      <c r="G9226" s="101"/>
      <c r="H9226" s="101"/>
      <c r="I9226" s="101"/>
      <c r="K9226" s="226"/>
      <c r="L9226" s="226"/>
      <c r="M9226" s="101"/>
      <c r="N9226" s="101"/>
    </row>
    <row r="9227" spans="7:14" hidden="1" x14ac:dyDescent="0.3">
      <c r="G9227" s="101"/>
      <c r="H9227" s="101"/>
      <c r="I9227" s="101"/>
      <c r="K9227" s="226"/>
      <c r="L9227" s="226"/>
      <c r="M9227" s="101"/>
      <c r="N9227" s="101"/>
    </row>
    <row r="9228" spans="7:14" hidden="1" x14ac:dyDescent="0.3">
      <c r="G9228" s="101"/>
      <c r="H9228" s="101"/>
      <c r="I9228" s="101"/>
      <c r="K9228" s="226"/>
      <c r="L9228" s="226"/>
      <c r="M9228" s="101"/>
      <c r="N9228" s="101"/>
    </row>
    <row r="9229" spans="7:14" hidden="1" x14ac:dyDescent="0.3">
      <c r="G9229" s="101"/>
      <c r="H9229" s="101"/>
      <c r="I9229" s="101"/>
      <c r="K9229" s="226"/>
      <c r="L9229" s="226"/>
      <c r="M9229" s="101"/>
      <c r="N9229" s="101"/>
    </row>
    <row r="9230" spans="7:14" hidden="1" x14ac:dyDescent="0.3">
      <c r="G9230" s="101"/>
      <c r="H9230" s="101"/>
      <c r="I9230" s="101"/>
      <c r="K9230" s="226"/>
      <c r="L9230" s="226"/>
      <c r="M9230" s="101"/>
      <c r="N9230" s="101"/>
    </row>
    <row r="9231" spans="7:14" hidden="1" x14ac:dyDescent="0.3">
      <c r="G9231" s="101"/>
      <c r="H9231" s="101"/>
      <c r="I9231" s="101"/>
      <c r="K9231" s="226"/>
      <c r="L9231" s="226"/>
      <c r="M9231" s="101"/>
      <c r="N9231" s="101"/>
    </row>
    <row r="9232" spans="7:14" hidden="1" x14ac:dyDescent="0.3">
      <c r="G9232" s="101"/>
      <c r="H9232" s="101"/>
      <c r="I9232" s="101"/>
      <c r="K9232" s="226"/>
      <c r="L9232" s="226"/>
      <c r="M9232" s="101"/>
      <c r="N9232" s="101"/>
    </row>
    <row r="9233" spans="7:14" hidden="1" x14ac:dyDescent="0.3">
      <c r="G9233" s="101"/>
      <c r="H9233" s="101"/>
      <c r="I9233" s="101"/>
      <c r="K9233" s="226"/>
      <c r="L9233" s="226"/>
      <c r="M9233" s="101"/>
      <c r="N9233" s="101"/>
    </row>
    <row r="9234" spans="7:14" hidden="1" x14ac:dyDescent="0.3">
      <c r="G9234" s="101"/>
      <c r="H9234" s="101"/>
      <c r="I9234" s="101"/>
      <c r="K9234" s="226"/>
      <c r="L9234" s="226"/>
      <c r="M9234" s="101"/>
      <c r="N9234" s="101"/>
    </row>
    <row r="9235" spans="7:14" hidden="1" x14ac:dyDescent="0.3">
      <c r="G9235" s="101"/>
      <c r="H9235" s="101"/>
      <c r="I9235" s="101"/>
      <c r="K9235" s="226"/>
      <c r="L9235" s="226"/>
      <c r="M9235" s="101"/>
      <c r="N9235" s="101"/>
    </row>
    <row r="9236" spans="7:14" hidden="1" x14ac:dyDescent="0.3">
      <c r="G9236" s="101"/>
      <c r="H9236" s="101"/>
      <c r="I9236" s="101"/>
      <c r="K9236" s="226"/>
      <c r="L9236" s="226"/>
      <c r="M9236" s="101"/>
      <c r="N9236" s="101"/>
    </row>
    <row r="9237" spans="7:14" hidden="1" x14ac:dyDescent="0.3">
      <c r="G9237" s="101"/>
      <c r="H9237" s="101"/>
      <c r="I9237" s="101"/>
      <c r="K9237" s="226"/>
      <c r="L9237" s="226"/>
      <c r="M9237" s="101"/>
      <c r="N9237" s="101"/>
    </row>
    <row r="9238" spans="7:14" hidden="1" x14ac:dyDescent="0.3">
      <c r="G9238" s="101"/>
      <c r="H9238" s="101"/>
      <c r="I9238" s="101"/>
      <c r="K9238" s="226"/>
      <c r="L9238" s="226"/>
      <c r="M9238" s="101"/>
      <c r="N9238" s="101"/>
    </row>
    <row r="9239" spans="7:14" hidden="1" x14ac:dyDescent="0.3">
      <c r="G9239" s="101"/>
      <c r="H9239" s="101"/>
      <c r="I9239" s="101"/>
      <c r="K9239" s="226"/>
      <c r="L9239" s="226"/>
      <c r="M9239" s="101"/>
      <c r="N9239" s="101"/>
    </row>
    <row r="9240" spans="7:14" hidden="1" x14ac:dyDescent="0.3">
      <c r="G9240" s="101"/>
      <c r="H9240" s="101"/>
      <c r="I9240" s="101"/>
      <c r="K9240" s="226"/>
      <c r="L9240" s="226"/>
      <c r="M9240" s="101"/>
      <c r="N9240" s="101"/>
    </row>
    <row r="9241" spans="7:14" hidden="1" x14ac:dyDescent="0.3">
      <c r="G9241" s="101"/>
      <c r="H9241" s="101"/>
      <c r="I9241" s="101"/>
      <c r="K9241" s="226"/>
      <c r="L9241" s="226"/>
      <c r="M9241" s="101"/>
      <c r="N9241" s="101"/>
    </row>
    <row r="9242" spans="7:14" hidden="1" x14ac:dyDescent="0.3">
      <c r="G9242" s="101"/>
      <c r="H9242" s="101"/>
      <c r="I9242" s="101"/>
      <c r="K9242" s="226"/>
      <c r="L9242" s="226"/>
      <c r="M9242" s="101"/>
      <c r="N9242" s="101"/>
    </row>
    <row r="9243" spans="7:14" hidden="1" x14ac:dyDescent="0.3">
      <c r="G9243" s="101"/>
      <c r="H9243" s="101"/>
      <c r="I9243" s="101"/>
      <c r="K9243" s="226"/>
      <c r="L9243" s="226"/>
      <c r="M9243" s="101"/>
      <c r="N9243" s="101"/>
    </row>
    <row r="9244" spans="7:14" hidden="1" x14ac:dyDescent="0.3">
      <c r="G9244" s="101"/>
      <c r="H9244" s="101"/>
      <c r="I9244" s="101"/>
      <c r="K9244" s="226"/>
      <c r="L9244" s="226"/>
      <c r="M9244" s="101"/>
      <c r="N9244" s="101"/>
    </row>
    <row r="9245" spans="7:14" hidden="1" x14ac:dyDescent="0.3">
      <c r="G9245" s="101"/>
      <c r="H9245" s="101"/>
      <c r="I9245" s="101"/>
      <c r="K9245" s="226"/>
      <c r="L9245" s="226"/>
      <c r="M9245" s="101"/>
      <c r="N9245" s="101"/>
    </row>
    <row r="9246" spans="7:14" hidden="1" x14ac:dyDescent="0.3">
      <c r="G9246" s="101"/>
      <c r="H9246" s="101"/>
      <c r="I9246" s="101"/>
      <c r="K9246" s="226"/>
      <c r="L9246" s="226"/>
      <c r="M9246" s="101"/>
      <c r="N9246" s="101"/>
    </row>
    <row r="9247" spans="7:14" hidden="1" x14ac:dyDescent="0.3">
      <c r="G9247" s="101"/>
      <c r="H9247" s="101"/>
      <c r="I9247" s="101"/>
      <c r="K9247" s="226"/>
      <c r="L9247" s="226"/>
      <c r="M9247" s="101"/>
      <c r="N9247" s="101"/>
    </row>
    <row r="9248" spans="7:14" hidden="1" x14ac:dyDescent="0.3">
      <c r="G9248" s="101"/>
      <c r="H9248" s="101"/>
      <c r="I9248" s="101"/>
      <c r="K9248" s="226"/>
      <c r="L9248" s="226"/>
      <c r="M9248" s="101"/>
      <c r="N9248" s="101"/>
    </row>
    <row r="9249" spans="7:14" hidden="1" x14ac:dyDescent="0.3">
      <c r="G9249" s="101"/>
      <c r="H9249" s="101"/>
      <c r="I9249" s="101"/>
      <c r="K9249" s="226"/>
      <c r="L9249" s="226"/>
      <c r="M9249" s="101"/>
      <c r="N9249" s="101"/>
    </row>
    <row r="9250" spans="7:14" hidden="1" x14ac:dyDescent="0.3">
      <c r="G9250" s="101"/>
      <c r="H9250" s="101"/>
      <c r="I9250" s="101"/>
      <c r="K9250" s="226"/>
      <c r="L9250" s="226"/>
      <c r="M9250" s="101"/>
      <c r="N9250" s="101"/>
    </row>
    <row r="9251" spans="7:14" hidden="1" x14ac:dyDescent="0.3">
      <c r="G9251" s="101"/>
      <c r="H9251" s="101"/>
      <c r="I9251" s="101"/>
      <c r="K9251" s="226"/>
      <c r="L9251" s="226"/>
      <c r="M9251" s="101"/>
      <c r="N9251" s="101"/>
    </row>
    <row r="9252" spans="7:14" hidden="1" x14ac:dyDescent="0.3">
      <c r="G9252" s="101"/>
      <c r="H9252" s="101"/>
      <c r="I9252" s="101"/>
      <c r="K9252" s="226"/>
      <c r="L9252" s="226"/>
      <c r="M9252" s="101"/>
      <c r="N9252" s="101"/>
    </row>
    <row r="9253" spans="7:14" hidden="1" x14ac:dyDescent="0.3">
      <c r="G9253" s="101"/>
      <c r="H9253" s="101"/>
      <c r="I9253" s="101"/>
      <c r="K9253" s="226"/>
      <c r="L9253" s="226"/>
      <c r="M9253" s="101"/>
      <c r="N9253" s="101"/>
    </row>
    <row r="9254" spans="7:14" hidden="1" x14ac:dyDescent="0.3">
      <c r="G9254" s="101"/>
      <c r="H9254" s="101"/>
      <c r="I9254" s="101"/>
      <c r="K9254" s="226"/>
      <c r="L9254" s="226"/>
      <c r="M9254" s="101"/>
      <c r="N9254" s="101"/>
    </row>
    <row r="9255" spans="7:14" hidden="1" x14ac:dyDescent="0.3">
      <c r="G9255" s="101"/>
      <c r="H9255" s="101"/>
      <c r="I9255" s="101"/>
      <c r="K9255" s="226"/>
      <c r="L9255" s="226"/>
      <c r="M9255" s="101"/>
      <c r="N9255" s="101"/>
    </row>
    <row r="9256" spans="7:14" hidden="1" x14ac:dyDescent="0.3">
      <c r="G9256" s="101"/>
      <c r="H9256" s="101"/>
      <c r="I9256" s="101"/>
      <c r="K9256" s="226"/>
      <c r="L9256" s="226"/>
      <c r="M9256" s="101"/>
      <c r="N9256" s="101"/>
    </row>
    <row r="9257" spans="7:14" hidden="1" x14ac:dyDescent="0.3">
      <c r="G9257" s="101"/>
      <c r="H9257" s="101"/>
      <c r="I9257" s="101"/>
      <c r="K9257" s="226"/>
      <c r="L9257" s="226"/>
      <c r="M9257" s="101"/>
      <c r="N9257" s="101"/>
    </row>
    <row r="9258" spans="7:14" hidden="1" x14ac:dyDescent="0.3">
      <c r="G9258" s="101"/>
      <c r="H9258" s="101"/>
      <c r="I9258" s="101"/>
      <c r="K9258" s="226"/>
      <c r="L9258" s="226"/>
      <c r="M9258" s="101"/>
      <c r="N9258" s="101"/>
    </row>
    <row r="9259" spans="7:14" hidden="1" x14ac:dyDescent="0.3">
      <c r="G9259" s="101"/>
      <c r="H9259" s="101"/>
      <c r="I9259" s="101"/>
      <c r="K9259" s="226"/>
      <c r="L9259" s="226"/>
      <c r="M9259" s="101"/>
      <c r="N9259" s="101"/>
    </row>
    <row r="9260" spans="7:14" hidden="1" x14ac:dyDescent="0.3">
      <c r="G9260" s="101"/>
      <c r="H9260" s="101"/>
      <c r="I9260" s="101"/>
      <c r="K9260" s="226"/>
      <c r="L9260" s="226"/>
      <c r="M9260" s="101"/>
      <c r="N9260" s="101"/>
    </row>
    <row r="9261" spans="7:14" hidden="1" x14ac:dyDescent="0.3">
      <c r="G9261" s="101"/>
      <c r="H9261" s="101"/>
      <c r="I9261" s="101"/>
      <c r="K9261" s="226"/>
      <c r="L9261" s="226"/>
      <c r="M9261" s="101"/>
      <c r="N9261" s="101"/>
    </row>
    <row r="9262" spans="7:14" hidden="1" x14ac:dyDescent="0.3">
      <c r="G9262" s="101"/>
      <c r="H9262" s="101"/>
      <c r="I9262" s="101"/>
      <c r="K9262" s="226"/>
      <c r="L9262" s="226"/>
      <c r="M9262" s="101"/>
      <c r="N9262" s="101"/>
    </row>
    <row r="9263" spans="7:14" hidden="1" x14ac:dyDescent="0.3">
      <c r="G9263" s="101"/>
      <c r="H9263" s="101"/>
      <c r="I9263" s="101"/>
      <c r="K9263" s="226"/>
      <c r="L9263" s="226"/>
      <c r="M9263" s="101"/>
      <c r="N9263" s="101"/>
    </row>
    <row r="9264" spans="7:14" hidden="1" x14ac:dyDescent="0.3">
      <c r="G9264" s="101"/>
      <c r="H9264" s="101"/>
      <c r="I9264" s="101"/>
      <c r="K9264" s="226"/>
      <c r="L9264" s="226"/>
      <c r="M9264" s="101"/>
      <c r="N9264" s="101"/>
    </row>
    <row r="9265" spans="7:14" hidden="1" x14ac:dyDescent="0.3">
      <c r="G9265" s="101"/>
      <c r="H9265" s="101"/>
      <c r="I9265" s="101"/>
      <c r="K9265" s="226"/>
      <c r="L9265" s="226"/>
      <c r="M9265" s="101"/>
      <c r="N9265" s="101"/>
    </row>
    <row r="9266" spans="7:14" hidden="1" x14ac:dyDescent="0.3">
      <c r="G9266" s="101"/>
      <c r="H9266" s="101"/>
      <c r="I9266" s="101"/>
      <c r="K9266" s="226"/>
      <c r="L9266" s="226"/>
      <c r="M9266" s="101"/>
      <c r="N9266" s="101"/>
    </row>
    <row r="9267" spans="7:14" hidden="1" x14ac:dyDescent="0.3">
      <c r="G9267" s="101"/>
      <c r="H9267" s="101"/>
      <c r="I9267" s="101"/>
      <c r="K9267" s="226"/>
      <c r="L9267" s="226"/>
      <c r="M9267" s="101"/>
      <c r="N9267" s="101"/>
    </row>
    <row r="9268" spans="7:14" hidden="1" x14ac:dyDescent="0.3">
      <c r="G9268" s="101"/>
      <c r="H9268" s="101"/>
      <c r="I9268" s="101"/>
      <c r="K9268" s="226"/>
      <c r="L9268" s="226"/>
      <c r="M9268" s="101"/>
      <c r="N9268" s="101"/>
    </row>
    <row r="9269" spans="7:14" hidden="1" x14ac:dyDescent="0.3">
      <c r="G9269" s="101"/>
      <c r="H9269" s="101"/>
      <c r="I9269" s="101"/>
      <c r="K9269" s="226"/>
      <c r="L9269" s="226"/>
      <c r="M9269" s="101"/>
      <c r="N9269" s="101"/>
    </row>
    <row r="9270" spans="7:14" hidden="1" x14ac:dyDescent="0.3">
      <c r="G9270" s="101"/>
      <c r="H9270" s="101"/>
      <c r="I9270" s="101"/>
      <c r="K9270" s="226"/>
      <c r="L9270" s="226"/>
      <c r="M9270" s="101"/>
      <c r="N9270" s="101"/>
    </row>
    <row r="9271" spans="7:14" hidden="1" x14ac:dyDescent="0.3">
      <c r="G9271" s="101"/>
      <c r="H9271" s="101"/>
      <c r="I9271" s="101"/>
      <c r="K9271" s="226"/>
      <c r="L9271" s="226"/>
      <c r="M9271" s="101"/>
      <c r="N9271" s="101"/>
    </row>
    <row r="9272" spans="7:14" hidden="1" x14ac:dyDescent="0.3">
      <c r="G9272" s="101"/>
      <c r="H9272" s="101"/>
      <c r="I9272" s="101"/>
      <c r="K9272" s="226"/>
      <c r="L9272" s="226"/>
      <c r="M9272" s="101"/>
      <c r="N9272" s="101"/>
    </row>
    <row r="9273" spans="7:14" hidden="1" x14ac:dyDescent="0.3">
      <c r="G9273" s="101"/>
      <c r="H9273" s="101"/>
      <c r="I9273" s="101"/>
      <c r="K9273" s="226"/>
      <c r="L9273" s="226"/>
      <c r="M9273" s="101"/>
      <c r="N9273" s="101"/>
    </row>
    <row r="9274" spans="7:14" hidden="1" x14ac:dyDescent="0.3">
      <c r="G9274" s="101"/>
      <c r="H9274" s="101"/>
      <c r="I9274" s="101"/>
      <c r="K9274" s="226"/>
      <c r="L9274" s="226"/>
      <c r="M9274" s="101"/>
      <c r="N9274" s="101"/>
    </row>
    <row r="9275" spans="7:14" hidden="1" x14ac:dyDescent="0.3">
      <c r="G9275" s="101"/>
      <c r="H9275" s="101"/>
      <c r="I9275" s="101"/>
      <c r="K9275" s="226"/>
      <c r="L9275" s="226"/>
      <c r="M9275" s="101"/>
      <c r="N9275" s="101"/>
    </row>
    <row r="9276" spans="7:14" hidden="1" x14ac:dyDescent="0.3">
      <c r="G9276" s="101"/>
      <c r="H9276" s="101"/>
      <c r="I9276" s="101"/>
      <c r="K9276" s="226"/>
      <c r="L9276" s="226"/>
      <c r="M9276" s="101"/>
      <c r="N9276" s="101"/>
    </row>
    <row r="9277" spans="7:14" hidden="1" x14ac:dyDescent="0.3">
      <c r="G9277" s="101"/>
      <c r="H9277" s="101"/>
      <c r="I9277" s="101"/>
      <c r="K9277" s="226"/>
      <c r="L9277" s="226"/>
      <c r="M9277" s="101"/>
      <c r="N9277" s="101"/>
    </row>
    <row r="9278" spans="7:14" hidden="1" x14ac:dyDescent="0.3">
      <c r="G9278" s="101"/>
      <c r="H9278" s="101"/>
      <c r="I9278" s="101"/>
      <c r="K9278" s="226"/>
      <c r="L9278" s="226"/>
      <c r="M9278" s="101"/>
      <c r="N9278" s="101"/>
    </row>
    <row r="9279" spans="7:14" hidden="1" x14ac:dyDescent="0.3">
      <c r="G9279" s="101"/>
      <c r="H9279" s="101"/>
      <c r="I9279" s="101"/>
      <c r="K9279" s="226"/>
      <c r="L9279" s="226"/>
      <c r="M9279" s="101"/>
      <c r="N9279" s="101"/>
    </row>
    <row r="9280" spans="7:14" hidden="1" x14ac:dyDescent="0.3">
      <c r="G9280" s="101"/>
      <c r="H9280" s="101"/>
      <c r="I9280" s="101"/>
      <c r="K9280" s="226"/>
      <c r="L9280" s="226"/>
      <c r="M9280" s="101"/>
      <c r="N9280" s="101"/>
    </row>
    <row r="9281" spans="7:14" hidden="1" x14ac:dyDescent="0.3">
      <c r="G9281" s="101"/>
      <c r="H9281" s="101"/>
      <c r="I9281" s="101"/>
      <c r="K9281" s="226"/>
      <c r="L9281" s="226"/>
      <c r="M9281" s="101"/>
      <c r="N9281" s="101"/>
    </row>
    <row r="9282" spans="7:14" hidden="1" x14ac:dyDescent="0.3">
      <c r="G9282" s="101"/>
      <c r="H9282" s="101"/>
      <c r="I9282" s="101"/>
      <c r="K9282" s="226"/>
      <c r="L9282" s="226"/>
      <c r="M9282" s="101"/>
      <c r="N9282" s="101"/>
    </row>
    <row r="9283" spans="7:14" hidden="1" x14ac:dyDescent="0.3">
      <c r="G9283" s="101"/>
      <c r="H9283" s="101"/>
      <c r="I9283" s="101"/>
      <c r="K9283" s="226"/>
      <c r="L9283" s="226"/>
      <c r="M9283" s="101"/>
      <c r="N9283" s="101"/>
    </row>
    <row r="9284" spans="7:14" hidden="1" x14ac:dyDescent="0.3">
      <c r="G9284" s="101"/>
      <c r="H9284" s="101"/>
      <c r="I9284" s="101"/>
      <c r="K9284" s="226"/>
      <c r="L9284" s="226"/>
      <c r="M9284" s="101"/>
      <c r="N9284" s="101"/>
    </row>
    <row r="9285" spans="7:14" hidden="1" x14ac:dyDescent="0.3">
      <c r="G9285" s="101"/>
      <c r="H9285" s="101"/>
      <c r="I9285" s="101"/>
      <c r="K9285" s="226"/>
      <c r="L9285" s="226"/>
      <c r="M9285" s="101"/>
      <c r="N9285" s="101"/>
    </row>
    <row r="9286" spans="7:14" hidden="1" x14ac:dyDescent="0.3">
      <c r="G9286" s="101"/>
      <c r="H9286" s="101"/>
      <c r="I9286" s="101"/>
      <c r="K9286" s="226"/>
      <c r="L9286" s="226"/>
      <c r="M9286" s="101"/>
      <c r="N9286" s="101"/>
    </row>
    <row r="9287" spans="7:14" hidden="1" x14ac:dyDescent="0.3">
      <c r="G9287" s="101"/>
      <c r="H9287" s="101"/>
      <c r="I9287" s="101"/>
      <c r="K9287" s="226"/>
      <c r="L9287" s="226"/>
      <c r="M9287" s="101"/>
      <c r="N9287" s="101"/>
    </row>
    <row r="9288" spans="7:14" hidden="1" x14ac:dyDescent="0.3">
      <c r="G9288" s="101"/>
      <c r="H9288" s="101"/>
      <c r="I9288" s="101"/>
      <c r="K9288" s="226"/>
      <c r="L9288" s="226"/>
      <c r="M9288" s="101"/>
      <c r="N9288" s="101"/>
    </row>
    <row r="9289" spans="7:14" hidden="1" x14ac:dyDescent="0.3">
      <c r="G9289" s="101"/>
      <c r="H9289" s="101"/>
      <c r="I9289" s="101"/>
      <c r="K9289" s="226"/>
      <c r="L9289" s="226"/>
      <c r="M9289" s="101"/>
      <c r="N9289" s="101"/>
    </row>
    <row r="9290" spans="7:14" hidden="1" x14ac:dyDescent="0.3">
      <c r="G9290" s="101"/>
      <c r="H9290" s="101"/>
      <c r="I9290" s="101"/>
      <c r="K9290" s="226"/>
      <c r="L9290" s="226"/>
      <c r="M9290" s="101"/>
      <c r="N9290" s="101"/>
    </row>
    <row r="9291" spans="7:14" hidden="1" x14ac:dyDescent="0.3">
      <c r="G9291" s="101"/>
      <c r="H9291" s="101"/>
      <c r="I9291" s="101"/>
      <c r="K9291" s="226"/>
      <c r="L9291" s="226"/>
      <c r="M9291" s="101"/>
      <c r="N9291" s="101"/>
    </row>
    <row r="9292" spans="7:14" hidden="1" x14ac:dyDescent="0.3">
      <c r="G9292" s="101"/>
      <c r="H9292" s="101"/>
      <c r="I9292" s="101"/>
      <c r="K9292" s="226"/>
      <c r="L9292" s="226"/>
      <c r="M9292" s="101"/>
      <c r="N9292" s="101"/>
    </row>
    <row r="9293" spans="7:14" hidden="1" x14ac:dyDescent="0.3">
      <c r="G9293" s="101"/>
      <c r="H9293" s="101"/>
      <c r="I9293" s="101"/>
      <c r="K9293" s="226"/>
      <c r="L9293" s="226"/>
      <c r="M9293" s="101"/>
      <c r="N9293" s="101"/>
    </row>
    <row r="9294" spans="7:14" hidden="1" x14ac:dyDescent="0.3">
      <c r="G9294" s="101"/>
      <c r="H9294" s="101"/>
      <c r="I9294" s="101"/>
      <c r="K9294" s="226"/>
      <c r="L9294" s="226"/>
      <c r="M9294" s="101"/>
      <c r="N9294" s="101"/>
    </row>
    <row r="9295" spans="7:14" hidden="1" x14ac:dyDescent="0.3">
      <c r="G9295" s="101"/>
      <c r="H9295" s="101"/>
      <c r="I9295" s="101"/>
      <c r="K9295" s="226"/>
      <c r="L9295" s="226"/>
      <c r="M9295" s="101"/>
      <c r="N9295" s="101"/>
    </row>
    <row r="9296" spans="7:14" hidden="1" x14ac:dyDescent="0.3">
      <c r="G9296" s="101"/>
      <c r="H9296" s="101"/>
      <c r="I9296" s="101"/>
      <c r="K9296" s="226"/>
      <c r="L9296" s="226"/>
      <c r="M9296" s="101"/>
      <c r="N9296" s="101"/>
    </row>
    <row r="9297" spans="7:14" hidden="1" x14ac:dyDescent="0.3">
      <c r="G9297" s="101"/>
      <c r="H9297" s="101"/>
      <c r="I9297" s="101"/>
      <c r="K9297" s="226"/>
      <c r="L9297" s="226"/>
      <c r="M9297" s="101"/>
      <c r="N9297" s="101"/>
    </row>
    <row r="9298" spans="7:14" hidden="1" x14ac:dyDescent="0.3">
      <c r="G9298" s="101"/>
      <c r="H9298" s="101"/>
      <c r="I9298" s="101"/>
      <c r="K9298" s="226"/>
      <c r="L9298" s="226"/>
      <c r="M9298" s="101"/>
      <c r="N9298" s="101"/>
    </row>
    <row r="9299" spans="7:14" hidden="1" x14ac:dyDescent="0.3">
      <c r="G9299" s="101"/>
      <c r="H9299" s="101"/>
      <c r="I9299" s="101"/>
      <c r="K9299" s="226"/>
      <c r="L9299" s="226"/>
      <c r="M9299" s="101"/>
      <c r="N9299" s="101"/>
    </row>
    <row r="9300" spans="7:14" hidden="1" x14ac:dyDescent="0.3">
      <c r="G9300" s="101"/>
      <c r="H9300" s="101"/>
      <c r="I9300" s="101"/>
      <c r="K9300" s="226"/>
      <c r="L9300" s="226"/>
      <c r="M9300" s="101"/>
      <c r="N9300" s="101"/>
    </row>
    <row r="9301" spans="7:14" hidden="1" x14ac:dyDescent="0.3">
      <c r="G9301" s="101"/>
      <c r="H9301" s="101"/>
      <c r="I9301" s="101"/>
      <c r="K9301" s="226"/>
      <c r="L9301" s="226"/>
      <c r="M9301" s="101"/>
      <c r="N9301" s="101"/>
    </row>
    <row r="9302" spans="7:14" hidden="1" x14ac:dyDescent="0.3">
      <c r="G9302" s="101"/>
      <c r="H9302" s="101"/>
      <c r="I9302" s="101"/>
      <c r="K9302" s="226"/>
      <c r="L9302" s="226"/>
      <c r="M9302" s="101"/>
      <c r="N9302" s="101"/>
    </row>
    <row r="9303" spans="7:14" hidden="1" x14ac:dyDescent="0.3">
      <c r="G9303" s="101"/>
      <c r="H9303" s="101"/>
      <c r="I9303" s="101"/>
      <c r="K9303" s="226"/>
      <c r="L9303" s="226"/>
      <c r="M9303" s="101"/>
      <c r="N9303" s="101"/>
    </row>
    <row r="9304" spans="7:14" hidden="1" x14ac:dyDescent="0.3">
      <c r="G9304" s="101"/>
      <c r="H9304" s="101"/>
      <c r="I9304" s="101"/>
      <c r="K9304" s="226"/>
      <c r="L9304" s="226"/>
      <c r="M9304" s="101"/>
      <c r="N9304" s="101"/>
    </row>
    <row r="9305" spans="7:14" hidden="1" x14ac:dyDescent="0.3">
      <c r="G9305" s="101"/>
      <c r="H9305" s="101"/>
      <c r="I9305" s="101"/>
      <c r="K9305" s="226"/>
      <c r="L9305" s="226"/>
      <c r="M9305" s="101"/>
      <c r="N9305" s="101"/>
    </row>
    <row r="9306" spans="7:14" hidden="1" x14ac:dyDescent="0.3">
      <c r="G9306" s="101"/>
      <c r="H9306" s="101"/>
      <c r="I9306" s="101"/>
      <c r="K9306" s="226"/>
      <c r="L9306" s="226"/>
      <c r="M9306" s="101"/>
      <c r="N9306" s="101"/>
    </row>
    <row r="9307" spans="7:14" hidden="1" x14ac:dyDescent="0.3">
      <c r="G9307" s="101"/>
      <c r="H9307" s="101"/>
      <c r="I9307" s="101"/>
      <c r="K9307" s="226"/>
      <c r="L9307" s="226"/>
      <c r="M9307" s="101"/>
      <c r="N9307" s="101"/>
    </row>
    <row r="9308" spans="7:14" hidden="1" x14ac:dyDescent="0.3">
      <c r="G9308" s="101"/>
      <c r="H9308" s="101"/>
      <c r="I9308" s="101"/>
      <c r="K9308" s="226"/>
      <c r="L9308" s="226"/>
      <c r="M9308" s="101"/>
      <c r="N9308" s="101"/>
    </row>
    <row r="9309" spans="7:14" hidden="1" x14ac:dyDescent="0.3">
      <c r="G9309" s="101"/>
      <c r="H9309" s="101"/>
      <c r="I9309" s="101"/>
      <c r="K9309" s="226"/>
      <c r="L9309" s="226"/>
      <c r="M9309" s="101"/>
      <c r="N9309" s="101"/>
    </row>
    <row r="9310" spans="7:14" hidden="1" x14ac:dyDescent="0.3">
      <c r="G9310" s="101"/>
      <c r="H9310" s="101"/>
      <c r="I9310" s="101"/>
      <c r="K9310" s="226"/>
      <c r="L9310" s="226"/>
      <c r="M9310" s="101"/>
      <c r="N9310" s="101"/>
    </row>
    <row r="9311" spans="7:14" hidden="1" x14ac:dyDescent="0.3">
      <c r="G9311" s="101"/>
      <c r="H9311" s="101"/>
      <c r="I9311" s="101"/>
      <c r="K9311" s="226"/>
      <c r="L9311" s="226"/>
      <c r="M9311" s="101"/>
      <c r="N9311" s="101"/>
    </row>
    <row r="9312" spans="7:14" hidden="1" x14ac:dyDescent="0.3">
      <c r="G9312" s="101"/>
      <c r="H9312" s="101"/>
      <c r="I9312" s="101"/>
      <c r="K9312" s="226"/>
      <c r="L9312" s="226"/>
      <c r="M9312" s="101"/>
      <c r="N9312" s="101"/>
    </row>
    <row r="9313" spans="7:14" hidden="1" x14ac:dyDescent="0.3">
      <c r="G9313" s="101"/>
      <c r="H9313" s="101"/>
      <c r="I9313" s="101"/>
      <c r="K9313" s="226"/>
      <c r="L9313" s="226"/>
      <c r="M9313" s="101"/>
      <c r="N9313" s="101"/>
    </row>
    <row r="9314" spans="7:14" hidden="1" x14ac:dyDescent="0.3">
      <c r="G9314" s="101"/>
      <c r="H9314" s="101"/>
      <c r="I9314" s="101"/>
      <c r="K9314" s="226"/>
      <c r="L9314" s="226"/>
      <c r="M9314" s="101"/>
      <c r="N9314" s="101"/>
    </row>
    <row r="9315" spans="7:14" hidden="1" x14ac:dyDescent="0.3">
      <c r="G9315" s="101"/>
      <c r="H9315" s="101"/>
      <c r="I9315" s="101"/>
      <c r="K9315" s="226"/>
      <c r="L9315" s="226"/>
      <c r="M9315" s="101"/>
      <c r="N9315" s="101"/>
    </row>
    <row r="9316" spans="7:14" hidden="1" x14ac:dyDescent="0.3">
      <c r="G9316" s="101"/>
      <c r="H9316" s="101"/>
      <c r="I9316" s="101"/>
      <c r="K9316" s="226"/>
      <c r="L9316" s="226"/>
      <c r="M9316" s="101"/>
      <c r="N9316" s="101"/>
    </row>
    <row r="9317" spans="7:14" hidden="1" x14ac:dyDescent="0.3">
      <c r="G9317" s="101"/>
      <c r="H9317" s="101"/>
      <c r="I9317" s="101"/>
      <c r="K9317" s="226"/>
      <c r="L9317" s="226"/>
      <c r="M9317" s="101"/>
      <c r="N9317" s="101"/>
    </row>
    <row r="9318" spans="7:14" hidden="1" x14ac:dyDescent="0.3">
      <c r="G9318" s="101"/>
      <c r="H9318" s="101"/>
      <c r="I9318" s="101"/>
      <c r="K9318" s="226"/>
      <c r="L9318" s="226"/>
      <c r="M9318" s="101"/>
      <c r="N9318" s="101"/>
    </row>
    <row r="9319" spans="7:14" hidden="1" x14ac:dyDescent="0.3">
      <c r="G9319" s="101"/>
      <c r="H9319" s="101"/>
      <c r="I9319" s="101"/>
      <c r="K9319" s="226"/>
      <c r="L9319" s="226"/>
      <c r="M9319" s="101"/>
      <c r="N9319" s="101"/>
    </row>
    <row r="9320" spans="7:14" hidden="1" x14ac:dyDescent="0.3">
      <c r="G9320" s="101"/>
      <c r="H9320" s="101"/>
      <c r="I9320" s="101"/>
      <c r="K9320" s="226"/>
      <c r="L9320" s="226"/>
      <c r="M9320" s="101"/>
      <c r="N9320" s="101"/>
    </row>
    <row r="9321" spans="7:14" hidden="1" x14ac:dyDescent="0.3">
      <c r="G9321" s="101"/>
      <c r="H9321" s="101"/>
      <c r="I9321" s="101"/>
      <c r="K9321" s="226"/>
      <c r="L9321" s="226"/>
      <c r="M9321" s="101"/>
      <c r="N9321" s="101"/>
    </row>
    <row r="9322" spans="7:14" hidden="1" x14ac:dyDescent="0.3">
      <c r="G9322" s="101"/>
      <c r="H9322" s="101"/>
      <c r="I9322" s="101"/>
      <c r="K9322" s="226"/>
      <c r="L9322" s="226"/>
      <c r="M9322" s="101"/>
      <c r="N9322" s="101"/>
    </row>
    <row r="9323" spans="7:14" hidden="1" x14ac:dyDescent="0.3">
      <c r="G9323" s="101"/>
      <c r="H9323" s="101"/>
      <c r="I9323" s="101"/>
      <c r="K9323" s="226"/>
      <c r="L9323" s="226"/>
      <c r="M9323" s="101"/>
      <c r="N9323" s="101"/>
    </row>
    <row r="9324" spans="7:14" hidden="1" x14ac:dyDescent="0.3">
      <c r="G9324" s="101"/>
      <c r="H9324" s="101"/>
      <c r="I9324" s="101"/>
      <c r="K9324" s="226"/>
      <c r="L9324" s="226"/>
      <c r="M9324" s="101"/>
      <c r="N9324" s="101"/>
    </row>
    <row r="9325" spans="7:14" hidden="1" x14ac:dyDescent="0.3">
      <c r="G9325" s="101"/>
      <c r="H9325" s="101"/>
      <c r="I9325" s="101"/>
      <c r="K9325" s="226"/>
      <c r="L9325" s="226"/>
      <c r="M9325" s="101"/>
      <c r="N9325" s="101"/>
    </row>
    <row r="9326" spans="7:14" hidden="1" x14ac:dyDescent="0.3">
      <c r="G9326" s="101"/>
      <c r="H9326" s="101"/>
      <c r="I9326" s="101"/>
      <c r="K9326" s="226"/>
      <c r="L9326" s="226"/>
      <c r="M9326" s="101"/>
      <c r="N9326" s="101"/>
    </row>
    <row r="9327" spans="7:14" hidden="1" x14ac:dyDescent="0.3">
      <c r="G9327" s="101"/>
      <c r="H9327" s="101"/>
      <c r="I9327" s="101"/>
      <c r="K9327" s="226"/>
      <c r="L9327" s="226"/>
      <c r="M9327" s="101"/>
      <c r="N9327" s="101"/>
    </row>
    <row r="9328" spans="7:14" hidden="1" x14ac:dyDescent="0.3">
      <c r="G9328" s="101"/>
      <c r="H9328" s="101"/>
      <c r="I9328" s="101"/>
      <c r="K9328" s="226"/>
      <c r="L9328" s="226"/>
      <c r="M9328" s="101"/>
      <c r="N9328" s="101"/>
    </row>
    <row r="9329" spans="7:14" hidden="1" x14ac:dyDescent="0.3">
      <c r="G9329" s="101"/>
      <c r="H9329" s="101"/>
      <c r="I9329" s="101"/>
      <c r="K9329" s="226"/>
      <c r="L9329" s="226"/>
      <c r="M9329" s="101"/>
      <c r="N9329" s="101"/>
    </row>
    <row r="9330" spans="7:14" hidden="1" x14ac:dyDescent="0.3">
      <c r="G9330" s="101"/>
      <c r="H9330" s="101"/>
      <c r="I9330" s="101"/>
      <c r="K9330" s="226"/>
      <c r="L9330" s="226"/>
      <c r="M9330" s="101"/>
      <c r="N9330" s="101"/>
    </row>
    <row r="9331" spans="7:14" hidden="1" x14ac:dyDescent="0.3">
      <c r="G9331" s="101"/>
      <c r="H9331" s="101"/>
      <c r="I9331" s="101"/>
      <c r="K9331" s="226"/>
      <c r="L9331" s="226"/>
      <c r="M9331" s="101"/>
      <c r="N9331" s="101"/>
    </row>
    <row r="9332" spans="7:14" hidden="1" x14ac:dyDescent="0.3">
      <c r="G9332" s="101"/>
      <c r="H9332" s="101"/>
      <c r="I9332" s="101"/>
      <c r="K9332" s="226"/>
      <c r="L9332" s="226"/>
      <c r="M9332" s="101"/>
      <c r="N9332" s="101"/>
    </row>
    <row r="9333" spans="7:14" hidden="1" x14ac:dyDescent="0.3">
      <c r="G9333" s="101"/>
      <c r="H9333" s="101"/>
      <c r="I9333" s="101"/>
      <c r="K9333" s="226"/>
      <c r="L9333" s="226"/>
      <c r="M9333" s="101"/>
      <c r="N9333" s="101"/>
    </row>
    <row r="9334" spans="7:14" hidden="1" x14ac:dyDescent="0.3">
      <c r="G9334" s="101"/>
      <c r="H9334" s="101"/>
      <c r="I9334" s="101"/>
      <c r="K9334" s="226"/>
      <c r="L9334" s="226"/>
      <c r="M9334" s="101"/>
      <c r="N9334" s="101"/>
    </row>
    <row r="9335" spans="7:14" hidden="1" x14ac:dyDescent="0.3">
      <c r="G9335" s="101"/>
      <c r="H9335" s="101"/>
      <c r="I9335" s="101"/>
      <c r="K9335" s="226"/>
      <c r="L9335" s="226"/>
      <c r="M9335" s="101"/>
      <c r="N9335" s="101"/>
    </row>
    <row r="9336" spans="7:14" hidden="1" x14ac:dyDescent="0.3">
      <c r="G9336" s="101"/>
      <c r="H9336" s="101"/>
      <c r="I9336" s="101"/>
      <c r="K9336" s="226"/>
      <c r="L9336" s="226"/>
      <c r="M9336" s="101"/>
      <c r="N9336" s="101"/>
    </row>
    <row r="9337" spans="7:14" hidden="1" x14ac:dyDescent="0.3">
      <c r="G9337" s="101"/>
      <c r="H9337" s="101"/>
      <c r="I9337" s="101"/>
      <c r="K9337" s="226"/>
      <c r="L9337" s="226"/>
      <c r="M9337" s="101"/>
      <c r="N9337" s="101"/>
    </row>
    <row r="9338" spans="7:14" hidden="1" x14ac:dyDescent="0.3">
      <c r="G9338" s="101"/>
      <c r="H9338" s="101"/>
      <c r="I9338" s="101"/>
      <c r="K9338" s="226"/>
      <c r="L9338" s="226"/>
      <c r="M9338" s="101"/>
      <c r="N9338" s="101"/>
    </row>
    <row r="9339" spans="7:14" hidden="1" x14ac:dyDescent="0.3">
      <c r="G9339" s="101"/>
      <c r="H9339" s="101"/>
      <c r="I9339" s="101"/>
      <c r="K9339" s="226"/>
      <c r="L9339" s="226"/>
      <c r="M9339" s="101"/>
      <c r="N9339" s="101"/>
    </row>
    <row r="9340" spans="7:14" hidden="1" x14ac:dyDescent="0.3">
      <c r="G9340" s="101"/>
      <c r="H9340" s="101"/>
      <c r="I9340" s="101"/>
      <c r="K9340" s="226"/>
      <c r="L9340" s="226"/>
      <c r="M9340" s="101"/>
      <c r="N9340" s="101"/>
    </row>
    <row r="9341" spans="7:14" hidden="1" x14ac:dyDescent="0.3">
      <c r="G9341" s="101"/>
      <c r="H9341" s="101"/>
      <c r="I9341" s="101"/>
      <c r="K9341" s="226"/>
      <c r="L9341" s="226"/>
      <c r="M9341" s="101"/>
      <c r="N9341" s="101"/>
    </row>
    <row r="9342" spans="7:14" hidden="1" x14ac:dyDescent="0.3">
      <c r="G9342" s="101"/>
      <c r="H9342" s="101"/>
      <c r="I9342" s="101"/>
      <c r="K9342" s="226"/>
      <c r="L9342" s="226"/>
      <c r="M9342" s="101"/>
      <c r="N9342" s="101"/>
    </row>
    <row r="9343" spans="7:14" hidden="1" x14ac:dyDescent="0.3">
      <c r="G9343" s="101"/>
      <c r="H9343" s="101"/>
      <c r="I9343" s="101"/>
      <c r="K9343" s="226"/>
      <c r="L9343" s="226"/>
      <c r="M9343" s="101"/>
      <c r="N9343" s="101"/>
    </row>
    <row r="9344" spans="7:14" hidden="1" x14ac:dyDescent="0.3">
      <c r="G9344" s="101"/>
      <c r="H9344" s="101"/>
      <c r="I9344" s="101"/>
      <c r="K9344" s="226"/>
      <c r="L9344" s="226"/>
      <c r="M9344" s="101"/>
      <c r="N9344" s="101"/>
    </row>
    <row r="9345" spans="7:14" hidden="1" x14ac:dyDescent="0.3">
      <c r="G9345" s="101"/>
      <c r="H9345" s="101"/>
      <c r="I9345" s="101"/>
      <c r="K9345" s="226"/>
      <c r="L9345" s="226"/>
      <c r="M9345" s="101"/>
      <c r="N9345" s="101"/>
    </row>
    <row r="9346" spans="7:14" hidden="1" x14ac:dyDescent="0.3">
      <c r="G9346" s="101"/>
      <c r="H9346" s="101"/>
      <c r="I9346" s="101"/>
      <c r="K9346" s="226"/>
      <c r="L9346" s="226"/>
      <c r="M9346" s="101"/>
      <c r="N9346" s="101"/>
    </row>
    <row r="9347" spans="7:14" hidden="1" x14ac:dyDescent="0.3">
      <c r="G9347" s="101"/>
      <c r="H9347" s="101"/>
      <c r="I9347" s="101"/>
      <c r="K9347" s="226"/>
      <c r="L9347" s="226"/>
      <c r="M9347" s="101"/>
      <c r="N9347" s="101"/>
    </row>
    <row r="9348" spans="7:14" hidden="1" x14ac:dyDescent="0.3">
      <c r="G9348" s="101"/>
      <c r="H9348" s="101"/>
      <c r="I9348" s="101"/>
      <c r="K9348" s="226"/>
      <c r="L9348" s="226"/>
      <c r="M9348" s="101"/>
      <c r="N9348" s="101"/>
    </row>
    <row r="9349" spans="7:14" hidden="1" x14ac:dyDescent="0.3">
      <c r="G9349" s="101"/>
      <c r="H9349" s="101"/>
      <c r="I9349" s="101"/>
      <c r="K9349" s="226"/>
      <c r="L9349" s="226"/>
      <c r="M9349" s="101"/>
      <c r="N9349" s="101"/>
    </row>
    <row r="9350" spans="7:14" hidden="1" x14ac:dyDescent="0.3">
      <c r="G9350" s="101"/>
      <c r="H9350" s="101"/>
      <c r="I9350" s="101"/>
      <c r="K9350" s="226"/>
      <c r="L9350" s="226"/>
      <c r="M9350" s="101"/>
      <c r="N9350" s="101"/>
    </row>
    <row r="9351" spans="7:14" hidden="1" x14ac:dyDescent="0.3">
      <c r="G9351" s="101"/>
      <c r="H9351" s="101"/>
      <c r="I9351" s="101"/>
      <c r="K9351" s="226"/>
      <c r="L9351" s="226"/>
      <c r="M9351" s="101"/>
      <c r="N9351" s="101"/>
    </row>
    <row r="9352" spans="7:14" hidden="1" x14ac:dyDescent="0.3">
      <c r="G9352" s="101"/>
      <c r="H9352" s="101"/>
      <c r="I9352" s="101"/>
      <c r="K9352" s="226"/>
      <c r="L9352" s="226"/>
      <c r="M9352" s="101"/>
      <c r="N9352" s="101"/>
    </row>
    <row r="9353" spans="7:14" hidden="1" x14ac:dyDescent="0.3">
      <c r="G9353" s="101"/>
      <c r="H9353" s="101"/>
      <c r="I9353" s="101"/>
      <c r="K9353" s="226"/>
      <c r="L9353" s="226"/>
      <c r="M9353" s="101"/>
      <c r="N9353" s="101"/>
    </row>
    <row r="9354" spans="7:14" hidden="1" x14ac:dyDescent="0.3">
      <c r="G9354" s="101"/>
      <c r="H9354" s="101"/>
      <c r="I9354" s="101"/>
      <c r="K9354" s="226"/>
      <c r="L9354" s="226"/>
      <c r="M9354" s="101"/>
      <c r="N9354" s="101"/>
    </row>
    <row r="9355" spans="7:14" hidden="1" x14ac:dyDescent="0.3">
      <c r="G9355" s="101"/>
      <c r="H9355" s="101"/>
      <c r="I9355" s="101"/>
      <c r="K9355" s="226"/>
      <c r="L9355" s="226"/>
      <c r="M9355" s="101"/>
      <c r="N9355" s="101"/>
    </row>
    <row r="9356" spans="7:14" hidden="1" x14ac:dyDescent="0.3">
      <c r="G9356" s="101"/>
      <c r="H9356" s="101"/>
      <c r="I9356" s="101"/>
      <c r="K9356" s="226"/>
      <c r="L9356" s="226"/>
      <c r="M9356" s="101"/>
      <c r="N9356" s="101"/>
    </row>
    <row r="9357" spans="7:14" hidden="1" x14ac:dyDescent="0.3">
      <c r="G9357" s="101"/>
      <c r="H9357" s="101"/>
      <c r="I9357" s="101"/>
      <c r="K9357" s="226"/>
      <c r="L9357" s="226"/>
      <c r="M9357" s="101"/>
      <c r="N9357" s="101"/>
    </row>
    <row r="9358" spans="7:14" hidden="1" x14ac:dyDescent="0.3">
      <c r="G9358" s="101"/>
      <c r="H9358" s="101"/>
      <c r="I9358" s="101"/>
      <c r="K9358" s="226"/>
      <c r="L9358" s="226"/>
      <c r="M9358" s="101"/>
      <c r="N9358" s="101"/>
    </row>
    <row r="9359" spans="7:14" hidden="1" x14ac:dyDescent="0.3">
      <c r="G9359" s="101"/>
      <c r="H9359" s="101"/>
      <c r="I9359" s="101"/>
      <c r="K9359" s="226"/>
      <c r="L9359" s="226"/>
      <c r="M9359" s="101"/>
      <c r="N9359" s="101"/>
    </row>
    <row r="9360" spans="7:14" hidden="1" x14ac:dyDescent="0.3">
      <c r="G9360" s="101"/>
      <c r="H9360" s="101"/>
      <c r="I9360" s="101"/>
      <c r="K9360" s="226"/>
      <c r="L9360" s="226"/>
      <c r="M9360" s="101"/>
      <c r="N9360" s="101"/>
    </row>
    <row r="9361" spans="7:14" hidden="1" x14ac:dyDescent="0.3">
      <c r="G9361" s="101"/>
      <c r="H9361" s="101"/>
      <c r="I9361" s="101"/>
      <c r="K9361" s="226"/>
      <c r="L9361" s="226"/>
      <c r="M9361" s="101"/>
      <c r="N9361" s="101"/>
    </row>
    <row r="9362" spans="7:14" hidden="1" x14ac:dyDescent="0.3">
      <c r="G9362" s="101"/>
      <c r="H9362" s="101"/>
      <c r="I9362" s="101"/>
      <c r="K9362" s="226"/>
      <c r="L9362" s="226"/>
      <c r="M9362" s="101"/>
      <c r="N9362" s="101"/>
    </row>
    <row r="9363" spans="7:14" hidden="1" x14ac:dyDescent="0.3">
      <c r="G9363" s="101"/>
      <c r="H9363" s="101"/>
      <c r="I9363" s="101"/>
      <c r="K9363" s="226"/>
      <c r="L9363" s="226"/>
      <c r="M9363" s="101"/>
      <c r="N9363" s="101"/>
    </row>
    <row r="9364" spans="7:14" hidden="1" x14ac:dyDescent="0.3">
      <c r="G9364" s="101"/>
      <c r="H9364" s="101"/>
      <c r="I9364" s="101"/>
      <c r="K9364" s="226"/>
      <c r="L9364" s="226"/>
      <c r="M9364" s="101"/>
      <c r="N9364" s="101"/>
    </row>
    <row r="9365" spans="7:14" hidden="1" x14ac:dyDescent="0.3">
      <c r="G9365" s="101"/>
      <c r="H9365" s="101"/>
      <c r="I9365" s="101"/>
      <c r="K9365" s="226"/>
      <c r="L9365" s="226"/>
      <c r="M9365" s="101"/>
      <c r="N9365" s="101"/>
    </row>
    <row r="9366" spans="7:14" hidden="1" x14ac:dyDescent="0.3">
      <c r="G9366" s="101"/>
      <c r="H9366" s="101"/>
      <c r="I9366" s="101"/>
      <c r="K9366" s="226"/>
      <c r="L9366" s="226"/>
      <c r="M9366" s="101"/>
      <c r="N9366" s="101"/>
    </row>
    <row r="9367" spans="7:14" hidden="1" x14ac:dyDescent="0.3">
      <c r="G9367" s="101"/>
      <c r="H9367" s="101"/>
      <c r="I9367" s="101"/>
      <c r="K9367" s="226"/>
      <c r="L9367" s="226"/>
      <c r="M9367" s="101"/>
      <c r="N9367" s="101"/>
    </row>
    <row r="9368" spans="7:14" hidden="1" x14ac:dyDescent="0.3">
      <c r="G9368" s="101"/>
      <c r="H9368" s="101"/>
      <c r="I9368" s="101"/>
      <c r="K9368" s="226"/>
      <c r="L9368" s="226"/>
      <c r="M9368" s="101"/>
      <c r="N9368" s="101"/>
    </row>
    <row r="9369" spans="7:14" hidden="1" x14ac:dyDescent="0.3">
      <c r="G9369" s="101"/>
      <c r="H9369" s="101"/>
      <c r="I9369" s="101"/>
      <c r="K9369" s="226"/>
      <c r="L9369" s="226"/>
      <c r="M9369" s="101"/>
      <c r="N9369" s="101"/>
    </row>
    <row r="9370" spans="7:14" hidden="1" x14ac:dyDescent="0.3">
      <c r="G9370" s="101"/>
      <c r="H9370" s="101"/>
      <c r="I9370" s="101"/>
      <c r="K9370" s="226"/>
      <c r="L9370" s="226"/>
      <c r="M9370" s="101"/>
      <c r="N9370" s="101"/>
    </row>
    <row r="9371" spans="7:14" hidden="1" x14ac:dyDescent="0.3">
      <c r="G9371" s="101"/>
      <c r="H9371" s="101"/>
      <c r="I9371" s="101"/>
      <c r="K9371" s="226"/>
      <c r="L9371" s="226"/>
      <c r="M9371" s="101"/>
      <c r="N9371" s="101"/>
    </row>
    <row r="9372" spans="7:14" hidden="1" x14ac:dyDescent="0.3">
      <c r="G9372" s="101"/>
      <c r="H9372" s="101"/>
      <c r="I9372" s="101"/>
      <c r="K9372" s="226"/>
      <c r="L9372" s="226"/>
      <c r="M9372" s="101"/>
      <c r="N9372" s="101"/>
    </row>
    <row r="9373" spans="7:14" hidden="1" x14ac:dyDescent="0.3">
      <c r="G9373" s="101"/>
      <c r="H9373" s="101"/>
      <c r="I9373" s="101"/>
      <c r="K9373" s="226"/>
      <c r="L9373" s="226"/>
      <c r="M9373" s="101"/>
      <c r="N9373" s="101"/>
    </row>
    <row r="9374" spans="7:14" hidden="1" x14ac:dyDescent="0.3">
      <c r="G9374" s="101"/>
      <c r="H9374" s="101"/>
      <c r="I9374" s="101"/>
      <c r="K9374" s="226"/>
      <c r="L9374" s="226"/>
      <c r="M9374" s="101"/>
      <c r="N9374" s="101"/>
    </row>
    <row r="9375" spans="7:14" hidden="1" x14ac:dyDescent="0.3">
      <c r="G9375" s="101"/>
      <c r="H9375" s="101"/>
      <c r="I9375" s="101"/>
      <c r="K9375" s="226"/>
      <c r="L9375" s="226"/>
      <c r="M9375" s="101"/>
      <c r="N9375" s="101"/>
    </row>
    <row r="9376" spans="7:14" hidden="1" x14ac:dyDescent="0.3">
      <c r="G9376" s="101"/>
      <c r="H9376" s="101"/>
      <c r="I9376" s="101"/>
      <c r="K9376" s="226"/>
      <c r="L9376" s="226"/>
      <c r="M9376" s="101"/>
      <c r="N9376" s="101"/>
    </row>
    <row r="9377" spans="7:14" hidden="1" x14ac:dyDescent="0.3">
      <c r="G9377" s="101"/>
      <c r="H9377" s="101"/>
      <c r="I9377" s="101"/>
      <c r="K9377" s="226"/>
      <c r="L9377" s="226"/>
      <c r="M9377" s="101"/>
      <c r="N9377" s="101"/>
    </row>
    <row r="9378" spans="7:14" hidden="1" x14ac:dyDescent="0.3">
      <c r="G9378" s="101"/>
      <c r="H9378" s="101"/>
      <c r="I9378" s="101"/>
      <c r="K9378" s="226"/>
      <c r="L9378" s="226"/>
      <c r="M9378" s="101"/>
      <c r="N9378" s="101"/>
    </row>
    <row r="9379" spans="7:14" hidden="1" x14ac:dyDescent="0.3">
      <c r="G9379" s="101"/>
      <c r="H9379" s="101"/>
      <c r="I9379" s="101"/>
      <c r="K9379" s="226"/>
      <c r="L9379" s="226"/>
      <c r="M9379" s="101"/>
      <c r="N9379" s="101"/>
    </row>
    <row r="9380" spans="7:14" hidden="1" x14ac:dyDescent="0.3">
      <c r="G9380" s="101"/>
      <c r="H9380" s="101"/>
      <c r="I9380" s="101"/>
      <c r="K9380" s="226"/>
      <c r="L9380" s="226"/>
      <c r="M9380" s="101"/>
      <c r="N9380" s="101"/>
    </row>
    <row r="9381" spans="7:14" hidden="1" x14ac:dyDescent="0.3">
      <c r="G9381" s="101"/>
      <c r="H9381" s="101"/>
      <c r="I9381" s="101"/>
      <c r="K9381" s="226"/>
      <c r="L9381" s="226"/>
      <c r="M9381" s="101"/>
      <c r="N9381" s="101"/>
    </row>
    <row r="9382" spans="7:14" hidden="1" x14ac:dyDescent="0.3">
      <c r="G9382" s="101"/>
      <c r="H9382" s="101"/>
      <c r="I9382" s="101"/>
      <c r="K9382" s="226"/>
      <c r="L9382" s="226"/>
      <c r="M9382" s="101"/>
      <c r="N9382" s="101"/>
    </row>
    <row r="9383" spans="7:14" hidden="1" x14ac:dyDescent="0.3">
      <c r="G9383" s="101"/>
      <c r="H9383" s="101"/>
      <c r="I9383" s="101"/>
      <c r="K9383" s="226"/>
      <c r="L9383" s="226"/>
      <c r="M9383" s="101"/>
      <c r="N9383" s="101"/>
    </row>
    <row r="9384" spans="7:14" hidden="1" x14ac:dyDescent="0.3">
      <c r="G9384" s="101"/>
      <c r="H9384" s="101"/>
      <c r="I9384" s="101"/>
      <c r="K9384" s="226"/>
      <c r="L9384" s="226"/>
      <c r="M9384" s="101"/>
      <c r="N9384" s="101"/>
    </row>
    <row r="9385" spans="7:14" hidden="1" x14ac:dyDescent="0.3">
      <c r="G9385" s="101"/>
      <c r="H9385" s="101"/>
      <c r="I9385" s="101"/>
      <c r="K9385" s="226"/>
      <c r="L9385" s="226"/>
      <c r="M9385" s="101"/>
      <c r="N9385" s="101"/>
    </row>
    <row r="9386" spans="7:14" hidden="1" x14ac:dyDescent="0.3">
      <c r="G9386" s="101"/>
      <c r="H9386" s="101"/>
      <c r="I9386" s="101"/>
      <c r="K9386" s="226"/>
      <c r="L9386" s="226"/>
      <c r="M9386" s="101"/>
      <c r="N9386" s="101"/>
    </row>
    <row r="9387" spans="7:14" hidden="1" x14ac:dyDescent="0.3">
      <c r="G9387" s="101"/>
      <c r="H9387" s="101"/>
      <c r="I9387" s="101"/>
      <c r="K9387" s="226"/>
      <c r="L9387" s="226"/>
      <c r="M9387" s="101"/>
      <c r="N9387" s="101"/>
    </row>
    <row r="9388" spans="7:14" hidden="1" x14ac:dyDescent="0.3">
      <c r="G9388" s="101"/>
      <c r="H9388" s="101"/>
      <c r="I9388" s="101"/>
      <c r="K9388" s="226"/>
      <c r="L9388" s="226"/>
      <c r="M9388" s="101"/>
      <c r="N9388" s="101"/>
    </row>
    <row r="9389" spans="7:14" hidden="1" x14ac:dyDescent="0.3">
      <c r="G9389" s="101"/>
      <c r="H9389" s="101"/>
      <c r="I9389" s="101"/>
      <c r="K9389" s="226"/>
      <c r="L9389" s="226"/>
      <c r="M9389" s="101"/>
      <c r="N9389" s="101"/>
    </row>
    <row r="9390" spans="7:14" hidden="1" x14ac:dyDescent="0.3">
      <c r="G9390" s="101"/>
      <c r="H9390" s="101"/>
      <c r="I9390" s="101"/>
      <c r="K9390" s="226"/>
      <c r="L9390" s="226"/>
      <c r="M9390" s="101"/>
      <c r="N9390" s="101"/>
    </row>
    <row r="9391" spans="7:14" hidden="1" x14ac:dyDescent="0.3">
      <c r="G9391" s="101"/>
      <c r="H9391" s="101"/>
      <c r="I9391" s="101"/>
      <c r="K9391" s="226"/>
      <c r="L9391" s="226"/>
      <c r="M9391" s="101"/>
      <c r="N9391" s="101"/>
    </row>
    <row r="9392" spans="7:14" hidden="1" x14ac:dyDescent="0.3">
      <c r="G9392" s="101"/>
      <c r="H9392" s="101"/>
      <c r="I9392" s="101"/>
      <c r="K9392" s="226"/>
      <c r="L9392" s="226"/>
      <c r="M9392" s="101"/>
      <c r="N9392" s="101"/>
    </row>
    <row r="9393" spans="7:14" hidden="1" x14ac:dyDescent="0.3">
      <c r="G9393" s="101"/>
      <c r="H9393" s="101"/>
      <c r="I9393" s="101"/>
      <c r="K9393" s="226"/>
      <c r="L9393" s="226"/>
      <c r="M9393" s="101"/>
      <c r="N9393" s="101"/>
    </row>
    <row r="9394" spans="7:14" hidden="1" x14ac:dyDescent="0.3">
      <c r="G9394" s="101"/>
      <c r="H9394" s="101"/>
      <c r="I9394" s="101"/>
      <c r="K9394" s="226"/>
      <c r="L9394" s="226"/>
      <c r="M9394" s="101"/>
      <c r="N9394" s="101"/>
    </row>
    <row r="9395" spans="7:14" hidden="1" x14ac:dyDescent="0.3">
      <c r="G9395" s="101"/>
      <c r="H9395" s="101"/>
      <c r="I9395" s="101"/>
      <c r="K9395" s="226"/>
      <c r="L9395" s="226"/>
      <c r="M9395" s="101"/>
      <c r="N9395" s="101"/>
    </row>
    <row r="9396" spans="7:14" hidden="1" x14ac:dyDescent="0.3">
      <c r="G9396" s="101"/>
      <c r="H9396" s="101"/>
      <c r="I9396" s="101"/>
      <c r="K9396" s="226"/>
      <c r="L9396" s="226"/>
      <c r="M9396" s="101"/>
      <c r="N9396" s="101"/>
    </row>
    <row r="9397" spans="7:14" hidden="1" x14ac:dyDescent="0.3">
      <c r="G9397" s="101"/>
      <c r="H9397" s="101"/>
      <c r="I9397" s="101"/>
      <c r="K9397" s="226"/>
      <c r="L9397" s="226"/>
      <c r="M9397" s="101"/>
      <c r="N9397" s="101"/>
    </row>
    <row r="9398" spans="7:14" hidden="1" x14ac:dyDescent="0.3">
      <c r="G9398" s="101"/>
      <c r="H9398" s="101"/>
      <c r="I9398" s="101"/>
      <c r="K9398" s="226"/>
      <c r="L9398" s="226"/>
      <c r="M9398" s="101"/>
      <c r="N9398" s="101"/>
    </row>
    <row r="9399" spans="7:14" hidden="1" x14ac:dyDescent="0.3">
      <c r="G9399" s="101"/>
      <c r="H9399" s="101"/>
      <c r="I9399" s="101"/>
      <c r="K9399" s="226"/>
      <c r="L9399" s="226"/>
      <c r="M9399" s="101"/>
      <c r="N9399" s="101"/>
    </row>
    <row r="9400" spans="7:14" hidden="1" x14ac:dyDescent="0.3">
      <c r="G9400" s="101"/>
      <c r="H9400" s="101"/>
      <c r="I9400" s="101"/>
      <c r="K9400" s="226"/>
      <c r="L9400" s="226"/>
      <c r="M9400" s="101"/>
      <c r="N9400" s="101"/>
    </row>
    <row r="9401" spans="7:14" hidden="1" x14ac:dyDescent="0.3">
      <c r="G9401" s="101"/>
      <c r="H9401" s="101"/>
      <c r="I9401" s="101"/>
      <c r="K9401" s="226"/>
      <c r="L9401" s="226"/>
      <c r="M9401" s="101"/>
      <c r="N9401" s="101"/>
    </row>
    <row r="9402" spans="7:14" hidden="1" x14ac:dyDescent="0.3">
      <c r="G9402" s="101"/>
      <c r="H9402" s="101"/>
      <c r="I9402" s="101"/>
      <c r="K9402" s="226"/>
      <c r="L9402" s="226"/>
      <c r="M9402" s="101"/>
      <c r="N9402" s="101"/>
    </row>
    <row r="9403" spans="7:14" hidden="1" x14ac:dyDescent="0.3">
      <c r="G9403" s="101"/>
      <c r="H9403" s="101"/>
      <c r="I9403" s="101"/>
      <c r="K9403" s="226"/>
      <c r="L9403" s="226"/>
      <c r="M9403" s="101"/>
      <c r="N9403" s="101"/>
    </row>
    <row r="9404" spans="7:14" hidden="1" x14ac:dyDescent="0.3">
      <c r="G9404" s="101"/>
      <c r="H9404" s="101"/>
      <c r="I9404" s="101"/>
      <c r="K9404" s="226"/>
      <c r="L9404" s="226"/>
      <c r="M9404" s="101"/>
      <c r="N9404" s="101"/>
    </row>
    <row r="9405" spans="7:14" hidden="1" x14ac:dyDescent="0.3">
      <c r="G9405" s="101"/>
      <c r="H9405" s="101"/>
      <c r="I9405" s="101"/>
      <c r="K9405" s="226"/>
      <c r="L9405" s="226"/>
      <c r="M9405" s="101"/>
      <c r="N9405" s="101"/>
    </row>
    <row r="9406" spans="7:14" hidden="1" x14ac:dyDescent="0.3">
      <c r="G9406" s="101"/>
      <c r="H9406" s="101"/>
      <c r="I9406" s="101"/>
      <c r="K9406" s="226"/>
      <c r="L9406" s="226"/>
      <c r="M9406" s="101"/>
      <c r="N9406" s="101"/>
    </row>
    <row r="9407" spans="7:14" hidden="1" x14ac:dyDescent="0.3">
      <c r="G9407" s="101"/>
      <c r="H9407" s="101"/>
      <c r="I9407" s="101"/>
      <c r="K9407" s="226"/>
      <c r="L9407" s="226"/>
      <c r="M9407" s="101"/>
      <c r="N9407" s="101"/>
    </row>
    <row r="9408" spans="7:14" hidden="1" x14ac:dyDescent="0.3">
      <c r="G9408" s="101"/>
      <c r="H9408" s="101"/>
      <c r="I9408" s="101"/>
      <c r="K9408" s="226"/>
      <c r="L9408" s="226"/>
      <c r="M9408" s="101"/>
      <c r="N9408" s="101"/>
    </row>
    <row r="9409" spans="7:14" hidden="1" x14ac:dyDescent="0.3">
      <c r="G9409" s="101"/>
      <c r="H9409" s="101"/>
      <c r="I9409" s="101"/>
      <c r="K9409" s="226"/>
      <c r="L9409" s="226"/>
      <c r="M9409" s="101"/>
      <c r="N9409" s="101"/>
    </row>
    <row r="9410" spans="7:14" hidden="1" x14ac:dyDescent="0.3">
      <c r="G9410" s="101"/>
      <c r="H9410" s="101"/>
      <c r="I9410" s="101"/>
      <c r="K9410" s="226"/>
      <c r="L9410" s="226"/>
      <c r="M9410" s="101"/>
      <c r="N9410" s="101"/>
    </row>
    <row r="9411" spans="7:14" hidden="1" x14ac:dyDescent="0.3">
      <c r="G9411" s="101"/>
      <c r="H9411" s="101"/>
      <c r="I9411" s="101"/>
      <c r="K9411" s="226"/>
      <c r="L9411" s="226"/>
      <c r="M9411" s="101"/>
      <c r="N9411" s="101"/>
    </row>
    <row r="9412" spans="7:14" hidden="1" x14ac:dyDescent="0.3">
      <c r="G9412" s="101"/>
      <c r="H9412" s="101"/>
      <c r="I9412" s="101"/>
      <c r="K9412" s="226"/>
      <c r="L9412" s="226"/>
      <c r="M9412" s="101"/>
      <c r="N9412" s="101"/>
    </row>
    <row r="9413" spans="7:14" hidden="1" x14ac:dyDescent="0.3">
      <c r="G9413" s="101"/>
      <c r="H9413" s="101"/>
      <c r="I9413" s="101"/>
      <c r="K9413" s="226"/>
      <c r="L9413" s="226"/>
      <c r="M9413" s="101"/>
      <c r="N9413" s="101"/>
    </row>
    <row r="9414" spans="7:14" hidden="1" x14ac:dyDescent="0.3">
      <c r="G9414" s="101"/>
      <c r="H9414" s="101"/>
      <c r="I9414" s="101"/>
      <c r="K9414" s="226"/>
      <c r="L9414" s="226"/>
      <c r="M9414" s="101"/>
      <c r="N9414" s="101"/>
    </row>
    <row r="9415" spans="7:14" hidden="1" x14ac:dyDescent="0.3">
      <c r="G9415" s="101"/>
      <c r="H9415" s="101"/>
      <c r="I9415" s="101"/>
      <c r="K9415" s="226"/>
      <c r="L9415" s="226"/>
      <c r="M9415" s="101"/>
      <c r="N9415" s="101"/>
    </row>
    <row r="9416" spans="7:14" hidden="1" x14ac:dyDescent="0.3">
      <c r="G9416" s="101"/>
      <c r="H9416" s="101"/>
      <c r="I9416" s="101"/>
      <c r="K9416" s="226"/>
      <c r="L9416" s="226"/>
      <c r="M9416" s="101"/>
      <c r="N9416" s="101"/>
    </row>
    <row r="9417" spans="7:14" hidden="1" x14ac:dyDescent="0.3">
      <c r="G9417" s="101"/>
      <c r="H9417" s="101"/>
      <c r="I9417" s="101"/>
      <c r="K9417" s="226"/>
      <c r="L9417" s="226"/>
      <c r="M9417" s="101"/>
      <c r="N9417" s="101"/>
    </row>
    <row r="9418" spans="7:14" hidden="1" x14ac:dyDescent="0.3">
      <c r="G9418" s="101"/>
      <c r="H9418" s="101"/>
      <c r="I9418" s="101"/>
      <c r="K9418" s="226"/>
      <c r="L9418" s="226"/>
      <c r="M9418" s="101"/>
      <c r="N9418" s="101"/>
    </row>
    <row r="9419" spans="7:14" hidden="1" x14ac:dyDescent="0.3">
      <c r="G9419" s="101"/>
      <c r="H9419" s="101"/>
      <c r="I9419" s="101"/>
      <c r="K9419" s="226"/>
      <c r="L9419" s="226"/>
      <c r="M9419" s="101"/>
      <c r="N9419" s="101"/>
    </row>
    <row r="9420" spans="7:14" hidden="1" x14ac:dyDescent="0.3">
      <c r="G9420" s="101"/>
      <c r="H9420" s="101"/>
      <c r="I9420" s="101"/>
      <c r="K9420" s="226"/>
      <c r="L9420" s="226"/>
      <c r="M9420" s="101"/>
      <c r="N9420" s="101"/>
    </row>
    <row r="9421" spans="7:14" hidden="1" x14ac:dyDescent="0.3">
      <c r="G9421" s="101"/>
      <c r="H9421" s="101"/>
      <c r="I9421" s="101"/>
      <c r="K9421" s="226"/>
      <c r="L9421" s="226"/>
      <c r="M9421" s="101"/>
      <c r="N9421" s="101"/>
    </row>
    <row r="9422" spans="7:14" hidden="1" x14ac:dyDescent="0.3">
      <c r="G9422" s="101"/>
      <c r="H9422" s="101"/>
      <c r="I9422" s="101"/>
      <c r="K9422" s="226"/>
      <c r="L9422" s="226"/>
      <c r="M9422" s="101"/>
      <c r="N9422" s="101"/>
    </row>
    <row r="9423" spans="7:14" hidden="1" x14ac:dyDescent="0.3">
      <c r="G9423" s="101"/>
      <c r="H9423" s="101"/>
      <c r="I9423" s="101"/>
      <c r="K9423" s="226"/>
      <c r="L9423" s="226"/>
      <c r="M9423" s="101"/>
      <c r="N9423" s="101"/>
    </row>
    <row r="9424" spans="7:14" hidden="1" x14ac:dyDescent="0.3">
      <c r="G9424" s="101"/>
      <c r="H9424" s="101"/>
      <c r="I9424" s="101"/>
      <c r="K9424" s="226"/>
      <c r="L9424" s="226"/>
      <c r="M9424" s="101"/>
      <c r="N9424" s="101"/>
    </row>
    <row r="9425" spans="7:14" hidden="1" x14ac:dyDescent="0.3">
      <c r="G9425" s="101"/>
      <c r="H9425" s="101"/>
      <c r="I9425" s="101"/>
      <c r="K9425" s="226"/>
      <c r="L9425" s="226"/>
      <c r="M9425" s="101"/>
      <c r="N9425" s="101"/>
    </row>
    <row r="9426" spans="7:14" hidden="1" x14ac:dyDescent="0.3">
      <c r="G9426" s="101"/>
      <c r="H9426" s="101"/>
      <c r="I9426" s="101"/>
      <c r="K9426" s="226"/>
      <c r="L9426" s="226"/>
      <c r="M9426" s="101"/>
      <c r="N9426" s="101"/>
    </row>
    <row r="9427" spans="7:14" hidden="1" x14ac:dyDescent="0.3">
      <c r="G9427" s="101"/>
      <c r="H9427" s="101"/>
      <c r="I9427" s="101"/>
      <c r="K9427" s="226"/>
      <c r="L9427" s="226"/>
      <c r="M9427" s="101"/>
      <c r="N9427" s="101"/>
    </row>
    <row r="9428" spans="7:14" hidden="1" x14ac:dyDescent="0.3">
      <c r="G9428" s="101"/>
      <c r="H9428" s="101"/>
      <c r="I9428" s="101"/>
      <c r="K9428" s="226"/>
      <c r="L9428" s="226"/>
      <c r="M9428" s="101"/>
      <c r="N9428" s="101"/>
    </row>
    <row r="9429" spans="7:14" hidden="1" x14ac:dyDescent="0.3">
      <c r="G9429" s="101"/>
      <c r="H9429" s="101"/>
      <c r="I9429" s="101"/>
      <c r="K9429" s="226"/>
      <c r="L9429" s="226"/>
      <c r="M9429" s="101"/>
      <c r="N9429" s="101"/>
    </row>
    <row r="9430" spans="7:14" hidden="1" x14ac:dyDescent="0.3">
      <c r="G9430" s="101"/>
      <c r="H9430" s="101"/>
      <c r="I9430" s="101"/>
      <c r="K9430" s="226"/>
      <c r="L9430" s="226"/>
      <c r="M9430" s="101"/>
      <c r="N9430" s="101"/>
    </row>
    <row r="9431" spans="7:14" hidden="1" x14ac:dyDescent="0.3">
      <c r="G9431" s="101"/>
      <c r="H9431" s="101"/>
      <c r="I9431" s="101"/>
      <c r="K9431" s="226"/>
      <c r="L9431" s="226"/>
      <c r="M9431" s="101"/>
      <c r="N9431" s="101"/>
    </row>
    <row r="9432" spans="7:14" hidden="1" x14ac:dyDescent="0.3">
      <c r="G9432" s="101"/>
      <c r="H9432" s="101"/>
      <c r="I9432" s="101"/>
      <c r="K9432" s="226"/>
      <c r="L9432" s="226"/>
      <c r="M9432" s="101"/>
      <c r="N9432" s="101"/>
    </row>
    <row r="9433" spans="7:14" hidden="1" x14ac:dyDescent="0.3">
      <c r="G9433" s="101"/>
      <c r="H9433" s="101"/>
      <c r="I9433" s="101"/>
      <c r="K9433" s="226"/>
      <c r="L9433" s="226"/>
      <c r="M9433" s="101"/>
      <c r="N9433" s="101"/>
    </row>
    <row r="9434" spans="7:14" hidden="1" x14ac:dyDescent="0.3">
      <c r="G9434" s="101"/>
      <c r="H9434" s="101"/>
      <c r="I9434" s="101"/>
      <c r="K9434" s="226"/>
      <c r="L9434" s="226"/>
      <c r="M9434" s="101"/>
      <c r="N9434" s="101"/>
    </row>
    <row r="9435" spans="7:14" hidden="1" x14ac:dyDescent="0.3">
      <c r="G9435" s="101"/>
      <c r="H9435" s="101"/>
      <c r="I9435" s="101"/>
      <c r="K9435" s="226"/>
      <c r="L9435" s="226"/>
      <c r="M9435" s="101"/>
      <c r="N9435" s="101"/>
    </row>
    <row r="9436" spans="7:14" hidden="1" x14ac:dyDescent="0.3">
      <c r="G9436" s="101"/>
      <c r="H9436" s="101"/>
      <c r="I9436" s="101"/>
      <c r="K9436" s="226"/>
      <c r="L9436" s="226"/>
      <c r="M9436" s="101"/>
      <c r="N9436" s="101"/>
    </row>
    <row r="9437" spans="7:14" hidden="1" x14ac:dyDescent="0.3">
      <c r="G9437" s="101"/>
      <c r="H9437" s="101"/>
      <c r="I9437" s="101"/>
      <c r="K9437" s="226"/>
      <c r="L9437" s="226"/>
      <c r="M9437" s="101"/>
      <c r="N9437" s="101"/>
    </row>
    <row r="9438" spans="7:14" hidden="1" x14ac:dyDescent="0.3">
      <c r="G9438" s="101"/>
      <c r="H9438" s="101"/>
      <c r="I9438" s="101"/>
      <c r="K9438" s="226"/>
      <c r="L9438" s="226"/>
      <c r="M9438" s="101"/>
      <c r="N9438" s="101"/>
    </row>
    <row r="9439" spans="7:14" hidden="1" x14ac:dyDescent="0.3">
      <c r="G9439" s="101"/>
      <c r="H9439" s="101"/>
      <c r="I9439" s="101"/>
      <c r="K9439" s="226"/>
      <c r="L9439" s="226"/>
      <c r="M9439" s="101"/>
      <c r="N9439" s="101"/>
    </row>
    <row r="9440" spans="7:14" hidden="1" x14ac:dyDescent="0.3">
      <c r="G9440" s="101"/>
      <c r="H9440" s="101"/>
      <c r="I9440" s="101"/>
      <c r="K9440" s="226"/>
      <c r="L9440" s="226"/>
      <c r="M9440" s="101"/>
      <c r="N9440" s="101"/>
    </row>
    <row r="9441" spans="7:14" hidden="1" x14ac:dyDescent="0.3">
      <c r="G9441" s="101"/>
      <c r="H9441" s="101"/>
      <c r="I9441" s="101"/>
      <c r="K9441" s="226"/>
      <c r="L9441" s="226"/>
      <c r="M9441" s="101"/>
      <c r="N9441" s="101"/>
    </row>
    <row r="9442" spans="7:14" hidden="1" x14ac:dyDescent="0.3">
      <c r="G9442" s="101"/>
      <c r="H9442" s="101"/>
      <c r="I9442" s="101"/>
      <c r="K9442" s="226"/>
      <c r="L9442" s="226"/>
      <c r="M9442" s="101"/>
      <c r="N9442" s="101"/>
    </row>
    <row r="9443" spans="7:14" hidden="1" x14ac:dyDescent="0.3">
      <c r="G9443" s="101"/>
      <c r="H9443" s="101"/>
      <c r="I9443" s="101"/>
      <c r="K9443" s="226"/>
      <c r="L9443" s="226"/>
      <c r="M9443" s="101"/>
      <c r="N9443" s="101"/>
    </row>
    <row r="9444" spans="7:14" hidden="1" x14ac:dyDescent="0.3">
      <c r="G9444" s="101"/>
      <c r="H9444" s="101"/>
      <c r="I9444" s="101"/>
      <c r="K9444" s="226"/>
      <c r="L9444" s="226"/>
      <c r="M9444" s="101"/>
      <c r="N9444" s="101"/>
    </row>
    <row r="9445" spans="7:14" hidden="1" x14ac:dyDescent="0.3">
      <c r="G9445" s="101"/>
      <c r="H9445" s="101"/>
      <c r="I9445" s="101"/>
      <c r="K9445" s="226"/>
      <c r="L9445" s="226"/>
      <c r="M9445" s="101"/>
      <c r="N9445" s="101"/>
    </row>
    <row r="9446" spans="7:14" hidden="1" x14ac:dyDescent="0.3">
      <c r="G9446" s="101"/>
      <c r="H9446" s="101"/>
      <c r="I9446" s="101"/>
      <c r="K9446" s="226"/>
      <c r="L9446" s="226"/>
      <c r="M9446" s="101"/>
      <c r="N9446" s="101"/>
    </row>
    <row r="9447" spans="7:14" hidden="1" x14ac:dyDescent="0.3">
      <c r="G9447" s="101"/>
      <c r="H9447" s="101"/>
      <c r="I9447" s="101"/>
      <c r="K9447" s="226"/>
      <c r="L9447" s="226"/>
      <c r="M9447" s="101"/>
      <c r="N9447" s="101"/>
    </row>
    <row r="9448" spans="7:14" hidden="1" x14ac:dyDescent="0.3">
      <c r="G9448" s="101"/>
      <c r="H9448" s="101"/>
      <c r="I9448" s="101"/>
      <c r="K9448" s="226"/>
      <c r="L9448" s="226"/>
      <c r="M9448" s="101"/>
      <c r="N9448" s="101"/>
    </row>
    <row r="9449" spans="7:14" hidden="1" x14ac:dyDescent="0.3">
      <c r="G9449" s="101"/>
      <c r="H9449" s="101"/>
      <c r="I9449" s="101"/>
      <c r="K9449" s="226"/>
      <c r="L9449" s="226"/>
      <c r="M9449" s="101"/>
      <c r="N9449" s="101"/>
    </row>
    <row r="9450" spans="7:14" hidden="1" x14ac:dyDescent="0.3">
      <c r="G9450" s="101"/>
      <c r="H9450" s="101"/>
      <c r="I9450" s="101"/>
      <c r="K9450" s="226"/>
      <c r="L9450" s="226"/>
      <c r="M9450" s="101"/>
      <c r="N9450" s="101"/>
    </row>
    <row r="9451" spans="7:14" hidden="1" x14ac:dyDescent="0.3">
      <c r="G9451" s="101"/>
      <c r="H9451" s="101"/>
      <c r="I9451" s="101"/>
      <c r="K9451" s="226"/>
      <c r="L9451" s="226"/>
      <c r="M9451" s="101"/>
      <c r="N9451" s="101"/>
    </row>
    <row r="9452" spans="7:14" hidden="1" x14ac:dyDescent="0.3">
      <c r="G9452" s="101"/>
      <c r="H9452" s="101"/>
      <c r="I9452" s="101"/>
      <c r="K9452" s="226"/>
      <c r="L9452" s="226"/>
      <c r="M9452" s="101"/>
      <c r="N9452" s="101"/>
    </row>
    <row r="9453" spans="7:14" hidden="1" x14ac:dyDescent="0.3">
      <c r="G9453" s="101"/>
      <c r="H9453" s="101"/>
      <c r="I9453" s="101"/>
      <c r="K9453" s="226"/>
      <c r="L9453" s="226"/>
      <c r="M9453" s="101"/>
      <c r="N9453" s="101"/>
    </row>
    <row r="9454" spans="7:14" hidden="1" x14ac:dyDescent="0.3">
      <c r="G9454" s="101"/>
      <c r="H9454" s="101"/>
      <c r="I9454" s="101"/>
      <c r="K9454" s="226"/>
      <c r="L9454" s="226"/>
      <c r="M9454" s="101"/>
      <c r="N9454" s="101"/>
    </row>
    <row r="9455" spans="7:14" hidden="1" x14ac:dyDescent="0.3">
      <c r="G9455" s="101"/>
      <c r="H9455" s="101"/>
      <c r="I9455" s="101"/>
      <c r="K9455" s="226"/>
      <c r="L9455" s="226"/>
      <c r="M9455" s="101"/>
      <c r="N9455" s="101"/>
    </row>
    <row r="9456" spans="7:14" hidden="1" x14ac:dyDescent="0.3">
      <c r="G9456" s="101"/>
      <c r="H9456" s="101"/>
      <c r="I9456" s="101"/>
      <c r="K9456" s="226"/>
      <c r="L9456" s="226"/>
      <c r="M9456" s="101"/>
      <c r="N9456" s="101"/>
    </row>
    <row r="9457" spans="7:14" hidden="1" x14ac:dyDescent="0.3">
      <c r="G9457" s="101"/>
      <c r="H9457" s="101"/>
      <c r="I9457" s="101"/>
      <c r="K9457" s="226"/>
      <c r="L9457" s="226"/>
      <c r="M9457" s="101"/>
      <c r="N9457" s="101"/>
    </row>
    <row r="9458" spans="7:14" hidden="1" x14ac:dyDescent="0.3">
      <c r="G9458" s="101"/>
      <c r="H9458" s="101"/>
      <c r="I9458" s="101"/>
      <c r="K9458" s="226"/>
      <c r="L9458" s="226"/>
      <c r="M9458" s="101"/>
      <c r="N9458" s="101"/>
    </row>
    <row r="9459" spans="7:14" hidden="1" x14ac:dyDescent="0.3">
      <c r="G9459" s="101"/>
      <c r="H9459" s="101"/>
      <c r="I9459" s="101"/>
      <c r="K9459" s="226"/>
      <c r="L9459" s="226"/>
      <c r="M9459" s="101"/>
      <c r="N9459" s="101"/>
    </row>
    <row r="9460" spans="7:14" hidden="1" x14ac:dyDescent="0.3">
      <c r="G9460" s="101"/>
      <c r="H9460" s="101"/>
      <c r="I9460" s="101"/>
      <c r="K9460" s="226"/>
      <c r="L9460" s="226"/>
      <c r="M9460" s="101"/>
      <c r="N9460" s="101"/>
    </row>
    <row r="9461" spans="7:14" hidden="1" x14ac:dyDescent="0.3">
      <c r="G9461" s="101"/>
      <c r="H9461" s="101"/>
      <c r="I9461" s="101"/>
      <c r="K9461" s="226"/>
      <c r="L9461" s="226"/>
      <c r="M9461" s="101"/>
      <c r="N9461" s="101"/>
    </row>
    <row r="9462" spans="7:14" hidden="1" x14ac:dyDescent="0.3">
      <c r="G9462" s="101"/>
      <c r="H9462" s="101"/>
      <c r="I9462" s="101"/>
      <c r="K9462" s="226"/>
      <c r="L9462" s="226"/>
      <c r="M9462" s="101"/>
      <c r="N9462" s="101"/>
    </row>
    <row r="9463" spans="7:14" hidden="1" x14ac:dyDescent="0.3">
      <c r="G9463" s="101"/>
      <c r="H9463" s="101"/>
      <c r="I9463" s="101"/>
      <c r="K9463" s="226"/>
      <c r="L9463" s="226"/>
      <c r="M9463" s="101"/>
      <c r="N9463" s="101"/>
    </row>
    <row r="9464" spans="7:14" hidden="1" x14ac:dyDescent="0.3">
      <c r="G9464" s="101"/>
      <c r="H9464" s="101"/>
      <c r="I9464" s="101"/>
      <c r="K9464" s="226"/>
      <c r="L9464" s="226"/>
      <c r="M9464" s="101"/>
      <c r="N9464" s="101"/>
    </row>
    <row r="9465" spans="7:14" hidden="1" x14ac:dyDescent="0.3">
      <c r="G9465" s="101"/>
      <c r="H9465" s="101"/>
      <c r="I9465" s="101"/>
      <c r="K9465" s="226"/>
      <c r="L9465" s="226"/>
      <c r="M9465" s="101"/>
      <c r="N9465" s="101"/>
    </row>
    <row r="9466" spans="7:14" hidden="1" x14ac:dyDescent="0.3">
      <c r="G9466" s="101"/>
      <c r="H9466" s="101"/>
      <c r="I9466" s="101"/>
      <c r="K9466" s="226"/>
      <c r="L9466" s="226"/>
      <c r="M9466" s="101"/>
      <c r="N9466" s="101"/>
    </row>
    <row r="9467" spans="7:14" hidden="1" x14ac:dyDescent="0.3">
      <c r="G9467" s="101"/>
      <c r="H9467" s="101"/>
      <c r="I9467" s="101"/>
      <c r="K9467" s="226"/>
      <c r="L9467" s="226"/>
      <c r="M9467" s="101"/>
      <c r="N9467" s="101"/>
    </row>
    <row r="9468" spans="7:14" hidden="1" x14ac:dyDescent="0.3">
      <c r="G9468" s="101"/>
      <c r="H9468" s="101"/>
      <c r="I9468" s="101"/>
      <c r="K9468" s="226"/>
      <c r="L9468" s="226"/>
      <c r="M9468" s="101"/>
      <c r="N9468" s="101"/>
    </row>
    <row r="9469" spans="7:14" hidden="1" x14ac:dyDescent="0.3">
      <c r="G9469" s="101"/>
      <c r="H9469" s="101"/>
      <c r="I9469" s="101"/>
      <c r="K9469" s="226"/>
      <c r="L9469" s="226"/>
      <c r="M9469" s="101"/>
      <c r="N9469" s="101"/>
    </row>
    <row r="9470" spans="7:14" hidden="1" x14ac:dyDescent="0.3">
      <c r="G9470" s="101"/>
      <c r="H9470" s="101"/>
      <c r="I9470" s="101"/>
      <c r="K9470" s="226"/>
      <c r="L9470" s="226"/>
      <c r="M9470" s="101"/>
      <c r="N9470" s="101"/>
    </row>
    <row r="9471" spans="7:14" hidden="1" x14ac:dyDescent="0.3">
      <c r="G9471" s="101"/>
      <c r="H9471" s="101"/>
      <c r="I9471" s="101"/>
      <c r="K9471" s="226"/>
      <c r="L9471" s="226"/>
      <c r="M9471" s="101"/>
      <c r="N9471" s="101"/>
    </row>
    <row r="9472" spans="7:14" hidden="1" x14ac:dyDescent="0.3">
      <c r="G9472" s="101"/>
      <c r="H9472" s="101"/>
      <c r="I9472" s="101"/>
      <c r="K9472" s="226"/>
      <c r="L9472" s="226"/>
      <c r="M9472" s="101"/>
      <c r="N9472" s="101"/>
    </row>
    <row r="9473" spans="7:14" hidden="1" x14ac:dyDescent="0.3">
      <c r="G9473" s="101"/>
      <c r="H9473" s="101"/>
      <c r="I9473" s="101"/>
      <c r="K9473" s="226"/>
      <c r="L9473" s="226"/>
      <c r="M9473" s="101"/>
      <c r="N9473" s="101"/>
    </row>
    <row r="9474" spans="7:14" hidden="1" x14ac:dyDescent="0.3">
      <c r="G9474" s="101"/>
      <c r="H9474" s="101"/>
      <c r="I9474" s="101"/>
      <c r="K9474" s="226"/>
      <c r="L9474" s="226"/>
      <c r="M9474" s="101"/>
      <c r="N9474" s="101"/>
    </row>
    <row r="9475" spans="7:14" hidden="1" x14ac:dyDescent="0.3">
      <c r="G9475" s="101"/>
      <c r="H9475" s="101"/>
      <c r="I9475" s="101"/>
      <c r="K9475" s="226"/>
      <c r="L9475" s="226"/>
      <c r="M9475" s="101"/>
      <c r="N9475" s="101"/>
    </row>
    <row r="9476" spans="7:14" hidden="1" x14ac:dyDescent="0.3">
      <c r="G9476" s="101"/>
      <c r="H9476" s="101"/>
      <c r="I9476" s="101"/>
      <c r="K9476" s="226"/>
      <c r="L9476" s="226"/>
      <c r="M9476" s="101"/>
      <c r="N9476" s="101"/>
    </row>
    <row r="9477" spans="7:14" hidden="1" x14ac:dyDescent="0.3">
      <c r="G9477" s="101"/>
      <c r="H9477" s="101"/>
      <c r="I9477" s="101"/>
      <c r="K9477" s="226"/>
      <c r="L9477" s="226"/>
      <c r="M9477" s="101"/>
      <c r="N9477" s="101"/>
    </row>
    <row r="9478" spans="7:14" hidden="1" x14ac:dyDescent="0.3">
      <c r="G9478" s="101"/>
      <c r="H9478" s="101"/>
      <c r="I9478" s="101"/>
      <c r="K9478" s="226"/>
      <c r="L9478" s="226"/>
      <c r="M9478" s="101"/>
      <c r="N9478" s="101"/>
    </row>
    <row r="9479" spans="7:14" hidden="1" x14ac:dyDescent="0.3">
      <c r="G9479" s="101"/>
      <c r="H9479" s="101"/>
      <c r="I9479" s="101"/>
      <c r="K9479" s="226"/>
      <c r="L9479" s="226"/>
      <c r="M9479" s="101"/>
      <c r="N9479" s="101"/>
    </row>
    <row r="9480" spans="7:14" hidden="1" x14ac:dyDescent="0.3">
      <c r="G9480" s="101"/>
      <c r="H9480" s="101"/>
      <c r="I9480" s="101"/>
      <c r="K9480" s="226"/>
      <c r="L9480" s="226"/>
      <c r="M9480" s="101"/>
      <c r="N9480" s="101"/>
    </row>
    <row r="9481" spans="7:14" hidden="1" x14ac:dyDescent="0.3">
      <c r="G9481" s="101"/>
      <c r="H9481" s="101"/>
      <c r="I9481" s="101"/>
      <c r="K9481" s="226"/>
      <c r="L9481" s="226"/>
      <c r="M9481" s="101"/>
      <c r="N9481" s="101"/>
    </row>
    <row r="9482" spans="7:14" hidden="1" x14ac:dyDescent="0.3">
      <c r="G9482" s="101"/>
      <c r="H9482" s="101"/>
      <c r="I9482" s="101"/>
      <c r="K9482" s="226"/>
      <c r="L9482" s="226"/>
      <c r="M9482" s="101"/>
      <c r="N9482" s="101"/>
    </row>
    <row r="9483" spans="7:14" hidden="1" x14ac:dyDescent="0.3">
      <c r="G9483" s="101"/>
      <c r="H9483" s="101"/>
      <c r="I9483" s="101"/>
      <c r="K9483" s="226"/>
      <c r="L9483" s="226"/>
      <c r="M9483" s="101"/>
      <c r="N9483" s="101"/>
    </row>
    <row r="9484" spans="7:14" hidden="1" x14ac:dyDescent="0.3">
      <c r="G9484" s="101"/>
      <c r="H9484" s="101"/>
      <c r="I9484" s="101"/>
      <c r="K9484" s="226"/>
      <c r="L9484" s="226"/>
      <c r="M9484" s="101"/>
      <c r="N9484" s="101"/>
    </row>
    <row r="9485" spans="7:14" hidden="1" x14ac:dyDescent="0.3">
      <c r="G9485" s="101"/>
      <c r="H9485" s="101"/>
      <c r="I9485" s="101"/>
      <c r="K9485" s="226"/>
      <c r="L9485" s="226"/>
      <c r="M9485" s="101"/>
      <c r="N9485" s="101"/>
    </row>
    <row r="9486" spans="7:14" hidden="1" x14ac:dyDescent="0.3">
      <c r="G9486" s="101"/>
      <c r="H9486" s="101"/>
      <c r="I9486" s="101"/>
      <c r="K9486" s="226"/>
      <c r="L9486" s="226"/>
      <c r="M9486" s="101"/>
      <c r="N9486" s="101"/>
    </row>
    <row r="9487" spans="7:14" hidden="1" x14ac:dyDescent="0.3">
      <c r="G9487" s="101"/>
      <c r="H9487" s="101"/>
      <c r="I9487" s="101"/>
      <c r="K9487" s="226"/>
      <c r="L9487" s="226"/>
      <c r="M9487" s="101"/>
      <c r="N9487" s="101"/>
    </row>
    <row r="9488" spans="7:14" hidden="1" x14ac:dyDescent="0.3">
      <c r="G9488" s="101"/>
      <c r="H9488" s="101"/>
      <c r="I9488" s="101"/>
      <c r="K9488" s="226"/>
      <c r="L9488" s="226"/>
      <c r="M9488" s="101"/>
      <c r="N9488" s="101"/>
    </row>
    <row r="9489" spans="7:14" hidden="1" x14ac:dyDescent="0.3">
      <c r="G9489" s="101"/>
      <c r="H9489" s="101"/>
      <c r="I9489" s="101"/>
      <c r="K9489" s="226"/>
      <c r="L9489" s="226"/>
      <c r="M9489" s="101"/>
      <c r="N9489" s="101"/>
    </row>
    <row r="9490" spans="7:14" hidden="1" x14ac:dyDescent="0.3">
      <c r="G9490" s="101"/>
      <c r="H9490" s="101"/>
      <c r="I9490" s="101"/>
      <c r="K9490" s="226"/>
      <c r="L9490" s="226"/>
      <c r="M9490" s="101"/>
      <c r="N9490" s="101"/>
    </row>
    <row r="9491" spans="7:14" hidden="1" x14ac:dyDescent="0.3">
      <c r="G9491" s="101"/>
      <c r="H9491" s="101"/>
      <c r="I9491" s="101"/>
      <c r="K9491" s="226"/>
      <c r="L9491" s="226"/>
      <c r="M9491" s="101"/>
      <c r="N9491" s="101"/>
    </row>
    <row r="9492" spans="7:14" hidden="1" x14ac:dyDescent="0.3">
      <c r="G9492" s="101"/>
      <c r="H9492" s="101"/>
      <c r="I9492" s="101"/>
      <c r="K9492" s="226"/>
      <c r="L9492" s="226"/>
      <c r="M9492" s="101"/>
      <c r="N9492" s="101"/>
    </row>
    <row r="9493" spans="7:14" hidden="1" x14ac:dyDescent="0.3">
      <c r="G9493" s="101"/>
      <c r="H9493" s="101"/>
      <c r="I9493" s="101"/>
      <c r="K9493" s="226"/>
      <c r="L9493" s="226"/>
      <c r="M9493" s="101"/>
      <c r="N9493" s="101"/>
    </row>
    <row r="9494" spans="7:14" hidden="1" x14ac:dyDescent="0.3">
      <c r="G9494" s="101"/>
      <c r="H9494" s="101"/>
      <c r="I9494" s="101"/>
      <c r="K9494" s="226"/>
      <c r="L9494" s="226"/>
      <c r="M9494" s="101"/>
      <c r="N9494" s="101"/>
    </row>
    <row r="9495" spans="7:14" hidden="1" x14ac:dyDescent="0.3">
      <c r="G9495" s="101"/>
      <c r="H9495" s="101"/>
      <c r="I9495" s="101"/>
      <c r="K9495" s="226"/>
      <c r="L9495" s="226"/>
      <c r="M9495" s="101"/>
      <c r="N9495" s="101"/>
    </row>
    <row r="9496" spans="7:14" hidden="1" x14ac:dyDescent="0.3">
      <c r="G9496" s="101"/>
      <c r="H9496" s="101"/>
      <c r="I9496" s="101"/>
      <c r="K9496" s="226"/>
      <c r="L9496" s="226"/>
      <c r="M9496" s="101"/>
      <c r="N9496" s="101"/>
    </row>
    <row r="9497" spans="7:14" hidden="1" x14ac:dyDescent="0.3">
      <c r="G9497" s="101"/>
      <c r="H9497" s="101"/>
      <c r="I9497" s="101"/>
      <c r="K9497" s="226"/>
      <c r="L9497" s="226"/>
      <c r="M9497" s="101"/>
      <c r="N9497" s="101"/>
    </row>
    <row r="9498" spans="7:14" hidden="1" x14ac:dyDescent="0.3">
      <c r="G9498" s="101"/>
      <c r="H9498" s="101"/>
      <c r="I9498" s="101"/>
      <c r="K9498" s="226"/>
      <c r="L9498" s="226"/>
      <c r="M9498" s="101"/>
      <c r="N9498" s="101"/>
    </row>
    <row r="9499" spans="7:14" hidden="1" x14ac:dyDescent="0.3">
      <c r="G9499" s="101"/>
      <c r="H9499" s="101"/>
      <c r="I9499" s="101"/>
      <c r="K9499" s="226"/>
      <c r="L9499" s="226"/>
      <c r="M9499" s="101"/>
      <c r="N9499" s="101"/>
    </row>
    <row r="9500" spans="7:14" hidden="1" x14ac:dyDescent="0.3">
      <c r="G9500" s="101"/>
      <c r="H9500" s="101"/>
      <c r="I9500" s="101"/>
      <c r="K9500" s="226"/>
      <c r="L9500" s="226"/>
      <c r="M9500" s="101"/>
      <c r="N9500" s="101"/>
    </row>
    <row r="9501" spans="7:14" hidden="1" x14ac:dyDescent="0.3">
      <c r="G9501" s="101"/>
      <c r="H9501" s="101"/>
      <c r="I9501" s="101"/>
      <c r="K9501" s="226"/>
      <c r="L9501" s="226"/>
      <c r="M9501" s="101"/>
      <c r="N9501" s="101"/>
    </row>
    <row r="9502" spans="7:14" hidden="1" x14ac:dyDescent="0.3">
      <c r="G9502" s="101"/>
      <c r="H9502" s="101"/>
      <c r="I9502" s="101"/>
      <c r="K9502" s="226"/>
      <c r="L9502" s="226"/>
      <c r="M9502" s="101"/>
      <c r="N9502" s="101"/>
    </row>
    <row r="9503" spans="7:14" hidden="1" x14ac:dyDescent="0.3">
      <c r="G9503" s="101"/>
      <c r="H9503" s="101"/>
      <c r="I9503" s="101"/>
      <c r="K9503" s="226"/>
      <c r="L9503" s="226"/>
      <c r="M9503" s="101"/>
      <c r="N9503" s="101"/>
    </row>
    <row r="9504" spans="7:14" hidden="1" x14ac:dyDescent="0.3">
      <c r="G9504" s="101"/>
      <c r="H9504" s="101"/>
      <c r="I9504" s="101"/>
      <c r="K9504" s="226"/>
      <c r="L9504" s="226"/>
      <c r="M9504" s="101"/>
      <c r="N9504" s="101"/>
    </row>
    <row r="9505" spans="7:14" hidden="1" x14ac:dyDescent="0.3">
      <c r="G9505" s="101"/>
      <c r="H9505" s="101"/>
      <c r="I9505" s="101"/>
      <c r="K9505" s="226"/>
      <c r="L9505" s="226"/>
      <c r="M9505" s="101"/>
      <c r="N9505" s="101"/>
    </row>
    <row r="9506" spans="7:14" hidden="1" x14ac:dyDescent="0.3">
      <c r="G9506" s="101"/>
      <c r="H9506" s="101"/>
      <c r="I9506" s="101"/>
      <c r="K9506" s="226"/>
      <c r="L9506" s="226"/>
      <c r="M9506" s="101"/>
      <c r="N9506" s="101"/>
    </row>
    <row r="9507" spans="7:14" hidden="1" x14ac:dyDescent="0.3">
      <c r="G9507" s="101"/>
      <c r="H9507" s="101"/>
      <c r="I9507" s="101"/>
      <c r="K9507" s="226"/>
      <c r="L9507" s="226"/>
      <c r="M9507" s="101"/>
      <c r="N9507" s="101"/>
    </row>
    <row r="9508" spans="7:14" hidden="1" x14ac:dyDescent="0.3">
      <c r="G9508" s="101"/>
      <c r="H9508" s="101"/>
      <c r="I9508" s="101"/>
      <c r="K9508" s="226"/>
      <c r="L9508" s="226"/>
      <c r="M9508" s="101"/>
      <c r="N9508" s="101"/>
    </row>
    <row r="9509" spans="7:14" hidden="1" x14ac:dyDescent="0.3">
      <c r="G9509" s="101"/>
      <c r="H9509" s="101"/>
      <c r="I9509" s="101"/>
      <c r="K9509" s="226"/>
      <c r="L9509" s="226"/>
      <c r="M9509" s="101"/>
      <c r="N9509" s="101"/>
    </row>
    <row r="9510" spans="7:14" hidden="1" x14ac:dyDescent="0.3">
      <c r="G9510" s="101"/>
      <c r="H9510" s="101"/>
      <c r="I9510" s="101"/>
      <c r="K9510" s="226"/>
      <c r="L9510" s="226"/>
      <c r="M9510" s="101"/>
      <c r="N9510" s="101"/>
    </row>
    <row r="9511" spans="7:14" hidden="1" x14ac:dyDescent="0.3">
      <c r="G9511" s="101"/>
      <c r="H9511" s="101"/>
      <c r="I9511" s="101"/>
      <c r="K9511" s="226"/>
      <c r="L9511" s="226"/>
      <c r="M9511" s="101"/>
      <c r="N9511" s="101"/>
    </row>
    <row r="9512" spans="7:14" hidden="1" x14ac:dyDescent="0.3">
      <c r="G9512" s="101"/>
      <c r="H9512" s="101"/>
      <c r="I9512" s="101"/>
      <c r="K9512" s="226"/>
      <c r="L9512" s="226"/>
      <c r="M9512" s="101"/>
      <c r="N9512" s="101"/>
    </row>
    <row r="9513" spans="7:14" hidden="1" x14ac:dyDescent="0.3">
      <c r="G9513" s="101"/>
      <c r="H9513" s="101"/>
      <c r="I9513" s="101"/>
      <c r="K9513" s="226"/>
      <c r="L9513" s="226"/>
      <c r="M9513" s="101"/>
      <c r="N9513" s="101"/>
    </row>
    <row r="9514" spans="7:14" hidden="1" x14ac:dyDescent="0.3">
      <c r="G9514" s="101"/>
      <c r="H9514" s="101"/>
      <c r="I9514" s="101"/>
      <c r="K9514" s="226"/>
      <c r="L9514" s="226"/>
      <c r="M9514" s="101"/>
      <c r="N9514" s="101"/>
    </row>
    <row r="9515" spans="7:14" hidden="1" x14ac:dyDescent="0.3">
      <c r="G9515" s="101"/>
      <c r="H9515" s="101"/>
      <c r="I9515" s="101"/>
      <c r="K9515" s="226"/>
      <c r="L9515" s="226"/>
      <c r="M9515" s="101"/>
      <c r="N9515" s="101"/>
    </row>
    <row r="9516" spans="7:14" hidden="1" x14ac:dyDescent="0.3">
      <c r="G9516" s="101"/>
      <c r="H9516" s="101"/>
      <c r="I9516" s="101"/>
      <c r="K9516" s="226"/>
      <c r="L9516" s="226"/>
      <c r="M9516" s="101"/>
      <c r="N9516" s="101"/>
    </row>
    <row r="9517" spans="7:14" hidden="1" x14ac:dyDescent="0.3">
      <c r="G9517" s="101"/>
      <c r="H9517" s="101"/>
      <c r="I9517" s="101"/>
      <c r="K9517" s="226"/>
      <c r="L9517" s="226"/>
      <c r="M9517" s="101"/>
      <c r="N9517" s="101"/>
    </row>
    <row r="9518" spans="7:14" hidden="1" x14ac:dyDescent="0.3">
      <c r="G9518" s="101"/>
      <c r="H9518" s="101"/>
      <c r="I9518" s="101"/>
      <c r="K9518" s="226"/>
      <c r="L9518" s="226"/>
      <c r="M9518" s="101"/>
      <c r="N9518" s="101"/>
    </row>
    <row r="9519" spans="7:14" hidden="1" x14ac:dyDescent="0.3">
      <c r="G9519" s="101"/>
      <c r="H9519" s="101"/>
      <c r="I9519" s="101"/>
      <c r="K9519" s="226"/>
      <c r="L9519" s="226"/>
      <c r="M9519" s="101"/>
      <c r="N9519" s="101"/>
    </row>
    <row r="9520" spans="7:14" hidden="1" x14ac:dyDescent="0.3">
      <c r="G9520" s="101"/>
      <c r="H9520" s="101"/>
      <c r="I9520" s="101"/>
      <c r="K9520" s="226"/>
      <c r="L9520" s="226"/>
      <c r="M9520" s="101"/>
      <c r="N9520" s="101"/>
    </row>
    <row r="9521" spans="7:14" hidden="1" x14ac:dyDescent="0.3">
      <c r="G9521" s="101"/>
      <c r="H9521" s="101"/>
      <c r="I9521" s="101"/>
      <c r="K9521" s="226"/>
      <c r="L9521" s="226"/>
      <c r="M9521" s="101"/>
      <c r="N9521" s="101"/>
    </row>
    <row r="9522" spans="7:14" hidden="1" x14ac:dyDescent="0.3">
      <c r="G9522" s="101"/>
      <c r="H9522" s="101"/>
      <c r="I9522" s="101"/>
      <c r="K9522" s="226"/>
      <c r="L9522" s="226"/>
      <c r="M9522" s="101"/>
      <c r="N9522" s="101"/>
    </row>
    <row r="9523" spans="7:14" hidden="1" x14ac:dyDescent="0.3">
      <c r="G9523" s="101"/>
      <c r="H9523" s="101"/>
      <c r="I9523" s="101"/>
      <c r="K9523" s="226"/>
      <c r="L9523" s="226"/>
      <c r="M9523" s="101"/>
      <c r="N9523" s="101"/>
    </row>
    <row r="9524" spans="7:14" hidden="1" x14ac:dyDescent="0.3">
      <c r="G9524" s="101"/>
      <c r="H9524" s="101"/>
      <c r="I9524" s="101"/>
      <c r="K9524" s="226"/>
      <c r="L9524" s="226"/>
      <c r="M9524" s="101"/>
      <c r="N9524" s="101"/>
    </row>
    <row r="9525" spans="7:14" hidden="1" x14ac:dyDescent="0.3">
      <c r="G9525" s="101"/>
      <c r="H9525" s="101"/>
      <c r="I9525" s="101"/>
      <c r="K9525" s="226"/>
      <c r="L9525" s="226"/>
      <c r="M9525" s="101"/>
      <c r="N9525" s="101"/>
    </row>
    <row r="9526" spans="7:14" hidden="1" x14ac:dyDescent="0.3">
      <c r="G9526" s="101"/>
      <c r="H9526" s="101"/>
      <c r="I9526" s="101"/>
      <c r="K9526" s="226"/>
      <c r="L9526" s="226"/>
      <c r="M9526" s="101"/>
      <c r="N9526" s="101"/>
    </row>
    <row r="9527" spans="7:14" hidden="1" x14ac:dyDescent="0.3">
      <c r="G9527" s="101"/>
      <c r="H9527" s="101"/>
      <c r="I9527" s="101"/>
      <c r="K9527" s="226"/>
      <c r="L9527" s="226"/>
      <c r="M9527" s="101"/>
      <c r="N9527" s="101"/>
    </row>
    <row r="9528" spans="7:14" hidden="1" x14ac:dyDescent="0.3">
      <c r="G9528" s="101"/>
      <c r="H9528" s="101"/>
      <c r="I9528" s="101"/>
      <c r="K9528" s="226"/>
      <c r="L9528" s="226"/>
      <c r="M9528" s="101"/>
      <c r="N9528" s="101"/>
    </row>
    <row r="9529" spans="7:14" hidden="1" x14ac:dyDescent="0.3">
      <c r="G9529" s="101"/>
      <c r="H9529" s="101"/>
      <c r="I9529" s="101"/>
      <c r="K9529" s="226"/>
      <c r="L9529" s="226"/>
      <c r="M9529" s="101"/>
      <c r="N9529" s="101"/>
    </row>
    <row r="9530" spans="7:14" hidden="1" x14ac:dyDescent="0.3">
      <c r="G9530" s="101"/>
      <c r="H9530" s="101"/>
      <c r="I9530" s="101"/>
      <c r="K9530" s="226"/>
      <c r="L9530" s="226"/>
      <c r="M9530" s="101"/>
      <c r="N9530" s="101"/>
    </row>
    <row r="9531" spans="7:14" hidden="1" x14ac:dyDescent="0.3">
      <c r="G9531" s="101"/>
      <c r="H9531" s="101"/>
      <c r="I9531" s="101"/>
      <c r="K9531" s="226"/>
      <c r="L9531" s="226"/>
      <c r="M9531" s="101"/>
      <c r="N9531" s="101"/>
    </row>
    <row r="9532" spans="7:14" hidden="1" x14ac:dyDescent="0.3">
      <c r="G9532" s="101"/>
      <c r="H9532" s="101"/>
      <c r="I9532" s="101"/>
      <c r="K9532" s="226"/>
      <c r="L9532" s="226"/>
      <c r="M9532" s="101"/>
      <c r="N9532" s="101"/>
    </row>
    <row r="9533" spans="7:14" hidden="1" x14ac:dyDescent="0.3">
      <c r="G9533" s="101"/>
      <c r="H9533" s="101"/>
      <c r="I9533" s="101"/>
      <c r="K9533" s="226"/>
      <c r="L9533" s="226"/>
      <c r="M9533" s="101"/>
      <c r="N9533" s="101"/>
    </row>
    <row r="9534" spans="7:14" hidden="1" x14ac:dyDescent="0.3">
      <c r="G9534" s="101"/>
      <c r="H9534" s="101"/>
      <c r="I9534" s="101"/>
      <c r="K9534" s="226"/>
      <c r="L9534" s="226"/>
      <c r="M9534" s="101"/>
      <c r="N9534" s="101"/>
    </row>
    <row r="9535" spans="7:14" hidden="1" x14ac:dyDescent="0.3">
      <c r="G9535" s="101"/>
      <c r="H9535" s="101"/>
      <c r="I9535" s="101"/>
      <c r="K9535" s="226"/>
      <c r="L9535" s="226"/>
      <c r="M9535" s="101"/>
      <c r="N9535" s="101"/>
    </row>
    <row r="9536" spans="7:14" hidden="1" x14ac:dyDescent="0.3">
      <c r="G9536" s="101"/>
      <c r="H9536" s="101"/>
      <c r="I9536" s="101"/>
      <c r="K9536" s="226"/>
      <c r="L9536" s="226"/>
      <c r="M9536" s="101"/>
      <c r="N9536" s="101"/>
    </row>
    <row r="9537" spans="7:14" hidden="1" x14ac:dyDescent="0.3">
      <c r="G9537" s="101"/>
      <c r="H9537" s="101"/>
      <c r="I9537" s="101"/>
      <c r="K9537" s="226"/>
      <c r="L9537" s="226"/>
      <c r="M9537" s="101"/>
      <c r="N9537" s="101"/>
    </row>
    <row r="9538" spans="7:14" hidden="1" x14ac:dyDescent="0.3">
      <c r="G9538" s="101"/>
      <c r="H9538" s="101"/>
      <c r="I9538" s="101"/>
      <c r="K9538" s="226"/>
      <c r="L9538" s="226"/>
      <c r="M9538" s="101"/>
      <c r="N9538" s="101"/>
    </row>
    <row r="9539" spans="7:14" hidden="1" x14ac:dyDescent="0.3">
      <c r="G9539" s="101"/>
      <c r="H9539" s="101"/>
      <c r="I9539" s="101"/>
      <c r="K9539" s="226"/>
      <c r="L9539" s="226"/>
      <c r="M9539" s="101"/>
      <c r="N9539" s="101"/>
    </row>
    <row r="9540" spans="7:14" hidden="1" x14ac:dyDescent="0.3">
      <c r="G9540" s="101"/>
      <c r="H9540" s="101"/>
      <c r="I9540" s="101"/>
      <c r="K9540" s="226"/>
      <c r="L9540" s="226"/>
      <c r="M9540" s="101"/>
      <c r="N9540" s="101"/>
    </row>
    <row r="9541" spans="7:14" hidden="1" x14ac:dyDescent="0.3">
      <c r="G9541" s="101"/>
      <c r="H9541" s="101"/>
      <c r="I9541" s="101"/>
      <c r="K9541" s="226"/>
      <c r="L9541" s="226"/>
      <c r="M9541" s="101"/>
      <c r="N9541" s="101"/>
    </row>
    <row r="9542" spans="7:14" hidden="1" x14ac:dyDescent="0.3">
      <c r="G9542" s="101"/>
      <c r="H9542" s="101"/>
      <c r="I9542" s="101"/>
      <c r="K9542" s="226"/>
      <c r="L9542" s="226"/>
      <c r="M9542" s="101"/>
      <c r="N9542" s="101"/>
    </row>
    <row r="9543" spans="7:14" hidden="1" x14ac:dyDescent="0.3">
      <c r="G9543" s="101"/>
      <c r="H9543" s="101"/>
      <c r="I9543" s="101"/>
      <c r="K9543" s="226"/>
      <c r="L9543" s="226"/>
      <c r="M9543" s="101"/>
      <c r="N9543" s="101"/>
    </row>
    <row r="9544" spans="7:14" hidden="1" x14ac:dyDescent="0.3">
      <c r="G9544" s="101"/>
      <c r="H9544" s="101"/>
      <c r="I9544" s="101"/>
      <c r="K9544" s="226"/>
      <c r="L9544" s="226"/>
      <c r="M9544" s="101"/>
      <c r="N9544" s="101"/>
    </row>
    <row r="9545" spans="7:14" hidden="1" x14ac:dyDescent="0.3">
      <c r="G9545" s="101"/>
      <c r="H9545" s="101"/>
      <c r="I9545" s="101"/>
      <c r="K9545" s="226"/>
      <c r="L9545" s="226"/>
      <c r="M9545" s="101"/>
      <c r="N9545" s="101"/>
    </row>
    <row r="9546" spans="7:14" hidden="1" x14ac:dyDescent="0.3">
      <c r="G9546" s="101"/>
      <c r="H9546" s="101"/>
      <c r="I9546" s="101"/>
      <c r="K9546" s="226"/>
      <c r="L9546" s="226"/>
      <c r="M9546" s="101"/>
      <c r="N9546" s="101"/>
    </row>
    <row r="9547" spans="7:14" hidden="1" x14ac:dyDescent="0.3">
      <c r="G9547" s="101"/>
      <c r="H9547" s="101"/>
      <c r="I9547" s="101"/>
      <c r="K9547" s="226"/>
      <c r="L9547" s="226"/>
      <c r="M9547" s="101"/>
      <c r="N9547" s="101"/>
    </row>
    <row r="9548" spans="7:14" hidden="1" x14ac:dyDescent="0.3">
      <c r="G9548" s="101"/>
      <c r="H9548" s="101"/>
      <c r="I9548" s="101"/>
      <c r="K9548" s="226"/>
      <c r="L9548" s="226"/>
      <c r="M9548" s="101"/>
      <c r="N9548" s="101"/>
    </row>
    <row r="9549" spans="7:14" hidden="1" x14ac:dyDescent="0.3">
      <c r="G9549" s="101"/>
      <c r="H9549" s="101"/>
      <c r="I9549" s="101"/>
      <c r="K9549" s="226"/>
      <c r="L9549" s="226"/>
      <c r="M9549" s="101"/>
      <c r="N9549" s="101"/>
    </row>
    <row r="9550" spans="7:14" hidden="1" x14ac:dyDescent="0.3">
      <c r="G9550" s="101"/>
      <c r="H9550" s="101"/>
      <c r="I9550" s="101"/>
      <c r="K9550" s="226"/>
      <c r="L9550" s="226"/>
      <c r="M9550" s="101"/>
      <c r="N9550" s="101"/>
    </row>
    <row r="9551" spans="7:14" hidden="1" x14ac:dyDescent="0.3">
      <c r="G9551" s="101"/>
      <c r="H9551" s="101"/>
      <c r="I9551" s="101"/>
      <c r="K9551" s="226"/>
      <c r="L9551" s="226"/>
      <c r="M9551" s="101"/>
      <c r="N9551" s="101"/>
    </row>
    <row r="9552" spans="7:14" hidden="1" x14ac:dyDescent="0.3">
      <c r="G9552" s="101"/>
      <c r="H9552" s="101"/>
      <c r="I9552" s="101"/>
      <c r="K9552" s="226"/>
      <c r="L9552" s="226"/>
      <c r="M9552" s="101"/>
      <c r="N9552" s="101"/>
    </row>
    <row r="9553" spans="7:14" hidden="1" x14ac:dyDescent="0.3">
      <c r="G9553" s="101"/>
      <c r="H9553" s="101"/>
      <c r="I9553" s="101"/>
      <c r="K9553" s="226"/>
      <c r="L9553" s="226"/>
      <c r="M9553" s="101"/>
      <c r="N9553" s="101"/>
    </row>
    <row r="9554" spans="7:14" hidden="1" x14ac:dyDescent="0.3">
      <c r="G9554" s="101"/>
      <c r="H9554" s="101"/>
      <c r="I9554" s="101"/>
      <c r="K9554" s="226"/>
      <c r="L9554" s="226"/>
      <c r="M9554" s="101"/>
      <c r="N9554" s="101"/>
    </row>
    <row r="9555" spans="7:14" hidden="1" x14ac:dyDescent="0.3">
      <c r="G9555" s="101"/>
      <c r="H9555" s="101"/>
      <c r="I9555" s="101"/>
      <c r="K9555" s="226"/>
      <c r="L9555" s="226"/>
      <c r="M9555" s="101"/>
      <c r="N9555" s="101"/>
    </row>
    <row r="9556" spans="7:14" hidden="1" x14ac:dyDescent="0.3">
      <c r="G9556" s="101"/>
      <c r="H9556" s="101"/>
      <c r="I9556" s="101"/>
      <c r="K9556" s="226"/>
      <c r="L9556" s="226"/>
      <c r="M9556" s="101"/>
      <c r="N9556" s="101"/>
    </row>
    <row r="9557" spans="7:14" hidden="1" x14ac:dyDescent="0.3">
      <c r="G9557" s="101"/>
      <c r="H9557" s="101"/>
      <c r="I9557" s="101"/>
      <c r="K9557" s="226"/>
      <c r="L9557" s="226"/>
      <c r="M9557" s="101"/>
      <c r="N9557" s="101"/>
    </row>
    <row r="9558" spans="7:14" hidden="1" x14ac:dyDescent="0.3">
      <c r="G9558" s="101"/>
      <c r="H9558" s="101"/>
      <c r="I9558" s="101"/>
      <c r="K9558" s="226"/>
      <c r="L9558" s="226"/>
      <c r="M9558" s="101"/>
      <c r="N9558" s="101"/>
    </row>
    <row r="9559" spans="7:14" hidden="1" x14ac:dyDescent="0.3">
      <c r="G9559" s="101"/>
      <c r="H9559" s="101"/>
      <c r="I9559" s="101"/>
      <c r="K9559" s="226"/>
      <c r="L9559" s="226"/>
      <c r="M9559" s="101"/>
      <c r="N9559" s="101"/>
    </row>
    <row r="9560" spans="7:14" hidden="1" x14ac:dyDescent="0.3">
      <c r="G9560" s="101"/>
      <c r="H9560" s="101"/>
      <c r="I9560" s="101"/>
      <c r="K9560" s="226"/>
      <c r="L9560" s="226"/>
      <c r="M9560" s="101"/>
      <c r="N9560" s="101"/>
    </row>
    <row r="9561" spans="7:14" hidden="1" x14ac:dyDescent="0.3">
      <c r="G9561" s="101"/>
      <c r="H9561" s="101"/>
      <c r="I9561" s="101"/>
      <c r="K9561" s="226"/>
      <c r="L9561" s="226"/>
      <c r="M9561" s="101"/>
      <c r="N9561" s="101"/>
    </row>
    <row r="9562" spans="7:14" hidden="1" x14ac:dyDescent="0.3">
      <c r="G9562" s="101"/>
      <c r="H9562" s="101"/>
      <c r="I9562" s="101"/>
      <c r="K9562" s="226"/>
      <c r="L9562" s="226"/>
      <c r="M9562" s="101"/>
      <c r="N9562" s="101"/>
    </row>
    <row r="9563" spans="7:14" hidden="1" x14ac:dyDescent="0.3">
      <c r="G9563" s="101"/>
      <c r="H9563" s="101"/>
      <c r="I9563" s="101"/>
      <c r="K9563" s="226"/>
      <c r="L9563" s="226"/>
      <c r="M9563" s="101"/>
      <c r="N9563" s="101"/>
    </row>
    <row r="9564" spans="7:14" hidden="1" x14ac:dyDescent="0.3">
      <c r="G9564" s="101"/>
      <c r="H9564" s="101"/>
      <c r="I9564" s="101"/>
      <c r="K9564" s="226"/>
      <c r="L9564" s="226"/>
      <c r="M9564" s="101"/>
      <c r="N9564" s="101"/>
    </row>
    <row r="9565" spans="7:14" hidden="1" x14ac:dyDescent="0.3">
      <c r="G9565" s="101"/>
      <c r="H9565" s="101"/>
      <c r="I9565" s="101"/>
      <c r="K9565" s="226"/>
      <c r="L9565" s="226"/>
      <c r="M9565" s="101"/>
      <c r="N9565" s="101"/>
    </row>
    <row r="9566" spans="7:14" hidden="1" x14ac:dyDescent="0.3">
      <c r="G9566" s="101"/>
      <c r="H9566" s="101"/>
      <c r="I9566" s="101"/>
      <c r="K9566" s="226"/>
      <c r="L9566" s="226"/>
      <c r="M9566" s="101"/>
      <c r="N9566" s="101"/>
    </row>
    <row r="9567" spans="7:14" hidden="1" x14ac:dyDescent="0.3">
      <c r="G9567" s="101"/>
      <c r="H9567" s="101"/>
      <c r="I9567" s="101"/>
      <c r="K9567" s="226"/>
      <c r="L9567" s="226"/>
      <c r="M9567" s="101"/>
      <c r="N9567" s="101"/>
    </row>
    <row r="9568" spans="7:14" hidden="1" x14ac:dyDescent="0.3">
      <c r="G9568" s="101"/>
      <c r="H9568" s="101"/>
      <c r="I9568" s="101"/>
      <c r="K9568" s="226"/>
      <c r="L9568" s="226"/>
      <c r="M9568" s="101"/>
      <c r="N9568" s="101"/>
    </row>
    <row r="9569" spans="7:14" hidden="1" x14ac:dyDescent="0.3">
      <c r="G9569" s="101"/>
      <c r="H9569" s="101"/>
      <c r="I9569" s="101"/>
      <c r="K9569" s="226"/>
      <c r="L9569" s="226"/>
      <c r="M9569" s="101"/>
      <c r="N9569" s="101"/>
    </row>
    <row r="9570" spans="7:14" hidden="1" x14ac:dyDescent="0.3">
      <c r="G9570" s="101"/>
      <c r="H9570" s="101"/>
      <c r="I9570" s="101"/>
      <c r="K9570" s="226"/>
      <c r="L9570" s="226"/>
      <c r="M9570" s="101"/>
      <c r="N9570" s="101"/>
    </row>
    <row r="9571" spans="7:14" hidden="1" x14ac:dyDescent="0.3">
      <c r="G9571" s="101"/>
      <c r="H9571" s="101"/>
      <c r="I9571" s="101"/>
      <c r="K9571" s="226"/>
      <c r="L9571" s="226"/>
      <c r="M9571" s="101"/>
      <c r="N9571" s="101"/>
    </row>
    <row r="9572" spans="7:14" hidden="1" x14ac:dyDescent="0.3">
      <c r="G9572" s="101"/>
      <c r="H9572" s="101"/>
      <c r="I9572" s="101"/>
      <c r="K9572" s="226"/>
      <c r="L9572" s="226"/>
      <c r="M9572" s="101"/>
      <c r="N9572" s="101"/>
    </row>
    <row r="9573" spans="7:14" hidden="1" x14ac:dyDescent="0.3">
      <c r="G9573" s="101"/>
      <c r="H9573" s="101"/>
      <c r="I9573" s="101"/>
      <c r="K9573" s="226"/>
      <c r="L9573" s="226"/>
      <c r="M9573" s="101"/>
      <c r="N9573" s="101"/>
    </row>
    <row r="9574" spans="7:14" hidden="1" x14ac:dyDescent="0.3">
      <c r="G9574" s="101"/>
      <c r="H9574" s="101"/>
      <c r="I9574" s="101"/>
      <c r="K9574" s="226"/>
      <c r="L9574" s="226"/>
      <c r="M9574" s="101"/>
      <c r="N9574" s="101"/>
    </row>
    <row r="9575" spans="7:14" hidden="1" x14ac:dyDescent="0.3">
      <c r="G9575" s="101"/>
      <c r="H9575" s="101"/>
      <c r="I9575" s="101"/>
      <c r="K9575" s="226"/>
      <c r="L9575" s="226"/>
      <c r="M9575" s="101"/>
      <c r="N9575" s="101"/>
    </row>
    <row r="9576" spans="7:14" hidden="1" x14ac:dyDescent="0.3">
      <c r="G9576" s="101"/>
      <c r="H9576" s="101"/>
      <c r="I9576" s="101"/>
      <c r="K9576" s="226"/>
      <c r="L9576" s="226"/>
      <c r="M9576" s="101"/>
      <c r="N9576" s="101"/>
    </row>
    <row r="9577" spans="7:14" hidden="1" x14ac:dyDescent="0.3">
      <c r="G9577" s="101"/>
      <c r="H9577" s="101"/>
      <c r="I9577" s="101"/>
      <c r="K9577" s="226"/>
      <c r="L9577" s="226"/>
      <c r="M9577" s="101"/>
      <c r="N9577" s="101"/>
    </row>
    <row r="9578" spans="7:14" hidden="1" x14ac:dyDescent="0.3">
      <c r="G9578" s="101"/>
      <c r="H9578" s="101"/>
      <c r="I9578" s="101"/>
      <c r="K9578" s="226"/>
      <c r="L9578" s="226"/>
      <c r="M9578" s="101"/>
      <c r="N9578" s="101"/>
    </row>
    <row r="9579" spans="7:14" hidden="1" x14ac:dyDescent="0.3">
      <c r="G9579" s="101"/>
      <c r="H9579" s="101"/>
      <c r="I9579" s="101"/>
      <c r="K9579" s="226"/>
      <c r="L9579" s="226"/>
      <c r="M9579" s="101"/>
      <c r="N9579" s="101"/>
    </row>
    <row r="9580" spans="7:14" hidden="1" x14ac:dyDescent="0.3">
      <c r="G9580" s="101"/>
      <c r="H9580" s="101"/>
      <c r="I9580" s="101"/>
      <c r="K9580" s="226"/>
      <c r="L9580" s="226"/>
      <c r="M9580" s="101"/>
      <c r="N9580" s="101"/>
    </row>
    <row r="9581" spans="7:14" hidden="1" x14ac:dyDescent="0.3">
      <c r="G9581" s="101"/>
      <c r="H9581" s="101"/>
      <c r="I9581" s="101"/>
      <c r="K9581" s="226"/>
      <c r="L9581" s="226"/>
      <c r="M9581" s="101"/>
      <c r="N9581" s="101"/>
    </row>
    <row r="9582" spans="7:14" hidden="1" x14ac:dyDescent="0.3">
      <c r="G9582" s="101"/>
      <c r="H9582" s="101"/>
      <c r="I9582" s="101"/>
      <c r="K9582" s="226"/>
      <c r="L9582" s="226"/>
      <c r="M9582" s="101"/>
      <c r="N9582" s="101"/>
    </row>
    <row r="9583" spans="7:14" hidden="1" x14ac:dyDescent="0.3">
      <c r="G9583" s="101"/>
      <c r="H9583" s="101"/>
      <c r="I9583" s="101"/>
      <c r="K9583" s="226"/>
      <c r="L9583" s="226"/>
      <c r="M9583" s="101"/>
      <c r="N9583" s="101"/>
    </row>
    <row r="9584" spans="7:14" hidden="1" x14ac:dyDescent="0.3">
      <c r="G9584" s="101"/>
      <c r="H9584" s="101"/>
      <c r="I9584" s="101"/>
      <c r="K9584" s="226"/>
      <c r="L9584" s="226"/>
      <c r="M9584" s="101"/>
      <c r="N9584" s="101"/>
    </row>
    <row r="9585" spans="7:14" hidden="1" x14ac:dyDescent="0.3">
      <c r="G9585" s="101"/>
      <c r="H9585" s="101"/>
      <c r="I9585" s="101"/>
      <c r="K9585" s="226"/>
      <c r="L9585" s="226"/>
      <c r="M9585" s="101"/>
      <c r="N9585" s="101"/>
    </row>
    <row r="9586" spans="7:14" hidden="1" x14ac:dyDescent="0.3">
      <c r="G9586" s="101"/>
      <c r="H9586" s="101"/>
      <c r="I9586" s="101"/>
      <c r="K9586" s="226"/>
      <c r="L9586" s="226"/>
      <c r="M9586" s="101"/>
      <c r="N9586" s="101"/>
    </row>
    <row r="9587" spans="7:14" hidden="1" x14ac:dyDescent="0.3">
      <c r="G9587" s="101"/>
      <c r="H9587" s="101"/>
      <c r="I9587" s="101"/>
      <c r="K9587" s="226"/>
      <c r="L9587" s="226"/>
      <c r="M9587" s="101"/>
      <c r="N9587" s="101"/>
    </row>
    <row r="9588" spans="7:14" hidden="1" x14ac:dyDescent="0.3">
      <c r="G9588" s="101"/>
      <c r="H9588" s="101"/>
      <c r="I9588" s="101"/>
      <c r="K9588" s="226"/>
      <c r="L9588" s="226"/>
      <c r="M9588" s="101"/>
      <c r="N9588" s="101"/>
    </row>
    <row r="9589" spans="7:14" hidden="1" x14ac:dyDescent="0.3">
      <c r="G9589" s="101"/>
      <c r="H9589" s="101"/>
      <c r="I9589" s="101"/>
      <c r="K9589" s="226"/>
      <c r="L9589" s="226"/>
      <c r="M9589" s="101"/>
      <c r="N9589" s="101"/>
    </row>
    <row r="9590" spans="7:14" hidden="1" x14ac:dyDescent="0.3">
      <c r="G9590" s="101"/>
      <c r="H9590" s="101"/>
      <c r="I9590" s="101"/>
      <c r="K9590" s="226"/>
      <c r="L9590" s="226"/>
      <c r="M9590" s="101"/>
      <c r="N9590" s="101"/>
    </row>
    <row r="9591" spans="7:14" hidden="1" x14ac:dyDescent="0.3">
      <c r="G9591" s="101"/>
      <c r="H9591" s="101"/>
      <c r="I9591" s="101"/>
      <c r="K9591" s="226"/>
      <c r="L9591" s="226"/>
      <c r="M9591" s="101"/>
      <c r="N9591" s="101"/>
    </row>
    <row r="9592" spans="7:14" hidden="1" x14ac:dyDescent="0.3">
      <c r="G9592" s="101"/>
      <c r="H9592" s="101"/>
      <c r="I9592" s="101"/>
      <c r="K9592" s="226"/>
      <c r="L9592" s="226"/>
      <c r="M9592" s="101"/>
      <c r="N9592" s="101"/>
    </row>
    <row r="9593" spans="7:14" hidden="1" x14ac:dyDescent="0.3">
      <c r="G9593" s="101"/>
      <c r="H9593" s="101"/>
      <c r="I9593" s="101"/>
      <c r="K9593" s="226"/>
      <c r="L9593" s="226"/>
      <c r="M9593" s="101"/>
      <c r="N9593" s="101"/>
    </row>
    <row r="9594" spans="7:14" hidden="1" x14ac:dyDescent="0.3">
      <c r="G9594" s="101"/>
      <c r="H9594" s="101"/>
      <c r="I9594" s="101"/>
      <c r="K9594" s="226"/>
      <c r="L9594" s="226"/>
      <c r="M9594" s="101"/>
      <c r="N9594" s="101"/>
    </row>
    <row r="9595" spans="7:14" hidden="1" x14ac:dyDescent="0.3">
      <c r="G9595" s="101"/>
      <c r="H9595" s="101"/>
      <c r="I9595" s="101"/>
      <c r="K9595" s="226"/>
      <c r="L9595" s="226"/>
      <c r="M9595" s="101"/>
      <c r="N9595" s="101"/>
    </row>
    <row r="9596" spans="7:14" hidden="1" x14ac:dyDescent="0.3">
      <c r="G9596" s="101"/>
      <c r="H9596" s="101"/>
      <c r="I9596" s="101"/>
      <c r="K9596" s="226"/>
      <c r="L9596" s="226"/>
      <c r="M9596" s="101"/>
      <c r="N9596" s="101"/>
    </row>
    <row r="9597" spans="7:14" hidden="1" x14ac:dyDescent="0.3">
      <c r="G9597" s="101"/>
      <c r="H9597" s="101"/>
      <c r="I9597" s="101"/>
      <c r="K9597" s="226"/>
      <c r="L9597" s="226"/>
      <c r="M9597" s="101"/>
      <c r="N9597" s="101"/>
    </row>
    <row r="9598" spans="7:14" hidden="1" x14ac:dyDescent="0.3">
      <c r="G9598" s="101"/>
      <c r="H9598" s="101"/>
      <c r="I9598" s="101"/>
      <c r="K9598" s="226"/>
      <c r="L9598" s="226"/>
      <c r="M9598" s="101"/>
      <c r="N9598" s="101"/>
    </row>
    <row r="9599" spans="7:14" hidden="1" x14ac:dyDescent="0.3">
      <c r="G9599" s="101"/>
      <c r="H9599" s="101"/>
      <c r="I9599" s="101"/>
      <c r="K9599" s="226"/>
      <c r="L9599" s="226"/>
      <c r="M9599" s="101"/>
      <c r="N9599" s="101"/>
    </row>
    <row r="9600" spans="7:14" hidden="1" x14ac:dyDescent="0.3">
      <c r="G9600" s="101"/>
      <c r="H9600" s="101"/>
      <c r="I9600" s="101"/>
      <c r="K9600" s="226"/>
      <c r="L9600" s="226"/>
      <c r="M9600" s="101"/>
      <c r="N9600" s="101"/>
    </row>
    <row r="9601" spans="7:14" hidden="1" x14ac:dyDescent="0.3">
      <c r="G9601" s="101"/>
      <c r="H9601" s="101"/>
      <c r="I9601" s="101"/>
      <c r="K9601" s="226"/>
      <c r="L9601" s="226"/>
      <c r="M9601" s="101"/>
      <c r="N9601" s="101"/>
    </row>
    <row r="9602" spans="7:14" hidden="1" x14ac:dyDescent="0.3">
      <c r="G9602" s="101"/>
      <c r="H9602" s="101"/>
      <c r="I9602" s="101"/>
      <c r="K9602" s="226"/>
      <c r="L9602" s="226"/>
      <c r="M9602" s="101"/>
      <c r="N9602" s="101"/>
    </row>
    <row r="9603" spans="7:14" hidden="1" x14ac:dyDescent="0.3">
      <c r="G9603" s="101"/>
      <c r="H9603" s="101"/>
      <c r="I9603" s="101"/>
      <c r="K9603" s="226"/>
      <c r="L9603" s="226"/>
      <c r="M9603" s="101"/>
      <c r="N9603" s="101"/>
    </row>
    <row r="9604" spans="7:14" hidden="1" x14ac:dyDescent="0.3">
      <c r="G9604" s="101"/>
      <c r="H9604" s="101"/>
      <c r="I9604" s="101"/>
      <c r="K9604" s="226"/>
      <c r="L9604" s="226"/>
      <c r="M9604" s="101"/>
      <c r="N9604" s="101"/>
    </row>
    <row r="9605" spans="7:14" hidden="1" x14ac:dyDescent="0.3">
      <c r="G9605" s="101"/>
      <c r="H9605" s="101"/>
      <c r="I9605" s="101"/>
      <c r="K9605" s="226"/>
      <c r="L9605" s="226"/>
      <c r="M9605" s="101"/>
      <c r="N9605" s="101"/>
    </row>
    <row r="9606" spans="7:14" hidden="1" x14ac:dyDescent="0.3">
      <c r="G9606" s="101"/>
      <c r="H9606" s="101"/>
      <c r="I9606" s="101"/>
      <c r="K9606" s="226"/>
      <c r="L9606" s="226"/>
      <c r="M9606" s="101"/>
      <c r="N9606" s="101"/>
    </row>
    <row r="9607" spans="7:14" hidden="1" x14ac:dyDescent="0.3">
      <c r="G9607" s="101"/>
      <c r="H9607" s="101"/>
      <c r="I9607" s="101"/>
      <c r="K9607" s="226"/>
      <c r="L9607" s="226"/>
      <c r="M9607" s="101"/>
      <c r="N9607" s="101"/>
    </row>
    <row r="9608" spans="7:14" hidden="1" x14ac:dyDescent="0.3">
      <c r="G9608" s="101"/>
      <c r="H9608" s="101"/>
      <c r="I9608" s="101"/>
      <c r="K9608" s="226"/>
      <c r="L9608" s="226"/>
      <c r="M9608" s="101"/>
      <c r="N9608" s="101"/>
    </row>
    <row r="9609" spans="7:14" hidden="1" x14ac:dyDescent="0.3">
      <c r="G9609" s="101"/>
      <c r="H9609" s="101"/>
      <c r="I9609" s="101"/>
      <c r="K9609" s="226"/>
      <c r="L9609" s="226"/>
      <c r="M9609" s="101"/>
      <c r="N9609" s="101"/>
    </row>
    <row r="9610" spans="7:14" hidden="1" x14ac:dyDescent="0.3">
      <c r="G9610" s="101"/>
      <c r="H9610" s="101"/>
      <c r="I9610" s="101"/>
      <c r="K9610" s="226"/>
      <c r="L9610" s="226"/>
      <c r="M9610" s="101"/>
      <c r="N9610" s="101"/>
    </row>
    <row r="9611" spans="7:14" hidden="1" x14ac:dyDescent="0.3">
      <c r="G9611" s="101"/>
      <c r="H9611" s="101"/>
      <c r="I9611" s="101"/>
      <c r="K9611" s="226"/>
      <c r="L9611" s="226"/>
      <c r="M9611" s="101"/>
      <c r="N9611" s="101"/>
    </row>
    <row r="9612" spans="7:14" hidden="1" x14ac:dyDescent="0.3">
      <c r="G9612" s="101"/>
      <c r="H9612" s="101"/>
      <c r="I9612" s="101"/>
      <c r="K9612" s="226"/>
      <c r="L9612" s="226"/>
      <c r="M9612" s="101"/>
      <c r="N9612" s="101"/>
    </row>
    <row r="9613" spans="7:14" hidden="1" x14ac:dyDescent="0.3">
      <c r="G9613" s="101"/>
      <c r="H9613" s="101"/>
      <c r="I9613" s="101"/>
      <c r="K9613" s="226"/>
      <c r="L9613" s="226"/>
      <c r="M9613" s="101"/>
      <c r="N9613" s="101"/>
    </row>
    <row r="9614" spans="7:14" hidden="1" x14ac:dyDescent="0.3">
      <c r="G9614" s="101"/>
      <c r="H9614" s="101"/>
      <c r="I9614" s="101"/>
      <c r="K9614" s="226"/>
      <c r="L9614" s="226"/>
      <c r="M9614" s="101"/>
      <c r="N9614" s="101"/>
    </row>
    <row r="9615" spans="7:14" hidden="1" x14ac:dyDescent="0.3">
      <c r="G9615" s="101"/>
      <c r="H9615" s="101"/>
      <c r="I9615" s="101"/>
      <c r="K9615" s="226"/>
      <c r="L9615" s="226"/>
      <c r="M9615" s="101"/>
      <c r="N9615" s="101"/>
    </row>
    <row r="9616" spans="7:14" hidden="1" x14ac:dyDescent="0.3">
      <c r="G9616" s="101"/>
      <c r="H9616" s="101"/>
      <c r="I9616" s="101"/>
      <c r="K9616" s="226"/>
      <c r="L9616" s="226"/>
      <c r="M9616" s="101"/>
      <c r="N9616" s="101"/>
    </row>
    <row r="9617" spans="7:14" hidden="1" x14ac:dyDescent="0.3">
      <c r="G9617" s="101"/>
      <c r="H9617" s="101"/>
      <c r="I9617" s="101"/>
      <c r="K9617" s="226"/>
      <c r="L9617" s="226"/>
      <c r="M9617" s="101"/>
      <c r="N9617" s="101"/>
    </row>
    <row r="9618" spans="7:14" hidden="1" x14ac:dyDescent="0.3">
      <c r="G9618" s="101"/>
      <c r="H9618" s="101"/>
      <c r="I9618" s="101"/>
      <c r="K9618" s="226"/>
      <c r="L9618" s="226"/>
      <c r="M9618" s="101"/>
      <c r="N9618" s="101"/>
    </row>
    <row r="9619" spans="7:14" hidden="1" x14ac:dyDescent="0.3">
      <c r="G9619" s="101"/>
      <c r="H9619" s="101"/>
      <c r="I9619" s="101"/>
      <c r="K9619" s="226"/>
      <c r="L9619" s="226"/>
      <c r="M9619" s="101"/>
      <c r="N9619" s="101"/>
    </row>
    <row r="9620" spans="7:14" hidden="1" x14ac:dyDescent="0.3">
      <c r="G9620" s="101"/>
      <c r="H9620" s="101"/>
      <c r="I9620" s="101"/>
      <c r="K9620" s="226"/>
      <c r="L9620" s="226"/>
      <c r="M9620" s="101"/>
      <c r="N9620" s="101"/>
    </row>
    <row r="9621" spans="7:14" hidden="1" x14ac:dyDescent="0.3">
      <c r="G9621" s="101"/>
      <c r="H9621" s="101"/>
      <c r="I9621" s="101"/>
      <c r="K9621" s="226"/>
      <c r="L9621" s="226"/>
      <c r="M9621" s="101"/>
      <c r="N9621" s="101"/>
    </row>
    <row r="9622" spans="7:14" hidden="1" x14ac:dyDescent="0.3">
      <c r="G9622" s="101"/>
      <c r="H9622" s="101"/>
      <c r="I9622" s="101"/>
      <c r="K9622" s="226"/>
      <c r="L9622" s="226"/>
      <c r="M9622" s="101"/>
      <c r="N9622" s="101"/>
    </row>
    <row r="9623" spans="7:14" hidden="1" x14ac:dyDescent="0.3">
      <c r="G9623" s="101"/>
      <c r="H9623" s="101"/>
      <c r="I9623" s="101"/>
      <c r="K9623" s="226"/>
      <c r="L9623" s="226"/>
      <c r="M9623" s="101"/>
      <c r="N9623" s="101"/>
    </row>
    <row r="9624" spans="7:14" hidden="1" x14ac:dyDescent="0.3">
      <c r="G9624" s="101"/>
      <c r="H9624" s="101"/>
      <c r="I9624" s="101"/>
      <c r="K9624" s="226"/>
      <c r="L9624" s="226"/>
      <c r="M9624" s="101"/>
      <c r="N9624" s="101"/>
    </row>
    <row r="9625" spans="7:14" hidden="1" x14ac:dyDescent="0.3">
      <c r="G9625" s="101"/>
      <c r="H9625" s="101"/>
      <c r="I9625" s="101"/>
      <c r="K9625" s="226"/>
      <c r="L9625" s="226"/>
      <c r="M9625" s="101"/>
      <c r="N9625" s="101"/>
    </row>
    <row r="9626" spans="7:14" hidden="1" x14ac:dyDescent="0.3">
      <c r="G9626" s="101"/>
      <c r="H9626" s="101"/>
      <c r="I9626" s="101"/>
      <c r="K9626" s="226"/>
      <c r="L9626" s="226"/>
      <c r="M9626" s="101"/>
      <c r="N9626" s="101"/>
    </row>
    <row r="9627" spans="7:14" hidden="1" x14ac:dyDescent="0.3">
      <c r="G9627" s="101"/>
      <c r="H9627" s="101"/>
      <c r="I9627" s="101"/>
      <c r="K9627" s="226"/>
      <c r="L9627" s="226"/>
      <c r="M9627" s="101"/>
      <c r="N9627" s="101"/>
    </row>
    <row r="9628" spans="7:14" hidden="1" x14ac:dyDescent="0.3">
      <c r="G9628" s="101"/>
      <c r="H9628" s="101"/>
      <c r="I9628" s="101"/>
      <c r="K9628" s="226"/>
      <c r="L9628" s="226"/>
      <c r="M9628" s="101"/>
      <c r="N9628" s="101"/>
    </row>
    <row r="9629" spans="7:14" hidden="1" x14ac:dyDescent="0.3">
      <c r="G9629" s="101"/>
      <c r="H9629" s="101"/>
      <c r="I9629" s="101"/>
      <c r="K9629" s="226"/>
      <c r="L9629" s="226"/>
      <c r="M9629" s="101"/>
      <c r="N9629" s="101"/>
    </row>
    <row r="9630" spans="7:14" hidden="1" x14ac:dyDescent="0.3">
      <c r="G9630" s="101"/>
      <c r="H9630" s="101"/>
      <c r="I9630" s="101"/>
      <c r="K9630" s="226"/>
      <c r="L9630" s="226"/>
      <c r="M9630" s="101"/>
      <c r="N9630" s="101"/>
    </row>
    <row r="9631" spans="7:14" hidden="1" x14ac:dyDescent="0.3">
      <c r="G9631" s="101"/>
      <c r="H9631" s="101"/>
      <c r="I9631" s="101"/>
      <c r="K9631" s="226"/>
      <c r="L9631" s="226"/>
      <c r="M9631" s="101"/>
      <c r="N9631" s="101"/>
    </row>
    <row r="9632" spans="7:14" hidden="1" x14ac:dyDescent="0.3">
      <c r="G9632" s="101"/>
      <c r="H9632" s="101"/>
      <c r="I9632" s="101"/>
      <c r="K9632" s="226"/>
      <c r="L9632" s="226"/>
      <c r="M9632" s="101"/>
      <c r="N9632" s="101"/>
    </row>
    <row r="9633" spans="7:14" hidden="1" x14ac:dyDescent="0.3">
      <c r="G9633" s="101"/>
      <c r="H9633" s="101"/>
      <c r="I9633" s="101"/>
      <c r="K9633" s="226"/>
      <c r="L9633" s="226"/>
      <c r="M9633" s="101"/>
      <c r="N9633" s="101"/>
    </row>
    <row r="9634" spans="7:14" hidden="1" x14ac:dyDescent="0.3">
      <c r="G9634" s="101"/>
      <c r="H9634" s="101"/>
      <c r="I9634" s="101"/>
      <c r="K9634" s="226"/>
      <c r="L9634" s="226"/>
      <c r="M9634" s="101"/>
      <c r="N9634" s="101"/>
    </row>
    <row r="9635" spans="7:14" hidden="1" x14ac:dyDescent="0.3">
      <c r="G9635" s="101"/>
      <c r="H9635" s="101"/>
      <c r="I9635" s="101"/>
      <c r="K9635" s="226"/>
      <c r="L9635" s="226"/>
      <c r="M9635" s="101"/>
      <c r="N9635" s="101"/>
    </row>
    <row r="9636" spans="7:14" hidden="1" x14ac:dyDescent="0.3">
      <c r="G9636" s="101"/>
      <c r="H9636" s="101"/>
      <c r="I9636" s="101"/>
      <c r="K9636" s="226"/>
      <c r="L9636" s="226"/>
      <c r="M9636" s="101"/>
      <c r="N9636" s="101"/>
    </row>
    <row r="9637" spans="7:14" hidden="1" x14ac:dyDescent="0.3">
      <c r="G9637" s="101"/>
      <c r="H9637" s="101"/>
      <c r="I9637" s="101"/>
      <c r="K9637" s="226"/>
      <c r="L9637" s="226"/>
      <c r="M9637" s="101"/>
      <c r="N9637" s="101"/>
    </row>
    <row r="9638" spans="7:14" hidden="1" x14ac:dyDescent="0.3">
      <c r="G9638" s="101"/>
      <c r="H9638" s="101"/>
      <c r="I9638" s="101"/>
      <c r="K9638" s="226"/>
      <c r="L9638" s="226"/>
      <c r="M9638" s="101"/>
      <c r="N9638" s="101"/>
    </row>
    <row r="9639" spans="7:14" hidden="1" x14ac:dyDescent="0.3">
      <c r="G9639" s="101"/>
      <c r="H9639" s="101"/>
      <c r="I9639" s="101"/>
      <c r="K9639" s="226"/>
      <c r="L9639" s="226"/>
      <c r="M9639" s="101"/>
      <c r="N9639" s="101"/>
    </row>
    <row r="9640" spans="7:14" hidden="1" x14ac:dyDescent="0.3">
      <c r="G9640" s="101"/>
      <c r="H9640" s="101"/>
      <c r="I9640" s="101"/>
      <c r="K9640" s="226"/>
      <c r="L9640" s="226"/>
      <c r="M9640" s="101"/>
      <c r="N9640" s="101"/>
    </row>
    <row r="9641" spans="7:14" hidden="1" x14ac:dyDescent="0.3">
      <c r="G9641" s="101"/>
      <c r="H9641" s="101"/>
      <c r="I9641" s="101"/>
      <c r="K9641" s="226"/>
      <c r="L9641" s="226"/>
      <c r="M9641" s="101"/>
      <c r="N9641" s="101"/>
    </row>
    <row r="9642" spans="7:14" hidden="1" x14ac:dyDescent="0.3">
      <c r="G9642" s="101"/>
      <c r="H9642" s="101"/>
      <c r="I9642" s="101"/>
      <c r="K9642" s="226"/>
      <c r="L9642" s="226"/>
      <c r="M9642" s="101"/>
      <c r="N9642" s="101"/>
    </row>
    <row r="9643" spans="7:14" hidden="1" x14ac:dyDescent="0.3">
      <c r="G9643" s="101"/>
      <c r="H9643" s="101"/>
      <c r="I9643" s="101"/>
      <c r="K9643" s="226"/>
      <c r="L9643" s="226"/>
      <c r="M9643" s="101"/>
      <c r="N9643" s="101"/>
    </row>
    <row r="9644" spans="7:14" hidden="1" x14ac:dyDescent="0.3">
      <c r="G9644" s="101"/>
      <c r="H9644" s="101"/>
      <c r="I9644" s="101"/>
      <c r="K9644" s="226"/>
      <c r="L9644" s="226"/>
      <c r="M9644" s="101"/>
      <c r="N9644" s="101"/>
    </row>
    <row r="9645" spans="7:14" hidden="1" x14ac:dyDescent="0.3">
      <c r="G9645" s="101"/>
      <c r="H9645" s="101"/>
      <c r="I9645" s="101"/>
      <c r="K9645" s="226"/>
      <c r="L9645" s="226"/>
      <c r="M9645" s="101"/>
      <c r="N9645" s="101"/>
    </row>
    <row r="9646" spans="7:14" hidden="1" x14ac:dyDescent="0.3">
      <c r="G9646" s="101"/>
      <c r="H9646" s="101"/>
      <c r="I9646" s="101"/>
      <c r="K9646" s="226"/>
      <c r="L9646" s="226"/>
      <c r="M9646" s="101"/>
      <c r="N9646" s="101"/>
    </row>
    <row r="9647" spans="7:14" hidden="1" x14ac:dyDescent="0.3">
      <c r="G9647" s="101"/>
      <c r="H9647" s="101"/>
      <c r="I9647" s="101"/>
      <c r="K9647" s="226"/>
      <c r="L9647" s="226"/>
      <c r="M9647" s="101"/>
      <c r="N9647" s="101"/>
    </row>
    <row r="9648" spans="7:14" hidden="1" x14ac:dyDescent="0.3">
      <c r="G9648" s="101"/>
      <c r="H9648" s="101"/>
      <c r="I9648" s="101"/>
      <c r="K9648" s="226"/>
      <c r="L9648" s="226"/>
      <c r="M9648" s="101"/>
      <c r="N9648" s="101"/>
    </row>
    <row r="9649" spans="7:14" hidden="1" x14ac:dyDescent="0.3">
      <c r="G9649" s="101"/>
      <c r="H9649" s="101"/>
      <c r="I9649" s="101"/>
      <c r="K9649" s="226"/>
      <c r="L9649" s="226"/>
      <c r="M9649" s="101"/>
      <c r="N9649" s="101"/>
    </row>
    <row r="9650" spans="7:14" hidden="1" x14ac:dyDescent="0.3">
      <c r="G9650" s="101"/>
      <c r="H9650" s="101"/>
      <c r="I9650" s="101"/>
      <c r="K9650" s="226"/>
      <c r="L9650" s="226"/>
      <c r="M9650" s="101"/>
      <c r="N9650" s="101"/>
    </row>
    <row r="9651" spans="7:14" hidden="1" x14ac:dyDescent="0.3">
      <c r="G9651" s="101"/>
      <c r="H9651" s="101"/>
      <c r="I9651" s="101"/>
      <c r="K9651" s="226"/>
      <c r="L9651" s="226"/>
      <c r="M9651" s="101"/>
      <c r="N9651" s="101"/>
    </row>
    <row r="9652" spans="7:14" hidden="1" x14ac:dyDescent="0.3">
      <c r="G9652" s="101"/>
      <c r="H9652" s="101"/>
      <c r="I9652" s="101"/>
      <c r="K9652" s="226"/>
      <c r="L9652" s="226"/>
      <c r="M9652" s="101"/>
      <c r="N9652" s="101"/>
    </row>
    <row r="9653" spans="7:14" hidden="1" x14ac:dyDescent="0.3">
      <c r="G9653" s="101"/>
      <c r="H9653" s="101"/>
      <c r="I9653" s="101"/>
      <c r="K9653" s="226"/>
      <c r="L9653" s="226"/>
      <c r="M9653" s="101"/>
      <c r="N9653" s="101"/>
    </row>
    <row r="9654" spans="7:14" hidden="1" x14ac:dyDescent="0.3">
      <c r="G9654" s="101"/>
      <c r="H9654" s="101"/>
      <c r="I9654" s="101"/>
      <c r="K9654" s="226"/>
      <c r="L9654" s="226"/>
      <c r="M9654" s="101"/>
      <c r="N9654" s="101"/>
    </row>
    <row r="9655" spans="7:14" hidden="1" x14ac:dyDescent="0.3">
      <c r="G9655" s="101"/>
      <c r="H9655" s="101"/>
      <c r="I9655" s="101"/>
      <c r="K9655" s="226"/>
      <c r="L9655" s="226"/>
      <c r="M9655" s="101"/>
      <c r="N9655" s="101"/>
    </row>
    <row r="9656" spans="7:14" hidden="1" x14ac:dyDescent="0.3">
      <c r="G9656" s="101"/>
      <c r="H9656" s="101"/>
      <c r="I9656" s="101"/>
      <c r="K9656" s="226"/>
      <c r="L9656" s="226"/>
      <c r="M9656" s="101"/>
      <c r="N9656" s="101"/>
    </row>
    <row r="9657" spans="7:14" hidden="1" x14ac:dyDescent="0.3">
      <c r="G9657" s="101"/>
      <c r="H9657" s="101"/>
      <c r="I9657" s="101"/>
      <c r="K9657" s="226"/>
      <c r="L9657" s="226"/>
      <c r="M9657" s="101"/>
      <c r="N9657" s="101"/>
    </row>
    <row r="9658" spans="7:14" hidden="1" x14ac:dyDescent="0.3">
      <c r="G9658" s="101"/>
      <c r="H9658" s="101"/>
      <c r="I9658" s="101"/>
      <c r="K9658" s="226"/>
      <c r="L9658" s="226"/>
      <c r="M9658" s="101"/>
      <c r="N9658" s="101"/>
    </row>
    <row r="9659" spans="7:14" hidden="1" x14ac:dyDescent="0.3">
      <c r="G9659" s="101"/>
      <c r="H9659" s="101"/>
      <c r="I9659" s="101"/>
      <c r="K9659" s="226"/>
      <c r="L9659" s="226"/>
      <c r="M9659" s="101"/>
      <c r="N9659" s="101"/>
    </row>
    <row r="9660" spans="7:14" hidden="1" x14ac:dyDescent="0.3">
      <c r="G9660" s="101"/>
      <c r="H9660" s="101"/>
      <c r="I9660" s="101"/>
      <c r="K9660" s="226"/>
      <c r="L9660" s="226"/>
      <c r="M9660" s="101"/>
      <c r="N9660" s="101"/>
    </row>
    <row r="9661" spans="7:14" hidden="1" x14ac:dyDescent="0.3">
      <c r="G9661" s="101"/>
      <c r="H9661" s="101"/>
      <c r="I9661" s="101"/>
      <c r="K9661" s="226"/>
      <c r="L9661" s="226"/>
      <c r="M9661" s="101"/>
      <c r="N9661" s="101"/>
    </row>
    <row r="9662" spans="7:14" hidden="1" x14ac:dyDescent="0.3">
      <c r="G9662" s="101"/>
      <c r="H9662" s="101"/>
      <c r="I9662" s="101"/>
      <c r="K9662" s="226"/>
      <c r="L9662" s="226"/>
      <c r="M9662" s="101"/>
      <c r="N9662" s="101"/>
    </row>
    <row r="9663" spans="7:14" hidden="1" x14ac:dyDescent="0.3">
      <c r="G9663" s="101"/>
      <c r="H9663" s="101"/>
      <c r="I9663" s="101"/>
      <c r="K9663" s="226"/>
      <c r="L9663" s="226"/>
      <c r="M9663" s="101"/>
      <c r="N9663" s="101"/>
    </row>
    <row r="9664" spans="7:14" hidden="1" x14ac:dyDescent="0.3">
      <c r="G9664" s="101"/>
      <c r="H9664" s="101"/>
      <c r="I9664" s="101"/>
      <c r="K9664" s="226"/>
      <c r="L9664" s="226"/>
      <c r="M9664" s="101"/>
      <c r="N9664" s="101"/>
    </row>
    <row r="9665" spans="7:14" hidden="1" x14ac:dyDescent="0.3">
      <c r="G9665" s="101"/>
      <c r="H9665" s="101"/>
      <c r="I9665" s="101"/>
      <c r="K9665" s="226"/>
      <c r="L9665" s="226"/>
      <c r="M9665" s="101"/>
      <c r="N9665" s="101"/>
    </row>
    <row r="9666" spans="7:14" hidden="1" x14ac:dyDescent="0.3">
      <c r="G9666" s="101"/>
      <c r="H9666" s="101"/>
      <c r="I9666" s="101"/>
      <c r="K9666" s="226"/>
      <c r="L9666" s="226"/>
      <c r="M9666" s="101"/>
      <c r="N9666" s="101"/>
    </row>
    <row r="9667" spans="7:14" hidden="1" x14ac:dyDescent="0.3">
      <c r="G9667" s="101"/>
      <c r="H9667" s="101"/>
      <c r="I9667" s="101"/>
      <c r="K9667" s="226"/>
      <c r="L9667" s="226"/>
      <c r="M9667" s="101"/>
      <c r="N9667" s="101"/>
    </row>
    <row r="9668" spans="7:14" hidden="1" x14ac:dyDescent="0.3">
      <c r="G9668" s="101"/>
      <c r="H9668" s="101"/>
      <c r="I9668" s="101"/>
      <c r="K9668" s="226"/>
      <c r="L9668" s="226"/>
      <c r="M9668" s="101"/>
      <c r="N9668" s="101"/>
    </row>
    <row r="9669" spans="7:14" hidden="1" x14ac:dyDescent="0.3">
      <c r="G9669" s="101"/>
      <c r="H9669" s="101"/>
      <c r="I9669" s="101"/>
      <c r="K9669" s="226"/>
      <c r="L9669" s="226"/>
      <c r="M9669" s="101"/>
      <c r="N9669" s="101"/>
    </row>
    <row r="9670" spans="7:14" hidden="1" x14ac:dyDescent="0.3">
      <c r="G9670" s="101"/>
      <c r="H9670" s="101"/>
      <c r="I9670" s="101"/>
      <c r="K9670" s="226"/>
      <c r="L9670" s="226"/>
      <c r="M9670" s="101"/>
      <c r="N9670" s="101"/>
    </row>
    <row r="9671" spans="7:14" hidden="1" x14ac:dyDescent="0.3">
      <c r="G9671" s="101"/>
      <c r="H9671" s="101"/>
      <c r="I9671" s="101"/>
      <c r="K9671" s="226"/>
      <c r="L9671" s="226"/>
      <c r="M9671" s="101"/>
      <c r="N9671" s="101"/>
    </row>
    <row r="9672" spans="7:14" hidden="1" x14ac:dyDescent="0.3">
      <c r="G9672" s="101"/>
      <c r="H9672" s="101"/>
      <c r="I9672" s="101"/>
      <c r="K9672" s="226"/>
      <c r="L9672" s="226"/>
      <c r="M9672" s="101"/>
      <c r="N9672" s="101"/>
    </row>
    <row r="9673" spans="7:14" hidden="1" x14ac:dyDescent="0.3">
      <c r="G9673" s="101"/>
      <c r="H9673" s="101"/>
      <c r="I9673" s="101"/>
      <c r="K9673" s="226"/>
      <c r="L9673" s="226"/>
      <c r="M9673" s="101"/>
      <c r="N9673" s="101"/>
    </row>
    <row r="9674" spans="7:14" hidden="1" x14ac:dyDescent="0.3">
      <c r="G9674" s="101"/>
      <c r="H9674" s="101"/>
      <c r="I9674" s="101"/>
      <c r="K9674" s="226"/>
      <c r="L9674" s="226"/>
      <c r="M9674" s="101"/>
      <c r="N9674" s="101"/>
    </row>
    <row r="9675" spans="7:14" hidden="1" x14ac:dyDescent="0.3">
      <c r="G9675" s="101"/>
      <c r="H9675" s="101"/>
      <c r="I9675" s="101"/>
      <c r="K9675" s="226"/>
      <c r="L9675" s="226"/>
      <c r="M9675" s="101"/>
      <c r="N9675" s="101"/>
    </row>
    <row r="9676" spans="7:14" hidden="1" x14ac:dyDescent="0.3">
      <c r="G9676" s="101"/>
      <c r="H9676" s="101"/>
      <c r="I9676" s="101"/>
      <c r="K9676" s="226"/>
      <c r="L9676" s="226"/>
      <c r="M9676" s="101"/>
      <c r="N9676" s="101"/>
    </row>
    <row r="9677" spans="7:14" hidden="1" x14ac:dyDescent="0.3">
      <c r="G9677" s="101"/>
      <c r="H9677" s="101"/>
      <c r="I9677" s="101"/>
      <c r="K9677" s="226"/>
      <c r="L9677" s="226"/>
      <c r="M9677" s="101"/>
      <c r="N9677" s="101"/>
    </row>
    <row r="9678" spans="7:14" hidden="1" x14ac:dyDescent="0.3">
      <c r="G9678" s="101"/>
      <c r="H9678" s="101"/>
      <c r="I9678" s="101"/>
      <c r="K9678" s="226"/>
      <c r="L9678" s="226"/>
      <c r="M9678" s="101"/>
      <c r="N9678" s="101"/>
    </row>
    <row r="9679" spans="7:14" hidden="1" x14ac:dyDescent="0.3">
      <c r="G9679" s="101"/>
      <c r="H9679" s="101"/>
      <c r="I9679" s="101"/>
      <c r="K9679" s="226"/>
      <c r="L9679" s="226"/>
      <c r="M9679" s="101"/>
      <c r="N9679" s="101"/>
    </row>
    <row r="9680" spans="7:14" hidden="1" x14ac:dyDescent="0.3">
      <c r="G9680" s="101"/>
      <c r="H9680" s="101"/>
      <c r="I9680" s="101"/>
      <c r="K9680" s="226"/>
      <c r="L9680" s="226"/>
      <c r="M9680" s="101"/>
      <c r="N9680" s="101"/>
    </row>
    <row r="9681" spans="7:14" hidden="1" x14ac:dyDescent="0.3">
      <c r="G9681" s="101"/>
      <c r="H9681" s="101"/>
      <c r="I9681" s="101"/>
      <c r="K9681" s="226"/>
      <c r="L9681" s="226"/>
      <c r="M9681" s="101"/>
      <c r="N9681" s="101"/>
    </row>
    <row r="9682" spans="7:14" hidden="1" x14ac:dyDescent="0.3">
      <c r="G9682" s="101"/>
      <c r="H9682" s="101"/>
      <c r="I9682" s="101"/>
      <c r="K9682" s="226"/>
      <c r="L9682" s="226"/>
      <c r="M9682" s="101"/>
      <c r="N9682" s="101"/>
    </row>
    <row r="9683" spans="7:14" hidden="1" x14ac:dyDescent="0.3">
      <c r="G9683" s="101"/>
      <c r="H9683" s="101"/>
      <c r="I9683" s="101"/>
      <c r="K9683" s="226"/>
      <c r="L9683" s="226"/>
      <c r="M9683" s="101"/>
      <c r="N9683" s="101"/>
    </row>
    <row r="9684" spans="7:14" hidden="1" x14ac:dyDescent="0.3">
      <c r="G9684" s="101"/>
      <c r="H9684" s="101"/>
      <c r="I9684" s="101"/>
      <c r="K9684" s="226"/>
      <c r="L9684" s="226"/>
      <c r="M9684" s="101"/>
      <c r="N9684" s="101"/>
    </row>
    <row r="9685" spans="7:14" hidden="1" x14ac:dyDescent="0.3">
      <c r="G9685" s="101"/>
      <c r="H9685" s="101"/>
      <c r="I9685" s="101"/>
      <c r="K9685" s="226"/>
      <c r="L9685" s="226"/>
      <c r="M9685" s="101"/>
      <c r="N9685" s="101"/>
    </row>
    <row r="9686" spans="7:14" hidden="1" x14ac:dyDescent="0.3">
      <c r="G9686" s="101"/>
      <c r="H9686" s="101"/>
      <c r="I9686" s="101"/>
      <c r="K9686" s="226"/>
      <c r="L9686" s="226"/>
      <c r="M9686" s="101"/>
      <c r="N9686" s="101"/>
    </row>
    <row r="9687" spans="7:14" hidden="1" x14ac:dyDescent="0.3">
      <c r="G9687" s="101"/>
      <c r="H9687" s="101"/>
      <c r="I9687" s="101"/>
      <c r="K9687" s="226"/>
      <c r="L9687" s="226"/>
      <c r="M9687" s="101"/>
      <c r="N9687" s="101"/>
    </row>
    <row r="9688" spans="7:14" hidden="1" x14ac:dyDescent="0.3">
      <c r="G9688" s="101"/>
      <c r="H9688" s="101"/>
      <c r="I9688" s="101"/>
      <c r="K9688" s="226"/>
      <c r="L9688" s="226"/>
      <c r="M9688" s="101"/>
      <c r="N9688" s="101"/>
    </row>
    <row r="9689" spans="7:14" hidden="1" x14ac:dyDescent="0.3">
      <c r="G9689" s="101"/>
      <c r="H9689" s="101"/>
      <c r="I9689" s="101"/>
      <c r="K9689" s="226"/>
      <c r="L9689" s="226"/>
      <c r="M9689" s="101"/>
      <c r="N9689" s="101"/>
    </row>
    <row r="9690" spans="7:14" hidden="1" x14ac:dyDescent="0.3">
      <c r="G9690" s="101"/>
      <c r="H9690" s="101"/>
      <c r="I9690" s="101"/>
      <c r="K9690" s="226"/>
      <c r="L9690" s="226"/>
      <c r="M9690" s="101"/>
      <c r="N9690" s="101"/>
    </row>
    <row r="9691" spans="7:14" hidden="1" x14ac:dyDescent="0.3">
      <c r="G9691" s="101"/>
      <c r="H9691" s="101"/>
      <c r="I9691" s="101"/>
      <c r="K9691" s="226"/>
      <c r="L9691" s="226"/>
      <c r="M9691" s="101"/>
      <c r="N9691" s="101"/>
    </row>
    <row r="9692" spans="7:14" hidden="1" x14ac:dyDescent="0.3">
      <c r="G9692" s="101"/>
      <c r="H9692" s="101"/>
      <c r="I9692" s="101"/>
      <c r="K9692" s="226"/>
      <c r="L9692" s="226"/>
      <c r="M9692" s="101"/>
      <c r="N9692" s="101"/>
    </row>
    <row r="9693" spans="7:14" hidden="1" x14ac:dyDescent="0.3">
      <c r="G9693" s="101"/>
      <c r="H9693" s="101"/>
      <c r="I9693" s="101"/>
      <c r="K9693" s="226"/>
      <c r="L9693" s="226"/>
      <c r="M9693" s="101"/>
      <c r="N9693" s="101"/>
    </row>
    <row r="9694" spans="7:14" hidden="1" x14ac:dyDescent="0.3">
      <c r="G9694" s="101"/>
      <c r="H9694" s="101"/>
      <c r="I9694" s="101"/>
      <c r="K9694" s="226"/>
      <c r="L9694" s="226"/>
      <c r="M9694" s="101"/>
      <c r="N9694" s="101"/>
    </row>
    <row r="9695" spans="7:14" hidden="1" x14ac:dyDescent="0.3">
      <c r="G9695" s="101"/>
      <c r="H9695" s="101"/>
      <c r="I9695" s="101"/>
      <c r="K9695" s="226"/>
      <c r="L9695" s="226"/>
      <c r="M9695" s="101"/>
      <c r="N9695" s="101"/>
    </row>
    <row r="9696" spans="7:14" hidden="1" x14ac:dyDescent="0.3">
      <c r="G9696" s="101"/>
      <c r="H9696" s="101"/>
      <c r="I9696" s="101"/>
      <c r="K9696" s="226"/>
      <c r="L9696" s="226"/>
      <c r="M9696" s="101"/>
      <c r="N9696" s="101"/>
    </row>
    <row r="9697" spans="7:14" hidden="1" x14ac:dyDescent="0.3">
      <c r="G9697" s="101"/>
      <c r="H9697" s="101"/>
      <c r="I9697" s="101"/>
      <c r="K9697" s="226"/>
      <c r="L9697" s="226"/>
      <c r="M9697" s="101"/>
      <c r="N9697" s="101"/>
    </row>
    <row r="9698" spans="7:14" hidden="1" x14ac:dyDescent="0.3">
      <c r="G9698" s="101"/>
      <c r="H9698" s="101"/>
      <c r="I9698" s="101"/>
      <c r="K9698" s="226"/>
      <c r="L9698" s="226"/>
      <c r="M9698" s="101"/>
      <c r="N9698" s="101"/>
    </row>
    <row r="9699" spans="7:14" hidden="1" x14ac:dyDescent="0.3">
      <c r="G9699" s="101"/>
      <c r="H9699" s="101"/>
      <c r="I9699" s="101"/>
      <c r="K9699" s="226"/>
      <c r="L9699" s="226"/>
      <c r="M9699" s="101"/>
      <c r="N9699" s="101"/>
    </row>
    <row r="9700" spans="7:14" hidden="1" x14ac:dyDescent="0.3">
      <c r="G9700" s="101"/>
      <c r="H9700" s="101"/>
      <c r="I9700" s="101"/>
      <c r="K9700" s="226"/>
      <c r="L9700" s="226"/>
      <c r="M9700" s="101"/>
      <c r="N9700" s="101"/>
    </row>
    <row r="9701" spans="7:14" hidden="1" x14ac:dyDescent="0.3">
      <c r="G9701" s="101"/>
      <c r="H9701" s="101"/>
      <c r="I9701" s="101"/>
      <c r="K9701" s="226"/>
      <c r="L9701" s="226"/>
      <c r="M9701" s="101"/>
      <c r="N9701" s="101"/>
    </row>
    <row r="9702" spans="7:14" hidden="1" x14ac:dyDescent="0.3">
      <c r="G9702" s="101"/>
      <c r="H9702" s="101"/>
      <c r="I9702" s="101"/>
      <c r="K9702" s="226"/>
      <c r="L9702" s="226"/>
      <c r="M9702" s="101"/>
      <c r="N9702" s="101"/>
    </row>
    <row r="9703" spans="7:14" hidden="1" x14ac:dyDescent="0.3">
      <c r="G9703" s="101"/>
      <c r="H9703" s="101"/>
      <c r="I9703" s="101"/>
      <c r="K9703" s="226"/>
      <c r="L9703" s="226"/>
      <c r="M9703" s="101"/>
      <c r="N9703" s="101"/>
    </row>
    <row r="9704" spans="7:14" hidden="1" x14ac:dyDescent="0.3">
      <c r="G9704" s="101"/>
      <c r="H9704" s="101"/>
      <c r="I9704" s="101"/>
      <c r="K9704" s="226"/>
      <c r="L9704" s="226"/>
      <c r="M9704" s="101"/>
      <c r="N9704" s="101"/>
    </row>
    <row r="9705" spans="7:14" hidden="1" x14ac:dyDescent="0.3">
      <c r="G9705" s="101"/>
      <c r="H9705" s="101"/>
      <c r="I9705" s="101"/>
      <c r="K9705" s="226"/>
      <c r="L9705" s="226"/>
      <c r="M9705" s="101"/>
      <c r="N9705" s="101"/>
    </row>
    <row r="9706" spans="7:14" hidden="1" x14ac:dyDescent="0.3">
      <c r="G9706" s="101"/>
      <c r="H9706" s="101"/>
      <c r="I9706" s="101"/>
      <c r="K9706" s="226"/>
      <c r="L9706" s="226"/>
      <c r="M9706" s="101"/>
      <c r="N9706" s="101"/>
    </row>
    <row r="9707" spans="7:14" hidden="1" x14ac:dyDescent="0.3">
      <c r="G9707" s="101"/>
      <c r="H9707" s="101"/>
      <c r="I9707" s="101"/>
      <c r="K9707" s="226"/>
      <c r="L9707" s="226"/>
      <c r="M9707" s="101"/>
      <c r="N9707" s="101"/>
    </row>
    <row r="9708" spans="7:14" hidden="1" x14ac:dyDescent="0.3">
      <c r="G9708" s="101"/>
      <c r="H9708" s="101"/>
      <c r="I9708" s="101"/>
      <c r="K9708" s="226"/>
      <c r="L9708" s="226"/>
      <c r="M9708" s="101"/>
      <c r="N9708" s="101"/>
    </row>
    <row r="9709" spans="7:14" hidden="1" x14ac:dyDescent="0.3">
      <c r="G9709" s="101"/>
      <c r="H9709" s="101"/>
      <c r="I9709" s="101"/>
      <c r="K9709" s="226"/>
      <c r="L9709" s="226"/>
      <c r="M9709" s="101"/>
      <c r="N9709" s="101"/>
    </row>
    <row r="9710" spans="7:14" hidden="1" x14ac:dyDescent="0.3">
      <c r="G9710" s="101"/>
      <c r="H9710" s="101"/>
      <c r="I9710" s="101"/>
      <c r="K9710" s="226"/>
      <c r="L9710" s="226"/>
      <c r="M9710" s="101"/>
      <c r="N9710" s="101"/>
    </row>
    <row r="9711" spans="7:14" hidden="1" x14ac:dyDescent="0.3">
      <c r="G9711" s="101"/>
      <c r="H9711" s="101"/>
      <c r="I9711" s="101"/>
      <c r="K9711" s="226"/>
      <c r="L9711" s="226"/>
      <c r="M9711" s="101"/>
      <c r="N9711" s="101"/>
    </row>
    <row r="9712" spans="7:14" hidden="1" x14ac:dyDescent="0.3">
      <c r="G9712" s="101"/>
      <c r="H9712" s="101"/>
      <c r="I9712" s="101"/>
      <c r="K9712" s="226"/>
      <c r="L9712" s="226"/>
      <c r="M9712" s="101"/>
      <c r="N9712" s="101"/>
    </row>
    <row r="9713" spans="7:14" hidden="1" x14ac:dyDescent="0.3">
      <c r="G9713" s="101"/>
      <c r="H9713" s="101"/>
      <c r="I9713" s="101"/>
      <c r="K9713" s="226"/>
      <c r="L9713" s="226"/>
      <c r="M9713" s="101"/>
      <c r="N9713" s="101"/>
    </row>
    <row r="9714" spans="7:14" hidden="1" x14ac:dyDescent="0.3">
      <c r="G9714" s="101"/>
      <c r="H9714" s="101"/>
      <c r="I9714" s="101"/>
      <c r="K9714" s="226"/>
      <c r="L9714" s="226"/>
      <c r="M9714" s="101"/>
      <c r="N9714" s="101"/>
    </row>
    <row r="9715" spans="7:14" hidden="1" x14ac:dyDescent="0.3">
      <c r="G9715" s="101"/>
      <c r="H9715" s="101"/>
      <c r="I9715" s="101"/>
      <c r="K9715" s="226"/>
      <c r="L9715" s="226"/>
      <c r="M9715" s="101"/>
      <c r="N9715" s="101"/>
    </row>
    <row r="9716" spans="7:14" hidden="1" x14ac:dyDescent="0.3">
      <c r="G9716" s="101"/>
      <c r="H9716" s="101"/>
      <c r="I9716" s="101"/>
      <c r="K9716" s="226"/>
      <c r="L9716" s="226"/>
      <c r="M9716" s="101"/>
      <c r="N9716" s="101"/>
    </row>
    <row r="9717" spans="7:14" hidden="1" x14ac:dyDescent="0.3">
      <c r="G9717" s="101"/>
      <c r="H9717" s="101"/>
      <c r="I9717" s="101"/>
      <c r="K9717" s="226"/>
      <c r="L9717" s="226"/>
      <c r="M9717" s="101"/>
      <c r="N9717" s="101"/>
    </row>
    <row r="9718" spans="7:14" hidden="1" x14ac:dyDescent="0.3">
      <c r="G9718" s="101"/>
      <c r="H9718" s="101"/>
      <c r="I9718" s="101"/>
      <c r="K9718" s="226"/>
      <c r="L9718" s="226"/>
      <c r="M9718" s="101"/>
      <c r="N9718" s="101"/>
    </row>
    <row r="9719" spans="7:14" hidden="1" x14ac:dyDescent="0.3">
      <c r="G9719" s="101"/>
      <c r="H9719" s="101"/>
      <c r="I9719" s="101"/>
      <c r="K9719" s="226"/>
      <c r="L9719" s="226"/>
      <c r="M9719" s="101"/>
      <c r="N9719" s="101"/>
    </row>
    <row r="9720" spans="7:14" hidden="1" x14ac:dyDescent="0.3">
      <c r="G9720" s="101"/>
      <c r="H9720" s="101"/>
      <c r="I9720" s="101"/>
      <c r="K9720" s="226"/>
      <c r="L9720" s="226"/>
      <c r="M9720" s="101"/>
      <c r="N9720" s="101"/>
    </row>
    <row r="9721" spans="7:14" hidden="1" x14ac:dyDescent="0.3">
      <c r="G9721" s="101"/>
      <c r="H9721" s="101"/>
      <c r="I9721" s="101"/>
      <c r="K9721" s="226"/>
      <c r="L9721" s="226"/>
      <c r="M9721" s="101"/>
      <c r="N9721" s="101"/>
    </row>
    <row r="9722" spans="7:14" hidden="1" x14ac:dyDescent="0.3">
      <c r="G9722" s="101"/>
      <c r="H9722" s="101"/>
      <c r="I9722" s="101"/>
      <c r="K9722" s="226"/>
      <c r="L9722" s="226"/>
      <c r="M9722" s="101"/>
      <c r="N9722" s="101"/>
    </row>
    <row r="9723" spans="7:14" hidden="1" x14ac:dyDescent="0.3">
      <c r="G9723" s="101"/>
      <c r="H9723" s="101"/>
      <c r="I9723" s="101"/>
      <c r="K9723" s="226"/>
      <c r="L9723" s="226"/>
      <c r="M9723" s="101"/>
      <c r="N9723" s="101"/>
    </row>
    <row r="9724" spans="7:14" hidden="1" x14ac:dyDescent="0.3">
      <c r="G9724" s="101"/>
      <c r="H9724" s="101"/>
      <c r="I9724" s="101"/>
      <c r="K9724" s="226"/>
      <c r="L9724" s="226"/>
      <c r="M9724" s="101"/>
      <c r="N9724" s="101"/>
    </row>
    <row r="9725" spans="7:14" hidden="1" x14ac:dyDescent="0.3">
      <c r="G9725" s="101"/>
      <c r="H9725" s="101"/>
      <c r="I9725" s="101"/>
      <c r="K9725" s="226"/>
      <c r="L9725" s="226"/>
      <c r="M9725" s="101"/>
      <c r="N9725" s="101"/>
    </row>
    <row r="9726" spans="7:14" hidden="1" x14ac:dyDescent="0.3">
      <c r="G9726" s="101"/>
      <c r="H9726" s="101"/>
      <c r="I9726" s="101"/>
      <c r="K9726" s="226"/>
      <c r="L9726" s="226"/>
      <c r="M9726" s="101"/>
      <c r="N9726" s="101"/>
    </row>
    <row r="9727" spans="7:14" hidden="1" x14ac:dyDescent="0.3">
      <c r="G9727" s="101"/>
      <c r="H9727" s="101"/>
      <c r="I9727" s="101"/>
      <c r="K9727" s="226"/>
      <c r="L9727" s="226"/>
      <c r="M9727" s="101"/>
      <c r="N9727" s="101"/>
    </row>
    <row r="9728" spans="7:14" hidden="1" x14ac:dyDescent="0.3">
      <c r="G9728" s="101"/>
      <c r="H9728" s="101"/>
      <c r="I9728" s="101"/>
      <c r="K9728" s="226"/>
      <c r="L9728" s="226"/>
      <c r="M9728" s="101"/>
      <c r="N9728" s="101"/>
    </row>
    <row r="9729" spans="7:14" hidden="1" x14ac:dyDescent="0.3">
      <c r="G9729" s="101"/>
      <c r="H9729" s="101"/>
      <c r="I9729" s="101"/>
      <c r="K9729" s="226"/>
      <c r="L9729" s="226"/>
      <c r="M9729" s="101"/>
      <c r="N9729" s="101"/>
    </row>
    <row r="9730" spans="7:14" hidden="1" x14ac:dyDescent="0.3">
      <c r="G9730" s="101"/>
      <c r="H9730" s="101"/>
      <c r="I9730" s="101"/>
      <c r="K9730" s="226"/>
      <c r="L9730" s="226"/>
      <c r="M9730" s="101"/>
      <c r="N9730" s="101"/>
    </row>
    <row r="9731" spans="7:14" hidden="1" x14ac:dyDescent="0.3">
      <c r="G9731" s="101"/>
      <c r="H9731" s="101"/>
      <c r="I9731" s="101"/>
      <c r="K9731" s="226"/>
      <c r="L9731" s="226"/>
      <c r="M9731" s="101"/>
      <c r="N9731" s="101"/>
    </row>
    <row r="9732" spans="7:14" hidden="1" x14ac:dyDescent="0.3">
      <c r="G9732" s="101"/>
      <c r="H9732" s="101"/>
      <c r="I9732" s="101"/>
      <c r="K9732" s="226"/>
      <c r="L9732" s="226"/>
      <c r="M9732" s="101"/>
      <c r="N9732" s="101"/>
    </row>
    <row r="9733" spans="7:14" hidden="1" x14ac:dyDescent="0.3">
      <c r="G9733" s="101"/>
      <c r="H9733" s="101"/>
      <c r="I9733" s="101"/>
      <c r="K9733" s="226"/>
      <c r="L9733" s="226"/>
      <c r="M9733" s="101"/>
      <c r="N9733" s="101"/>
    </row>
    <row r="9734" spans="7:14" hidden="1" x14ac:dyDescent="0.3">
      <c r="G9734" s="101"/>
      <c r="H9734" s="101"/>
      <c r="I9734" s="101"/>
      <c r="K9734" s="226"/>
      <c r="L9734" s="226"/>
      <c r="M9734" s="101"/>
      <c r="N9734" s="101"/>
    </row>
    <row r="9735" spans="7:14" hidden="1" x14ac:dyDescent="0.3">
      <c r="G9735" s="101"/>
      <c r="H9735" s="101"/>
      <c r="I9735" s="101"/>
      <c r="K9735" s="226"/>
      <c r="L9735" s="226"/>
      <c r="M9735" s="101"/>
      <c r="N9735" s="101"/>
    </row>
    <row r="9736" spans="7:14" hidden="1" x14ac:dyDescent="0.3">
      <c r="G9736" s="101"/>
      <c r="H9736" s="101"/>
      <c r="I9736" s="101"/>
      <c r="K9736" s="226"/>
      <c r="L9736" s="226"/>
      <c r="M9736" s="101"/>
      <c r="N9736" s="101"/>
    </row>
    <row r="9737" spans="7:14" hidden="1" x14ac:dyDescent="0.3">
      <c r="G9737" s="101"/>
      <c r="H9737" s="101"/>
      <c r="I9737" s="101"/>
      <c r="K9737" s="226"/>
      <c r="L9737" s="226"/>
      <c r="M9737" s="101"/>
      <c r="N9737" s="101"/>
    </row>
    <row r="9738" spans="7:14" hidden="1" x14ac:dyDescent="0.3">
      <c r="G9738" s="101"/>
      <c r="H9738" s="101"/>
      <c r="I9738" s="101"/>
      <c r="K9738" s="226"/>
      <c r="L9738" s="226"/>
      <c r="M9738" s="101"/>
      <c r="N9738" s="101"/>
    </row>
    <row r="9739" spans="7:14" hidden="1" x14ac:dyDescent="0.3">
      <c r="G9739" s="101"/>
      <c r="H9739" s="101"/>
      <c r="I9739" s="101"/>
      <c r="K9739" s="226"/>
      <c r="L9739" s="226"/>
      <c r="M9739" s="101"/>
      <c r="N9739" s="101"/>
    </row>
    <row r="9740" spans="7:14" hidden="1" x14ac:dyDescent="0.3">
      <c r="G9740" s="101"/>
      <c r="H9740" s="101"/>
      <c r="I9740" s="101"/>
      <c r="K9740" s="226"/>
      <c r="L9740" s="226"/>
      <c r="M9740" s="101"/>
      <c r="N9740" s="101"/>
    </row>
    <row r="9741" spans="7:14" hidden="1" x14ac:dyDescent="0.3">
      <c r="G9741" s="101"/>
      <c r="H9741" s="101"/>
      <c r="I9741" s="101"/>
      <c r="K9741" s="226"/>
      <c r="L9741" s="226"/>
      <c r="M9741" s="101"/>
      <c r="N9741" s="101"/>
    </row>
    <row r="9742" spans="7:14" hidden="1" x14ac:dyDescent="0.3">
      <c r="G9742" s="101"/>
      <c r="H9742" s="101"/>
      <c r="I9742" s="101"/>
      <c r="K9742" s="226"/>
      <c r="L9742" s="226"/>
      <c r="M9742" s="101"/>
      <c r="N9742" s="101"/>
    </row>
    <row r="9743" spans="7:14" hidden="1" x14ac:dyDescent="0.3">
      <c r="G9743" s="101"/>
      <c r="H9743" s="101"/>
      <c r="I9743" s="101"/>
      <c r="K9743" s="226"/>
      <c r="L9743" s="226"/>
      <c r="M9743" s="101"/>
      <c r="N9743" s="101"/>
    </row>
    <row r="9744" spans="7:14" hidden="1" x14ac:dyDescent="0.3">
      <c r="G9744" s="101"/>
      <c r="H9744" s="101"/>
      <c r="I9744" s="101"/>
      <c r="K9744" s="226"/>
      <c r="L9744" s="226"/>
      <c r="M9744" s="101"/>
      <c r="N9744" s="101"/>
    </row>
    <row r="9745" spans="7:14" hidden="1" x14ac:dyDescent="0.3">
      <c r="G9745" s="101"/>
      <c r="H9745" s="101"/>
      <c r="I9745" s="101"/>
      <c r="K9745" s="226"/>
      <c r="L9745" s="226"/>
      <c r="M9745" s="101"/>
      <c r="N9745" s="101"/>
    </row>
    <row r="9746" spans="7:14" hidden="1" x14ac:dyDescent="0.3">
      <c r="G9746" s="101"/>
      <c r="H9746" s="101"/>
      <c r="I9746" s="101"/>
      <c r="K9746" s="226"/>
      <c r="L9746" s="226"/>
      <c r="M9746" s="101"/>
      <c r="N9746" s="101"/>
    </row>
    <row r="9747" spans="7:14" hidden="1" x14ac:dyDescent="0.3">
      <c r="G9747" s="101"/>
      <c r="H9747" s="101"/>
      <c r="I9747" s="101"/>
      <c r="K9747" s="226"/>
      <c r="L9747" s="226"/>
      <c r="M9747" s="101"/>
      <c r="N9747" s="101"/>
    </row>
    <row r="9748" spans="7:14" hidden="1" x14ac:dyDescent="0.3">
      <c r="G9748" s="101"/>
      <c r="H9748" s="101"/>
      <c r="I9748" s="101"/>
      <c r="K9748" s="226"/>
      <c r="L9748" s="226"/>
      <c r="M9748" s="101"/>
      <c r="N9748" s="101"/>
    </row>
    <row r="9749" spans="7:14" hidden="1" x14ac:dyDescent="0.3">
      <c r="G9749" s="101"/>
      <c r="H9749" s="101"/>
      <c r="I9749" s="101"/>
      <c r="K9749" s="226"/>
      <c r="L9749" s="226"/>
      <c r="M9749" s="101"/>
      <c r="N9749" s="101"/>
    </row>
    <row r="9750" spans="7:14" hidden="1" x14ac:dyDescent="0.3">
      <c r="G9750" s="101"/>
      <c r="H9750" s="101"/>
      <c r="I9750" s="101"/>
      <c r="K9750" s="226"/>
      <c r="L9750" s="226"/>
      <c r="M9750" s="101"/>
      <c r="N9750" s="101"/>
    </row>
    <row r="9751" spans="7:14" hidden="1" x14ac:dyDescent="0.3">
      <c r="G9751" s="101"/>
      <c r="H9751" s="101"/>
      <c r="I9751" s="101"/>
      <c r="K9751" s="226"/>
      <c r="L9751" s="226"/>
      <c r="M9751" s="101"/>
      <c r="N9751" s="101"/>
    </row>
    <row r="9752" spans="7:14" hidden="1" x14ac:dyDescent="0.3">
      <c r="G9752" s="101"/>
      <c r="H9752" s="101"/>
      <c r="I9752" s="101"/>
      <c r="K9752" s="226"/>
      <c r="L9752" s="226"/>
      <c r="M9752" s="101"/>
      <c r="N9752" s="101"/>
    </row>
    <row r="9753" spans="7:14" hidden="1" x14ac:dyDescent="0.3">
      <c r="G9753" s="101"/>
      <c r="H9753" s="101"/>
      <c r="I9753" s="101"/>
      <c r="K9753" s="226"/>
      <c r="L9753" s="226"/>
      <c r="M9753" s="101"/>
      <c r="N9753" s="101"/>
    </row>
    <row r="9754" spans="7:14" hidden="1" x14ac:dyDescent="0.3">
      <c r="G9754" s="101"/>
      <c r="H9754" s="101"/>
      <c r="I9754" s="101"/>
      <c r="K9754" s="226"/>
      <c r="L9754" s="226"/>
      <c r="M9754" s="101"/>
      <c r="N9754" s="101"/>
    </row>
    <row r="9755" spans="7:14" hidden="1" x14ac:dyDescent="0.3">
      <c r="G9755" s="101"/>
      <c r="H9755" s="101"/>
      <c r="I9755" s="101"/>
      <c r="K9755" s="226"/>
      <c r="L9755" s="226"/>
      <c r="M9755" s="101"/>
      <c r="N9755" s="101"/>
    </row>
    <row r="9756" spans="7:14" hidden="1" x14ac:dyDescent="0.3">
      <c r="G9756" s="101"/>
      <c r="H9756" s="101"/>
      <c r="I9756" s="101"/>
      <c r="K9756" s="226"/>
      <c r="L9756" s="226"/>
      <c r="M9756" s="101"/>
      <c r="N9756" s="101"/>
    </row>
    <row r="9757" spans="7:14" hidden="1" x14ac:dyDescent="0.3">
      <c r="G9757" s="101"/>
      <c r="H9757" s="101"/>
      <c r="I9757" s="101"/>
      <c r="K9757" s="226"/>
      <c r="L9757" s="226"/>
      <c r="M9757" s="101"/>
      <c r="N9757" s="101"/>
    </row>
    <row r="9758" spans="7:14" hidden="1" x14ac:dyDescent="0.3">
      <c r="G9758" s="101"/>
      <c r="H9758" s="101"/>
      <c r="I9758" s="101"/>
      <c r="K9758" s="226"/>
      <c r="L9758" s="226"/>
      <c r="M9758" s="101"/>
      <c r="N9758" s="101"/>
    </row>
    <row r="9759" spans="7:14" hidden="1" x14ac:dyDescent="0.3">
      <c r="G9759" s="101"/>
      <c r="H9759" s="101"/>
      <c r="I9759" s="101"/>
      <c r="K9759" s="226"/>
      <c r="L9759" s="226"/>
      <c r="M9759" s="101"/>
      <c r="N9759" s="101"/>
    </row>
    <row r="9760" spans="7:14" hidden="1" x14ac:dyDescent="0.3">
      <c r="G9760" s="101"/>
      <c r="H9760" s="101"/>
      <c r="I9760" s="101"/>
      <c r="K9760" s="226"/>
      <c r="L9760" s="226"/>
      <c r="M9760" s="101"/>
      <c r="N9760" s="101"/>
    </row>
    <row r="9761" spans="7:14" hidden="1" x14ac:dyDescent="0.3">
      <c r="G9761" s="101"/>
      <c r="H9761" s="101"/>
      <c r="I9761" s="101"/>
      <c r="K9761" s="226"/>
      <c r="L9761" s="226"/>
      <c r="M9761" s="101"/>
      <c r="N9761" s="101"/>
    </row>
    <row r="9762" spans="7:14" hidden="1" x14ac:dyDescent="0.3">
      <c r="G9762" s="101"/>
      <c r="H9762" s="101"/>
      <c r="I9762" s="101"/>
      <c r="K9762" s="226"/>
      <c r="L9762" s="226"/>
      <c r="M9762" s="101"/>
      <c r="N9762" s="101"/>
    </row>
    <row r="9763" spans="7:14" hidden="1" x14ac:dyDescent="0.3">
      <c r="G9763" s="101"/>
      <c r="H9763" s="101"/>
      <c r="I9763" s="101"/>
      <c r="K9763" s="226"/>
      <c r="L9763" s="226"/>
      <c r="M9763" s="101"/>
      <c r="N9763" s="101"/>
    </row>
    <row r="9764" spans="7:14" hidden="1" x14ac:dyDescent="0.3">
      <c r="G9764" s="101"/>
      <c r="H9764" s="101"/>
      <c r="I9764" s="101"/>
      <c r="K9764" s="226"/>
      <c r="L9764" s="226"/>
      <c r="M9764" s="101"/>
      <c r="N9764" s="101"/>
    </row>
    <row r="9765" spans="7:14" hidden="1" x14ac:dyDescent="0.3">
      <c r="G9765" s="101"/>
      <c r="H9765" s="101"/>
      <c r="I9765" s="101"/>
      <c r="K9765" s="226"/>
      <c r="L9765" s="226"/>
      <c r="M9765" s="101"/>
      <c r="N9765" s="101"/>
    </row>
    <row r="9766" spans="7:14" hidden="1" x14ac:dyDescent="0.3">
      <c r="G9766" s="101"/>
      <c r="H9766" s="101"/>
      <c r="I9766" s="101"/>
      <c r="K9766" s="226"/>
      <c r="L9766" s="226"/>
      <c r="M9766" s="101"/>
      <c r="N9766" s="101"/>
    </row>
    <row r="9767" spans="7:14" hidden="1" x14ac:dyDescent="0.3">
      <c r="G9767" s="101"/>
      <c r="H9767" s="101"/>
      <c r="I9767" s="101"/>
      <c r="K9767" s="226"/>
      <c r="L9767" s="226"/>
      <c r="M9767" s="101"/>
      <c r="N9767" s="101"/>
    </row>
    <row r="9768" spans="7:14" hidden="1" x14ac:dyDescent="0.3">
      <c r="G9768" s="101"/>
      <c r="H9768" s="101"/>
      <c r="I9768" s="101"/>
      <c r="K9768" s="226"/>
      <c r="L9768" s="226"/>
      <c r="M9768" s="101"/>
      <c r="N9768" s="101"/>
    </row>
    <row r="9769" spans="7:14" hidden="1" x14ac:dyDescent="0.3">
      <c r="G9769" s="101"/>
      <c r="H9769" s="101"/>
      <c r="I9769" s="101"/>
      <c r="K9769" s="226"/>
      <c r="L9769" s="226"/>
      <c r="M9769" s="101"/>
      <c r="N9769" s="101"/>
    </row>
    <row r="9770" spans="7:14" hidden="1" x14ac:dyDescent="0.3">
      <c r="G9770" s="101"/>
      <c r="H9770" s="101"/>
      <c r="I9770" s="101"/>
      <c r="K9770" s="226"/>
      <c r="L9770" s="226"/>
      <c r="M9770" s="101"/>
      <c r="N9770" s="101"/>
    </row>
    <row r="9771" spans="7:14" hidden="1" x14ac:dyDescent="0.3">
      <c r="G9771" s="101"/>
      <c r="H9771" s="101"/>
      <c r="I9771" s="101"/>
      <c r="K9771" s="226"/>
      <c r="L9771" s="226"/>
      <c r="M9771" s="101"/>
      <c r="N9771" s="101"/>
    </row>
    <row r="9772" spans="7:14" hidden="1" x14ac:dyDescent="0.3">
      <c r="G9772" s="101"/>
      <c r="H9772" s="101"/>
      <c r="I9772" s="101"/>
      <c r="K9772" s="226"/>
      <c r="L9772" s="226"/>
      <c r="M9772" s="101"/>
      <c r="N9772" s="101"/>
    </row>
    <row r="9773" spans="7:14" hidden="1" x14ac:dyDescent="0.3">
      <c r="G9773" s="101"/>
      <c r="H9773" s="101"/>
      <c r="I9773" s="101"/>
      <c r="K9773" s="226"/>
      <c r="L9773" s="226"/>
      <c r="M9773" s="101"/>
      <c r="N9773" s="101"/>
    </row>
    <row r="9774" spans="7:14" hidden="1" x14ac:dyDescent="0.3">
      <c r="G9774" s="101"/>
      <c r="H9774" s="101"/>
      <c r="I9774" s="101"/>
      <c r="K9774" s="226"/>
      <c r="L9774" s="226"/>
      <c r="M9774" s="101"/>
      <c r="N9774" s="101"/>
    </row>
    <row r="9775" spans="7:14" hidden="1" x14ac:dyDescent="0.3">
      <c r="G9775" s="101"/>
      <c r="H9775" s="101"/>
      <c r="I9775" s="101"/>
      <c r="K9775" s="226"/>
      <c r="L9775" s="226"/>
      <c r="M9775" s="101"/>
      <c r="N9775" s="101"/>
    </row>
    <row r="9776" spans="7:14" hidden="1" x14ac:dyDescent="0.3">
      <c r="G9776" s="101"/>
      <c r="H9776" s="101"/>
      <c r="I9776" s="101"/>
      <c r="K9776" s="226"/>
      <c r="L9776" s="226"/>
      <c r="M9776" s="101"/>
      <c r="N9776" s="101"/>
    </row>
    <row r="9777" spans="7:14" hidden="1" x14ac:dyDescent="0.3">
      <c r="G9777" s="101"/>
      <c r="H9777" s="101"/>
      <c r="I9777" s="101"/>
      <c r="K9777" s="226"/>
      <c r="L9777" s="226"/>
      <c r="M9777" s="101"/>
      <c r="N9777" s="101"/>
    </row>
    <row r="9778" spans="7:14" hidden="1" x14ac:dyDescent="0.3">
      <c r="G9778" s="101"/>
      <c r="H9778" s="101"/>
      <c r="I9778" s="101"/>
      <c r="K9778" s="226"/>
      <c r="L9778" s="226"/>
      <c r="M9778" s="101"/>
      <c r="N9778" s="101"/>
    </row>
    <row r="9779" spans="7:14" hidden="1" x14ac:dyDescent="0.3">
      <c r="G9779" s="101"/>
      <c r="H9779" s="101"/>
      <c r="I9779" s="101"/>
      <c r="K9779" s="226"/>
      <c r="L9779" s="226"/>
      <c r="M9779" s="101"/>
      <c r="N9779" s="101"/>
    </row>
    <row r="9780" spans="7:14" hidden="1" x14ac:dyDescent="0.3">
      <c r="G9780" s="101"/>
      <c r="H9780" s="101"/>
      <c r="I9780" s="101"/>
      <c r="K9780" s="226"/>
      <c r="L9780" s="226"/>
      <c r="M9780" s="101"/>
      <c r="N9780" s="101"/>
    </row>
    <row r="9781" spans="7:14" hidden="1" x14ac:dyDescent="0.3">
      <c r="G9781" s="101"/>
      <c r="H9781" s="101"/>
      <c r="I9781" s="101"/>
      <c r="K9781" s="226"/>
      <c r="L9781" s="226"/>
      <c r="M9781" s="101"/>
      <c r="N9781" s="101"/>
    </row>
    <row r="9782" spans="7:14" hidden="1" x14ac:dyDescent="0.3">
      <c r="G9782" s="101"/>
      <c r="H9782" s="101"/>
      <c r="I9782" s="101"/>
      <c r="K9782" s="226"/>
      <c r="L9782" s="226"/>
      <c r="M9782" s="101"/>
      <c r="N9782" s="101"/>
    </row>
    <row r="9783" spans="7:14" hidden="1" x14ac:dyDescent="0.3">
      <c r="G9783" s="101"/>
      <c r="H9783" s="101"/>
      <c r="I9783" s="101"/>
      <c r="K9783" s="226"/>
      <c r="L9783" s="226"/>
      <c r="M9783" s="101"/>
      <c r="N9783" s="101"/>
    </row>
    <row r="9784" spans="7:14" hidden="1" x14ac:dyDescent="0.3">
      <c r="G9784" s="101"/>
      <c r="H9784" s="101"/>
      <c r="I9784" s="101"/>
      <c r="K9784" s="226"/>
      <c r="L9784" s="226"/>
      <c r="M9784" s="101"/>
      <c r="N9784" s="101"/>
    </row>
    <row r="9785" spans="7:14" hidden="1" x14ac:dyDescent="0.3">
      <c r="G9785" s="101"/>
      <c r="H9785" s="101"/>
      <c r="I9785" s="101"/>
      <c r="K9785" s="226"/>
      <c r="L9785" s="226"/>
      <c r="M9785" s="101"/>
      <c r="N9785" s="101"/>
    </row>
    <row r="9786" spans="7:14" hidden="1" x14ac:dyDescent="0.3">
      <c r="G9786" s="101"/>
      <c r="H9786" s="101"/>
      <c r="I9786" s="101"/>
      <c r="K9786" s="226"/>
      <c r="L9786" s="226"/>
      <c r="M9786" s="101"/>
      <c r="N9786" s="101"/>
    </row>
    <row r="9787" spans="7:14" hidden="1" x14ac:dyDescent="0.3">
      <c r="G9787" s="101"/>
      <c r="H9787" s="101"/>
      <c r="I9787" s="101"/>
      <c r="K9787" s="226"/>
      <c r="L9787" s="226"/>
      <c r="M9787" s="101"/>
      <c r="N9787" s="101"/>
    </row>
    <row r="9788" spans="7:14" hidden="1" x14ac:dyDescent="0.3">
      <c r="G9788" s="101"/>
      <c r="H9788" s="101"/>
      <c r="I9788" s="101"/>
      <c r="K9788" s="226"/>
      <c r="L9788" s="226"/>
      <c r="M9788" s="101"/>
      <c r="N9788" s="101"/>
    </row>
    <row r="9789" spans="7:14" hidden="1" x14ac:dyDescent="0.3">
      <c r="G9789" s="101"/>
      <c r="H9789" s="101"/>
      <c r="I9789" s="101"/>
      <c r="K9789" s="226"/>
      <c r="L9789" s="226"/>
      <c r="M9789" s="101"/>
      <c r="N9789" s="101"/>
    </row>
    <row r="9790" spans="7:14" hidden="1" x14ac:dyDescent="0.3">
      <c r="G9790" s="101"/>
      <c r="H9790" s="101"/>
      <c r="I9790" s="101"/>
      <c r="K9790" s="226"/>
      <c r="L9790" s="226"/>
      <c r="M9790" s="101"/>
      <c r="N9790" s="101"/>
    </row>
    <row r="9791" spans="7:14" hidden="1" x14ac:dyDescent="0.3">
      <c r="G9791" s="101"/>
      <c r="H9791" s="101"/>
      <c r="I9791" s="101"/>
      <c r="K9791" s="226"/>
      <c r="L9791" s="226"/>
      <c r="M9791" s="101"/>
      <c r="N9791" s="101"/>
    </row>
    <row r="9792" spans="7:14" hidden="1" x14ac:dyDescent="0.3">
      <c r="G9792" s="101"/>
      <c r="H9792" s="101"/>
      <c r="I9792" s="101"/>
      <c r="K9792" s="226"/>
      <c r="L9792" s="226"/>
      <c r="M9792" s="101"/>
      <c r="N9792" s="101"/>
    </row>
    <row r="9793" spans="7:14" hidden="1" x14ac:dyDescent="0.3">
      <c r="G9793" s="101"/>
      <c r="H9793" s="101"/>
      <c r="I9793" s="101"/>
      <c r="K9793" s="226"/>
      <c r="L9793" s="226"/>
      <c r="M9793" s="101"/>
      <c r="N9793" s="101"/>
    </row>
    <row r="9794" spans="7:14" hidden="1" x14ac:dyDescent="0.3">
      <c r="G9794" s="101"/>
      <c r="H9794" s="101"/>
      <c r="I9794" s="101"/>
      <c r="K9794" s="226"/>
      <c r="L9794" s="226"/>
      <c r="M9794" s="101"/>
      <c r="N9794" s="101"/>
    </row>
    <row r="9795" spans="7:14" hidden="1" x14ac:dyDescent="0.3">
      <c r="G9795" s="101"/>
      <c r="H9795" s="101"/>
      <c r="I9795" s="101"/>
      <c r="K9795" s="226"/>
      <c r="L9795" s="226"/>
      <c r="M9795" s="101"/>
      <c r="N9795" s="101"/>
    </row>
    <row r="9796" spans="7:14" hidden="1" x14ac:dyDescent="0.3">
      <c r="G9796" s="101"/>
      <c r="H9796" s="101"/>
      <c r="I9796" s="101"/>
      <c r="K9796" s="226"/>
      <c r="L9796" s="226"/>
      <c r="M9796" s="101"/>
      <c r="N9796" s="101"/>
    </row>
    <row r="9797" spans="7:14" hidden="1" x14ac:dyDescent="0.3">
      <c r="G9797" s="101"/>
      <c r="H9797" s="101"/>
      <c r="I9797" s="101"/>
      <c r="K9797" s="226"/>
      <c r="L9797" s="226"/>
      <c r="M9797" s="101"/>
      <c r="N9797" s="101"/>
    </row>
    <row r="9798" spans="7:14" hidden="1" x14ac:dyDescent="0.3">
      <c r="G9798" s="101"/>
      <c r="H9798" s="101"/>
      <c r="I9798" s="101"/>
      <c r="K9798" s="226"/>
      <c r="L9798" s="226"/>
      <c r="M9798" s="101"/>
      <c r="N9798" s="101"/>
    </row>
    <row r="9799" spans="7:14" hidden="1" x14ac:dyDescent="0.3">
      <c r="G9799" s="101"/>
      <c r="H9799" s="101"/>
      <c r="I9799" s="101"/>
      <c r="K9799" s="226"/>
      <c r="L9799" s="226"/>
      <c r="M9799" s="101"/>
      <c r="N9799" s="101"/>
    </row>
    <row r="9800" spans="7:14" hidden="1" x14ac:dyDescent="0.3">
      <c r="G9800" s="101"/>
      <c r="H9800" s="101"/>
      <c r="I9800" s="101"/>
      <c r="K9800" s="226"/>
      <c r="L9800" s="226"/>
      <c r="M9800" s="101"/>
      <c r="N9800" s="101"/>
    </row>
    <row r="9801" spans="7:14" hidden="1" x14ac:dyDescent="0.3">
      <c r="G9801" s="101"/>
      <c r="H9801" s="101"/>
      <c r="I9801" s="101"/>
      <c r="K9801" s="226"/>
      <c r="L9801" s="226"/>
      <c r="M9801" s="101"/>
      <c r="N9801" s="101"/>
    </row>
    <row r="9802" spans="7:14" hidden="1" x14ac:dyDescent="0.3">
      <c r="G9802" s="101"/>
      <c r="H9802" s="101"/>
      <c r="I9802" s="101"/>
      <c r="K9802" s="226"/>
      <c r="L9802" s="226"/>
      <c r="M9802" s="101"/>
      <c r="N9802" s="101"/>
    </row>
    <row r="9803" spans="7:14" hidden="1" x14ac:dyDescent="0.3">
      <c r="G9803" s="101"/>
      <c r="H9803" s="101"/>
      <c r="I9803" s="101"/>
      <c r="K9803" s="226"/>
      <c r="L9803" s="226"/>
      <c r="M9803" s="101"/>
      <c r="N9803" s="101"/>
    </row>
    <row r="9804" spans="7:14" hidden="1" x14ac:dyDescent="0.3">
      <c r="G9804" s="101"/>
      <c r="H9804" s="101"/>
      <c r="I9804" s="101"/>
      <c r="K9804" s="226"/>
      <c r="L9804" s="226"/>
      <c r="M9804" s="101"/>
      <c r="N9804" s="101"/>
    </row>
    <row r="9805" spans="7:14" hidden="1" x14ac:dyDescent="0.3">
      <c r="G9805" s="101"/>
      <c r="H9805" s="101"/>
      <c r="I9805" s="101"/>
      <c r="K9805" s="226"/>
      <c r="L9805" s="226"/>
      <c r="M9805" s="101"/>
      <c r="N9805" s="101"/>
    </row>
    <row r="9806" spans="7:14" hidden="1" x14ac:dyDescent="0.3">
      <c r="G9806" s="101"/>
      <c r="H9806" s="101"/>
      <c r="I9806" s="101"/>
      <c r="K9806" s="226"/>
      <c r="L9806" s="226"/>
      <c r="M9806" s="101"/>
      <c r="N9806" s="101"/>
    </row>
    <row r="9807" spans="7:14" hidden="1" x14ac:dyDescent="0.3">
      <c r="G9807" s="101"/>
      <c r="H9807" s="101"/>
      <c r="I9807" s="101"/>
      <c r="K9807" s="226"/>
      <c r="L9807" s="226"/>
      <c r="M9807" s="101"/>
      <c r="N9807" s="101"/>
    </row>
    <row r="9808" spans="7:14" hidden="1" x14ac:dyDescent="0.3">
      <c r="G9808" s="101"/>
      <c r="H9808" s="101"/>
      <c r="I9808" s="101"/>
      <c r="K9808" s="226"/>
      <c r="L9808" s="226"/>
      <c r="M9808" s="101"/>
      <c r="N9808" s="101"/>
    </row>
    <row r="9809" spans="7:14" hidden="1" x14ac:dyDescent="0.3">
      <c r="G9809" s="101"/>
      <c r="H9809" s="101"/>
      <c r="I9809" s="101"/>
      <c r="K9809" s="226"/>
      <c r="L9809" s="226"/>
      <c r="M9809" s="101"/>
      <c r="N9809" s="101"/>
    </row>
    <row r="9810" spans="7:14" hidden="1" x14ac:dyDescent="0.3">
      <c r="G9810" s="101"/>
      <c r="H9810" s="101"/>
      <c r="I9810" s="101"/>
      <c r="K9810" s="226"/>
      <c r="L9810" s="226"/>
      <c r="M9810" s="101"/>
      <c r="N9810" s="101"/>
    </row>
    <row r="9811" spans="7:14" hidden="1" x14ac:dyDescent="0.3">
      <c r="G9811" s="101"/>
      <c r="H9811" s="101"/>
      <c r="I9811" s="101"/>
      <c r="K9811" s="226"/>
      <c r="L9811" s="226"/>
      <c r="M9811" s="101"/>
      <c r="N9811" s="101"/>
    </row>
    <row r="9812" spans="7:14" hidden="1" x14ac:dyDescent="0.3">
      <c r="G9812" s="101"/>
      <c r="H9812" s="101"/>
      <c r="I9812" s="101"/>
      <c r="K9812" s="226"/>
      <c r="L9812" s="226"/>
      <c r="M9812" s="101"/>
      <c r="N9812" s="101"/>
    </row>
    <row r="9813" spans="7:14" hidden="1" x14ac:dyDescent="0.3">
      <c r="G9813" s="101"/>
      <c r="H9813" s="101"/>
      <c r="I9813" s="101"/>
      <c r="K9813" s="226"/>
      <c r="L9813" s="226"/>
      <c r="M9813" s="101"/>
      <c r="N9813" s="101"/>
    </row>
    <row r="9814" spans="7:14" hidden="1" x14ac:dyDescent="0.3">
      <c r="G9814" s="101"/>
      <c r="H9814" s="101"/>
      <c r="I9814" s="101"/>
      <c r="K9814" s="226"/>
      <c r="L9814" s="226"/>
      <c r="M9814" s="101"/>
      <c r="N9814" s="101"/>
    </row>
    <row r="9815" spans="7:14" hidden="1" x14ac:dyDescent="0.3">
      <c r="G9815" s="101"/>
      <c r="H9815" s="101"/>
      <c r="I9815" s="101"/>
      <c r="K9815" s="226"/>
      <c r="L9815" s="226"/>
      <c r="M9815" s="101"/>
      <c r="N9815" s="101"/>
    </row>
    <row r="9816" spans="7:14" hidden="1" x14ac:dyDescent="0.3">
      <c r="G9816" s="101"/>
      <c r="H9816" s="101"/>
      <c r="I9816" s="101"/>
      <c r="K9816" s="226"/>
      <c r="L9816" s="226"/>
      <c r="M9816" s="101"/>
      <c r="N9816" s="101"/>
    </row>
    <row r="9817" spans="7:14" hidden="1" x14ac:dyDescent="0.3">
      <c r="G9817" s="101"/>
      <c r="H9817" s="101"/>
      <c r="I9817" s="101"/>
      <c r="K9817" s="226"/>
      <c r="L9817" s="226"/>
      <c r="M9817" s="101"/>
      <c r="N9817" s="101"/>
    </row>
    <row r="9818" spans="7:14" hidden="1" x14ac:dyDescent="0.3">
      <c r="G9818" s="101"/>
      <c r="H9818" s="101"/>
      <c r="I9818" s="101"/>
      <c r="K9818" s="226"/>
      <c r="L9818" s="226"/>
      <c r="M9818" s="101"/>
      <c r="N9818" s="101"/>
    </row>
    <row r="9819" spans="7:14" hidden="1" x14ac:dyDescent="0.3">
      <c r="G9819" s="101"/>
      <c r="H9819" s="101"/>
      <c r="I9819" s="101"/>
      <c r="K9819" s="226"/>
      <c r="L9819" s="226"/>
      <c r="M9819" s="101"/>
      <c r="N9819" s="101"/>
    </row>
    <row r="9820" spans="7:14" hidden="1" x14ac:dyDescent="0.3">
      <c r="G9820" s="101"/>
      <c r="H9820" s="101"/>
      <c r="I9820" s="101"/>
      <c r="K9820" s="226"/>
      <c r="L9820" s="226"/>
      <c r="M9820" s="101"/>
      <c r="N9820" s="101"/>
    </row>
    <row r="9821" spans="7:14" hidden="1" x14ac:dyDescent="0.3">
      <c r="G9821" s="101"/>
      <c r="H9821" s="101"/>
      <c r="I9821" s="101"/>
      <c r="K9821" s="226"/>
      <c r="L9821" s="226"/>
      <c r="M9821" s="101"/>
      <c r="N9821" s="101"/>
    </row>
    <row r="9822" spans="7:14" hidden="1" x14ac:dyDescent="0.3">
      <c r="G9822" s="101"/>
      <c r="H9822" s="101"/>
      <c r="I9822" s="101"/>
      <c r="K9822" s="226"/>
      <c r="L9822" s="226"/>
      <c r="M9822" s="101"/>
      <c r="N9822" s="101"/>
    </row>
    <row r="9823" spans="7:14" hidden="1" x14ac:dyDescent="0.3">
      <c r="G9823" s="101"/>
      <c r="H9823" s="101"/>
      <c r="I9823" s="101"/>
      <c r="K9823" s="226"/>
      <c r="L9823" s="226"/>
      <c r="M9823" s="101"/>
      <c r="N9823" s="101"/>
    </row>
    <row r="9824" spans="7:14" hidden="1" x14ac:dyDescent="0.3">
      <c r="G9824" s="101"/>
      <c r="H9824" s="101"/>
      <c r="I9824" s="101"/>
      <c r="K9824" s="226"/>
      <c r="L9824" s="226"/>
      <c r="M9824" s="101"/>
      <c r="N9824" s="101"/>
    </row>
    <row r="9825" spans="7:14" hidden="1" x14ac:dyDescent="0.3">
      <c r="G9825" s="101"/>
      <c r="H9825" s="101"/>
      <c r="I9825" s="101"/>
      <c r="K9825" s="226"/>
      <c r="L9825" s="226"/>
      <c r="M9825" s="101"/>
      <c r="N9825" s="101"/>
    </row>
    <row r="9826" spans="7:14" hidden="1" x14ac:dyDescent="0.3">
      <c r="G9826" s="101"/>
      <c r="H9826" s="101"/>
      <c r="I9826" s="101"/>
      <c r="K9826" s="226"/>
      <c r="L9826" s="226"/>
      <c r="M9826" s="101"/>
      <c r="N9826" s="101"/>
    </row>
    <row r="9827" spans="7:14" hidden="1" x14ac:dyDescent="0.3">
      <c r="G9827" s="101"/>
      <c r="H9827" s="101"/>
      <c r="I9827" s="101"/>
      <c r="K9827" s="226"/>
      <c r="L9827" s="226"/>
      <c r="M9827" s="101"/>
      <c r="N9827" s="101"/>
    </row>
    <row r="9828" spans="7:14" hidden="1" x14ac:dyDescent="0.3">
      <c r="G9828" s="101"/>
      <c r="H9828" s="101"/>
      <c r="I9828" s="101"/>
      <c r="K9828" s="226"/>
      <c r="L9828" s="226"/>
      <c r="M9828" s="101"/>
      <c r="N9828" s="101"/>
    </row>
    <row r="9829" spans="7:14" hidden="1" x14ac:dyDescent="0.3">
      <c r="G9829" s="101"/>
      <c r="H9829" s="101"/>
      <c r="I9829" s="101"/>
      <c r="K9829" s="226"/>
      <c r="L9829" s="226"/>
      <c r="M9829" s="101"/>
      <c r="N9829" s="101"/>
    </row>
    <row r="9830" spans="7:14" hidden="1" x14ac:dyDescent="0.3">
      <c r="G9830" s="101"/>
      <c r="H9830" s="101"/>
      <c r="I9830" s="101"/>
      <c r="K9830" s="226"/>
      <c r="L9830" s="226"/>
      <c r="M9830" s="101"/>
      <c r="N9830" s="101"/>
    </row>
    <row r="9831" spans="7:14" hidden="1" x14ac:dyDescent="0.3">
      <c r="G9831" s="101"/>
      <c r="H9831" s="101"/>
      <c r="I9831" s="101"/>
      <c r="K9831" s="226"/>
      <c r="L9831" s="226"/>
      <c r="M9831" s="101"/>
      <c r="N9831" s="101"/>
    </row>
    <row r="9832" spans="7:14" hidden="1" x14ac:dyDescent="0.3">
      <c r="G9832" s="101"/>
      <c r="H9832" s="101"/>
      <c r="I9832" s="101"/>
      <c r="K9832" s="226"/>
      <c r="L9832" s="226"/>
      <c r="M9832" s="101"/>
      <c r="N9832" s="101"/>
    </row>
    <row r="9833" spans="7:14" hidden="1" x14ac:dyDescent="0.3">
      <c r="G9833" s="101"/>
      <c r="H9833" s="101"/>
      <c r="I9833" s="101"/>
      <c r="K9833" s="226"/>
      <c r="L9833" s="226"/>
      <c r="M9833" s="101"/>
      <c r="N9833" s="101"/>
    </row>
    <row r="9834" spans="7:14" hidden="1" x14ac:dyDescent="0.3">
      <c r="G9834" s="101"/>
      <c r="H9834" s="101"/>
      <c r="I9834" s="101"/>
      <c r="K9834" s="226"/>
      <c r="L9834" s="226"/>
      <c r="M9834" s="101"/>
      <c r="N9834" s="101"/>
    </row>
    <row r="9835" spans="7:14" hidden="1" x14ac:dyDescent="0.3">
      <c r="G9835" s="101"/>
      <c r="H9835" s="101"/>
      <c r="I9835" s="101"/>
      <c r="K9835" s="226"/>
      <c r="L9835" s="226"/>
      <c r="M9835" s="101"/>
      <c r="N9835" s="101"/>
    </row>
    <row r="9836" spans="7:14" hidden="1" x14ac:dyDescent="0.3">
      <c r="G9836" s="101"/>
      <c r="H9836" s="101"/>
      <c r="I9836" s="101"/>
      <c r="K9836" s="226"/>
      <c r="L9836" s="226"/>
      <c r="M9836" s="101"/>
      <c r="N9836" s="101"/>
    </row>
    <row r="9837" spans="7:14" hidden="1" x14ac:dyDescent="0.3">
      <c r="G9837" s="101"/>
      <c r="H9837" s="101"/>
      <c r="I9837" s="101"/>
      <c r="K9837" s="226"/>
      <c r="L9837" s="226"/>
      <c r="M9837" s="101"/>
      <c r="N9837" s="101"/>
    </row>
    <row r="9838" spans="7:14" hidden="1" x14ac:dyDescent="0.3">
      <c r="G9838" s="101"/>
      <c r="H9838" s="101"/>
      <c r="I9838" s="101"/>
      <c r="K9838" s="226"/>
      <c r="L9838" s="226"/>
      <c r="M9838" s="101"/>
      <c r="N9838" s="101"/>
    </row>
    <row r="9839" spans="7:14" hidden="1" x14ac:dyDescent="0.3">
      <c r="G9839" s="101"/>
      <c r="H9839" s="101"/>
      <c r="I9839" s="101"/>
      <c r="K9839" s="226"/>
      <c r="L9839" s="226"/>
      <c r="M9839" s="101"/>
      <c r="N9839" s="101"/>
    </row>
    <row r="9840" spans="7:14" hidden="1" x14ac:dyDescent="0.3">
      <c r="G9840" s="101"/>
      <c r="H9840" s="101"/>
      <c r="I9840" s="101"/>
      <c r="K9840" s="226"/>
      <c r="L9840" s="226"/>
      <c r="M9840" s="101"/>
      <c r="N9840" s="101"/>
    </row>
    <row r="9841" spans="7:14" hidden="1" x14ac:dyDescent="0.3">
      <c r="G9841" s="101"/>
      <c r="H9841" s="101"/>
      <c r="I9841" s="101"/>
      <c r="K9841" s="226"/>
      <c r="L9841" s="226"/>
      <c r="M9841" s="101"/>
      <c r="N9841" s="101"/>
    </row>
    <row r="9842" spans="7:14" hidden="1" x14ac:dyDescent="0.3">
      <c r="G9842" s="101"/>
      <c r="H9842" s="101"/>
      <c r="I9842" s="101"/>
      <c r="K9842" s="226"/>
      <c r="L9842" s="226"/>
      <c r="M9842" s="101"/>
      <c r="N9842" s="101"/>
    </row>
    <row r="9843" spans="7:14" hidden="1" x14ac:dyDescent="0.3">
      <c r="G9843" s="101"/>
      <c r="H9843" s="101"/>
      <c r="I9843" s="101"/>
      <c r="K9843" s="226"/>
      <c r="L9843" s="226"/>
      <c r="M9843" s="101"/>
      <c r="N9843" s="101"/>
    </row>
    <row r="9844" spans="7:14" hidden="1" x14ac:dyDescent="0.3">
      <c r="G9844" s="101"/>
      <c r="H9844" s="101"/>
      <c r="I9844" s="101"/>
      <c r="K9844" s="226"/>
      <c r="L9844" s="226"/>
      <c r="M9844" s="101"/>
      <c r="N9844" s="101"/>
    </row>
    <row r="9845" spans="7:14" hidden="1" x14ac:dyDescent="0.3">
      <c r="G9845" s="101"/>
      <c r="H9845" s="101"/>
      <c r="I9845" s="101"/>
      <c r="K9845" s="226"/>
      <c r="L9845" s="226"/>
      <c r="M9845" s="101"/>
      <c r="N9845" s="101"/>
    </row>
    <row r="9846" spans="7:14" hidden="1" x14ac:dyDescent="0.3">
      <c r="G9846" s="101"/>
      <c r="H9846" s="101"/>
      <c r="I9846" s="101"/>
      <c r="K9846" s="226"/>
      <c r="L9846" s="226"/>
      <c r="M9846" s="101"/>
      <c r="N9846" s="101"/>
    </row>
    <row r="9847" spans="7:14" hidden="1" x14ac:dyDescent="0.3">
      <c r="G9847" s="101"/>
      <c r="H9847" s="101"/>
      <c r="I9847" s="101"/>
      <c r="K9847" s="226"/>
      <c r="L9847" s="226"/>
      <c r="M9847" s="101"/>
      <c r="N9847" s="101"/>
    </row>
    <row r="9848" spans="7:14" hidden="1" x14ac:dyDescent="0.3">
      <c r="G9848" s="101"/>
      <c r="H9848" s="101"/>
      <c r="I9848" s="101"/>
      <c r="K9848" s="226"/>
      <c r="L9848" s="226"/>
      <c r="M9848" s="101"/>
      <c r="N9848" s="101"/>
    </row>
    <row r="9849" spans="7:14" hidden="1" x14ac:dyDescent="0.3">
      <c r="G9849" s="101"/>
      <c r="H9849" s="101"/>
      <c r="I9849" s="101"/>
      <c r="K9849" s="226"/>
      <c r="L9849" s="226"/>
      <c r="M9849" s="101"/>
      <c r="N9849" s="101"/>
    </row>
    <row r="9850" spans="7:14" hidden="1" x14ac:dyDescent="0.3">
      <c r="G9850" s="101"/>
      <c r="H9850" s="101"/>
      <c r="I9850" s="101"/>
      <c r="K9850" s="226"/>
      <c r="L9850" s="226"/>
      <c r="M9850" s="101"/>
      <c r="N9850" s="101"/>
    </row>
    <row r="9851" spans="7:14" hidden="1" x14ac:dyDescent="0.3">
      <c r="G9851" s="101"/>
      <c r="H9851" s="101"/>
      <c r="I9851" s="101"/>
      <c r="K9851" s="226"/>
      <c r="L9851" s="226"/>
      <c r="M9851" s="101"/>
      <c r="N9851" s="101"/>
    </row>
    <row r="9852" spans="7:14" hidden="1" x14ac:dyDescent="0.3">
      <c r="G9852" s="101"/>
      <c r="H9852" s="101"/>
      <c r="I9852" s="101"/>
      <c r="K9852" s="226"/>
      <c r="L9852" s="226"/>
      <c r="M9852" s="101"/>
      <c r="N9852" s="101"/>
    </row>
    <row r="9853" spans="7:14" hidden="1" x14ac:dyDescent="0.3">
      <c r="G9853" s="101"/>
      <c r="H9853" s="101"/>
      <c r="I9853" s="101"/>
      <c r="K9853" s="226"/>
      <c r="L9853" s="226"/>
      <c r="M9853" s="101"/>
      <c r="N9853" s="101"/>
    </row>
    <row r="9854" spans="7:14" hidden="1" x14ac:dyDescent="0.3">
      <c r="G9854" s="101"/>
      <c r="H9854" s="101"/>
      <c r="I9854" s="101"/>
      <c r="K9854" s="226"/>
      <c r="L9854" s="226"/>
      <c r="M9854" s="101"/>
      <c r="N9854" s="101"/>
    </row>
    <row r="9855" spans="7:14" hidden="1" x14ac:dyDescent="0.3">
      <c r="G9855" s="101"/>
      <c r="H9855" s="101"/>
      <c r="I9855" s="101"/>
      <c r="K9855" s="226"/>
      <c r="L9855" s="226"/>
      <c r="M9855" s="101"/>
      <c r="N9855" s="101"/>
    </row>
    <row r="9856" spans="7:14" hidden="1" x14ac:dyDescent="0.3">
      <c r="G9856" s="101"/>
      <c r="H9856" s="101"/>
      <c r="I9856" s="101"/>
      <c r="K9856" s="226"/>
      <c r="L9856" s="226"/>
      <c r="M9856" s="101"/>
      <c r="N9856" s="101"/>
    </row>
    <row r="9857" spans="7:14" hidden="1" x14ac:dyDescent="0.3">
      <c r="G9857" s="101"/>
      <c r="H9857" s="101"/>
      <c r="I9857" s="101"/>
      <c r="K9857" s="226"/>
      <c r="L9857" s="226"/>
      <c r="M9857" s="101"/>
      <c r="N9857" s="101"/>
    </row>
    <row r="9858" spans="7:14" hidden="1" x14ac:dyDescent="0.3">
      <c r="G9858" s="101"/>
      <c r="H9858" s="101"/>
      <c r="I9858" s="101"/>
      <c r="K9858" s="226"/>
      <c r="L9858" s="226"/>
      <c r="M9858" s="101"/>
      <c r="N9858" s="101"/>
    </row>
    <row r="9859" spans="7:14" hidden="1" x14ac:dyDescent="0.3">
      <c r="G9859" s="101"/>
      <c r="H9859" s="101"/>
      <c r="I9859" s="101"/>
      <c r="K9859" s="226"/>
      <c r="L9859" s="226"/>
      <c r="M9859" s="101"/>
      <c r="N9859" s="101"/>
    </row>
    <row r="9860" spans="7:14" hidden="1" x14ac:dyDescent="0.3">
      <c r="G9860" s="101"/>
      <c r="H9860" s="101"/>
      <c r="I9860" s="101"/>
      <c r="K9860" s="226"/>
      <c r="L9860" s="226"/>
      <c r="M9860" s="101"/>
      <c r="N9860" s="101"/>
    </row>
    <row r="9861" spans="7:14" hidden="1" x14ac:dyDescent="0.3">
      <c r="G9861" s="101"/>
      <c r="H9861" s="101"/>
      <c r="I9861" s="101"/>
      <c r="K9861" s="226"/>
      <c r="L9861" s="226"/>
      <c r="M9861" s="101"/>
      <c r="N9861" s="101"/>
    </row>
    <row r="9862" spans="7:14" hidden="1" x14ac:dyDescent="0.3">
      <c r="G9862" s="101"/>
      <c r="H9862" s="101"/>
      <c r="I9862" s="101"/>
      <c r="K9862" s="226"/>
      <c r="L9862" s="226"/>
      <c r="M9862" s="101"/>
      <c r="N9862" s="101"/>
    </row>
    <row r="9863" spans="7:14" hidden="1" x14ac:dyDescent="0.3">
      <c r="G9863" s="101"/>
      <c r="H9863" s="101"/>
      <c r="I9863" s="101"/>
      <c r="K9863" s="226"/>
      <c r="L9863" s="226"/>
      <c r="M9863" s="101"/>
      <c r="N9863" s="101"/>
    </row>
    <row r="9864" spans="7:14" hidden="1" x14ac:dyDescent="0.3">
      <c r="G9864" s="101"/>
      <c r="H9864" s="101"/>
      <c r="I9864" s="101"/>
      <c r="K9864" s="226"/>
      <c r="L9864" s="226"/>
      <c r="M9864" s="101"/>
      <c r="N9864" s="101"/>
    </row>
    <row r="9865" spans="7:14" hidden="1" x14ac:dyDescent="0.3">
      <c r="G9865" s="101"/>
      <c r="H9865" s="101"/>
      <c r="I9865" s="101"/>
      <c r="K9865" s="226"/>
      <c r="L9865" s="226"/>
      <c r="M9865" s="101"/>
      <c r="N9865" s="101"/>
    </row>
    <row r="9866" spans="7:14" hidden="1" x14ac:dyDescent="0.3">
      <c r="G9866" s="101"/>
      <c r="H9866" s="101"/>
      <c r="I9866" s="101"/>
      <c r="K9866" s="226"/>
      <c r="L9866" s="226"/>
      <c r="M9866" s="101"/>
      <c r="N9866" s="101"/>
    </row>
    <row r="9867" spans="7:14" hidden="1" x14ac:dyDescent="0.3">
      <c r="G9867" s="101"/>
      <c r="H9867" s="101"/>
      <c r="I9867" s="101"/>
      <c r="K9867" s="226"/>
      <c r="L9867" s="226"/>
      <c r="M9867" s="101"/>
      <c r="N9867" s="101"/>
    </row>
    <row r="9868" spans="7:14" hidden="1" x14ac:dyDescent="0.3">
      <c r="G9868" s="101"/>
      <c r="H9868" s="101"/>
      <c r="I9868" s="101"/>
      <c r="K9868" s="226"/>
      <c r="L9868" s="226"/>
      <c r="M9868" s="101"/>
      <c r="N9868" s="101"/>
    </row>
    <row r="9869" spans="7:14" hidden="1" x14ac:dyDescent="0.3">
      <c r="G9869" s="101"/>
      <c r="H9869" s="101"/>
      <c r="I9869" s="101"/>
      <c r="K9869" s="226"/>
      <c r="L9869" s="226"/>
      <c r="M9869" s="101"/>
      <c r="N9869" s="101"/>
    </row>
    <row r="9870" spans="7:14" hidden="1" x14ac:dyDescent="0.3">
      <c r="G9870" s="101"/>
      <c r="H9870" s="101"/>
      <c r="I9870" s="101"/>
      <c r="K9870" s="226"/>
      <c r="L9870" s="226"/>
      <c r="M9870" s="101"/>
      <c r="N9870" s="101"/>
    </row>
    <row r="9871" spans="7:14" hidden="1" x14ac:dyDescent="0.3">
      <c r="G9871" s="101"/>
      <c r="H9871" s="101"/>
      <c r="I9871" s="101"/>
      <c r="K9871" s="226"/>
      <c r="L9871" s="226"/>
      <c r="M9871" s="101"/>
      <c r="N9871" s="101"/>
    </row>
    <row r="9872" spans="7:14" hidden="1" x14ac:dyDescent="0.3">
      <c r="G9872" s="101"/>
      <c r="H9872" s="101"/>
      <c r="I9872" s="101"/>
      <c r="K9872" s="226"/>
      <c r="L9872" s="226"/>
      <c r="M9872" s="101"/>
      <c r="N9872" s="101"/>
    </row>
    <row r="9873" spans="7:14" hidden="1" x14ac:dyDescent="0.3">
      <c r="G9873" s="101"/>
      <c r="H9873" s="101"/>
      <c r="I9873" s="101"/>
      <c r="K9873" s="226"/>
      <c r="L9873" s="226"/>
      <c r="M9873" s="101"/>
      <c r="N9873" s="101"/>
    </row>
    <row r="9874" spans="7:14" hidden="1" x14ac:dyDescent="0.3">
      <c r="G9874" s="101"/>
      <c r="H9874" s="101"/>
      <c r="I9874" s="101"/>
      <c r="K9874" s="226"/>
      <c r="L9874" s="226"/>
      <c r="M9874" s="101"/>
      <c r="N9874" s="101"/>
    </row>
    <row r="9875" spans="7:14" hidden="1" x14ac:dyDescent="0.3">
      <c r="G9875" s="101"/>
      <c r="H9875" s="101"/>
      <c r="I9875" s="101"/>
      <c r="K9875" s="226"/>
      <c r="L9875" s="226"/>
      <c r="M9875" s="101"/>
      <c r="N9875" s="101"/>
    </row>
    <row r="9876" spans="7:14" hidden="1" x14ac:dyDescent="0.3">
      <c r="G9876" s="101"/>
      <c r="H9876" s="101"/>
      <c r="I9876" s="101"/>
      <c r="K9876" s="226"/>
      <c r="L9876" s="226"/>
      <c r="M9876" s="101"/>
      <c r="N9876" s="101"/>
    </row>
    <row r="9877" spans="7:14" hidden="1" x14ac:dyDescent="0.3">
      <c r="G9877" s="101"/>
      <c r="H9877" s="101"/>
      <c r="I9877" s="101"/>
      <c r="K9877" s="226"/>
      <c r="L9877" s="226"/>
      <c r="M9877" s="101"/>
      <c r="N9877" s="101"/>
    </row>
    <row r="9878" spans="7:14" hidden="1" x14ac:dyDescent="0.3">
      <c r="G9878" s="101"/>
      <c r="H9878" s="101"/>
      <c r="I9878" s="101"/>
      <c r="K9878" s="226"/>
      <c r="L9878" s="226"/>
      <c r="M9878" s="101"/>
      <c r="N9878" s="101"/>
    </row>
    <row r="9879" spans="7:14" hidden="1" x14ac:dyDescent="0.3">
      <c r="G9879" s="101"/>
      <c r="H9879" s="101"/>
      <c r="I9879" s="101"/>
      <c r="K9879" s="226"/>
      <c r="L9879" s="226"/>
      <c r="M9879" s="101"/>
      <c r="N9879" s="101"/>
    </row>
    <row r="9880" spans="7:14" hidden="1" x14ac:dyDescent="0.3">
      <c r="G9880" s="101"/>
      <c r="H9880" s="101"/>
      <c r="I9880" s="101"/>
      <c r="K9880" s="226"/>
      <c r="L9880" s="226"/>
      <c r="M9880" s="101"/>
      <c r="N9880" s="101"/>
    </row>
    <row r="9881" spans="7:14" hidden="1" x14ac:dyDescent="0.3">
      <c r="G9881" s="101"/>
      <c r="H9881" s="101"/>
      <c r="I9881" s="101"/>
      <c r="K9881" s="226"/>
      <c r="L9881" s="226"/>
      <c r="M9881" s="101"/>
      <c r="N9881" s="101"/>
    </row>
    <row r="9882" spans="7:14" hidden="1" x14ac:dyDescent="0.3">
      <c r="G9882" s="101"/>
      <c r="H9882" s="101"/>
      <c r="I9882" s="101"/>
      <c r="K9882" s="226"/>
      <c r="L9882" s="226"/>
      <c r="M9882" s="101"/>
      <c r="N9882" s="101"/>
    </row>
    <row r="9883" spans="7:14" hidden="1" x14ac:dyDescent="0.3">
      <c r="G9883" s="101"/>
      <c r="H9883" s="101"/>
      <c r="I9883" s="101"/>
      <c r="K9883" s="226"/>
      <c r="L9883" s="226"/>
      <c r="M9883" s="101"/>
      <c r="N9883" s="101"/>
    </row>
    <row r="9884" spans="7:14" hidden="1" x14ac:dyDescent="0.3">
      <c r="G9884" s="101"/>
      <c r="H9884" s="101"/>
      <c r="I9884" s="101"/>
      <c r="K9884" s="226"/>
      <c r="L9884" s="226"/>
      <c r="M9884" s="101"/>
      <c r="N9884" s="101"/>
    </row>
    <row r="9885" spans="7:14" hidden="1" x14ac:dyDescent="0.3">
      <c r="G9885" s="101"/>
      <c r="H9885" s="101"/>
      <c r="I9885" s="101"/>
      <c r="K9885" s="226"/>
      <c r="L9885" s="226"/>
      <c r="M9885" s="101"/>
      <c r="N9885" s="101"/>
    </row>
    <row r="9886" spans="7:14" hidden="1" x14ac:dyDescent="0.3">
      <c r="G9886" s="101"/>
      <c r="H9886" s="101"/>
      <c r="I9886" s="101"/>
      <c r="K9886" s="226"/>
      <c r="L9886" s="226"/>
      <c r="M9886" s="101"/>
      <c r="N9886" s="101"/>
    </row>
    <row r="9887" spans="7:14" hidden="1" x14ac:dyDescent="0.3">
      <c r="G9887" s="101"/>
      <c r="H9887" s="101"/>
      <c r="I9887" s="101"/>
      <c r="K9887" s="226"/>
      <c r="L9887" s="226"/>
      <c r="M9887" s="101"/>
      <c r="N9887" s="101"/>
    </row>
    <row r="9888" spans="7:14" hidden="1" x14ac:dyDescent="0.3">
      <c r="G9888" s="101"/>
      <c r="H9888" s="101"/>
      <c r="I9888" s="101"/>
      <c r="K9888" s="226"/>
      <c r="L9888" s="226"/>
      <c r="M9888" s="101"/>
      <c r="N9888" s="101"/>
    </row>
    <row r="9889" spans="7:14" hidden="1" x14ac:dyDescent="0.3">
      <c r="G9889" s="101"/>
      <c r="H9889" s="101"/>
      <c r="I9889" s="101"/>
      <c r="K9889" s="226"/>
      <c r="L9889" s="226"/>
      <c r="M9889" s="101"/>
      <c r="N9889" s="101"/>
    </row>
    <row r="9890" spans="7:14" hidden="1" x14ac:dyDescent="0.3">
      <c r="G9890" s="101"/>
      <c r="H9890" s="101"/>
      <c r="I9890" s="101"/>
      <c r="K9890" s="226"/>
      <c r="L9890" s="226"/>
      <c r="M9890" s="101"/>
      <c r="N9890" s="101"/>
    </row>
    <row r="9891" spans="7:14" hidden="1" x14ac:dyDescent="0.3">
      <c r="G9891" s="101"/>
      <c r="H9891" s="101"/>
      <c r="I9891" s="101"/>
      <c r="K9891" s="226"/>
      <c r="L9891" s="226"/>
      <c r="M9891" s="101"/>
      <c r="N9891" s="101"/>
    </row>
    <row r="9892" spans="7:14" hidden="1" x14ac:dyDescent="0.3">
      <c r="G9892" s="101"/>
      <c r="H9892" s="101"/>
      <c r="I9892" s="101"/>
      <c r="K9892" s="226"/>
      <c r="L9892" s="226"/>
      <c r="M9892" s="101"/>
      <c r="N9892" s="101"/>
    </row>
    <row r="9893" spans="7:14" hidden="1" x14ac:dyDescent="0.3">
      <c r="G9893" s="101"/>
      <c r="H9893" s="101"/>
      <c r="I9893" s="101"/>
      <c r="K9893" s="226"/>
      <c r="L9893" s="226"/>
      <c r="M9893" s="101"/>
      <c r="N9893" s="101"/>
    </row>
    <row r="9894" spans="7:14" hidden="1" x14ac:dyDescent="0.3">
      <c r="G9894" s="101"/>
      <c r="H9894" s="101"/>
      <c r="I9894" s="101"/>
      <c r="K9894" s="226"/>
      <c r="L9894" s="226"/>
      <c r="M9894" s="101"/>
      <c r="N9894" s="101"/>
    </row>
    <row r="9895" spans="7:14" hidden="1" x14ac:dyDescent="0.3">
      <c r="G9895" s="101"/>
      <c r="H9895" s="101"/>
      <c r="I9895" s="101"/>
      <c r="K9895" s="226"/>
      <c r="L9895" s="226"/>
      <c r="M9895" s="101"/>
      <c r="N9895" s="101"/>
    </row>
    <row r="9896" spans="7:14" hidden="1" x14ac:dyDescent="0.3">
      <c r="G9896" s="101"/>
      <c r="H9896" s="101"/>
      <c r="I9896" s="101"/>
      <c r="K9896" s="226"/>
      <c r="L9896" s="226"/>
      <c r="M9896" s="101"/>
      <c r="N9896" s="101"/>
    </row>
    <row r="9897" spans="7:14" hidden="1" x14ac:dyDescent="0.3">
      <c r="G9897" s="101"/>
      <c r="H9897" s="101"/>
      <c r="I9897" s="101"/>
      <c r="K9897" s="226"/>
      <c r="L9897" s="226"/>
      <c r="M9897" s="101"/>
      <c r="N9897" s="101"/>
    </row>
    <row r="9898" spans="7:14" hidden="1" x14ac:dyDescent="0.3">
      <c r="G9898" s="101"/>
      <c r="H9898" s="101"/>
      <c r="I9898" s="101"/>
      <c r="K9898" s="226"/>
      <c r="L9898" s="226"/>
      <c r="M9898" s="101"/>
      <c r="N9898" s="101"/>
    </row>
    <row r="9899" spans="7:14" hidden="1" x14ac:dyDescent="0.3">
      <c r="G9899" s="101"/>
      <c r="H9899" s="101"/>
      <c r="I9899" s="101"/>
      <c r="K9899" s="226"/>
      <c r="L9899" s="226"/>
      <c r="M9899" s="101"/>
      <c r="N9899" s="101"/>
    </row>
    <row r="9900" spans="7:14" hidden="1" x14ac:dyDescent="0.3">
      <c r="G9900" s="101"/>
      <c r="H9900" s="101"/>
      <c r="I9900" s="101"/>
      <c r="K9900" s="226"/>
      <c r="L9900" s="226"/>
      <c r="M9900" s="101"/>
      <c r="N9900" s="101"/>
    </row>
    <row r="9901" spans="7:14" hidden="1" x14ac:dyDescent="0.3">
      <c r="G9901" s="101"/>
      <c r="H9901" s="101"/>
      <c r="I9901" s="101"/>
      <c r="K9901" s="226"/>
      <c r="L9901" s="226"/>
      <c r="M9901" s="101"/>
      <c r="N9901" s="101"/>
    </row>
    <row r="9902" spans="7:14" hidden="1" x14ac:dyDescent="0.3">
      <c r="G9902" s="101"/>
      <c r="H9902" s="101"/>
      <c r="I9902" s="101"/>
      <c r="K9902" s="226"/>
      <c r="L9902" s="226"/>
      <c r="M9902" s="101"/>
      <c r="N9902" s="101"/>
    </row>
    <row r="9903" spans="7:14" hidden="1" x14ac:dyDescent="0.3">
      <c r="G9903" s="101"/>
      <c r="H9903" s="101"/>
      <c r="I9903" s="101"/>
      <c r="K9903" s="226"/>
      <c r="L9903" s="226"/>
      <c r="M9903" s="101"/>
      <c r="N9903" s="101"/>
    </row>
    <row r="9904" spans="7:14" hidden="1" x14ac:dyDescent="0.3">
      <c r="G9904" s="101"/>
      <c r="H9904" s="101"/>
      <c r="I9904" s="101"/>
      <c r="K9904" s="226"/>
      <c r="L9904" s="226"/>
      <c r="M9904" s="101"/>
      <c r="N9904" s="101"/>
    </row>
    <row r="9905" spans="7:14" hidden="1" x14ac:dyDescent="0.3">
      <c r="G9905" s="101"/>
      <c r="H9905" s="101"/>
      <c r="I9905" s="101"/>
      <c r="K9905" s="226"/>
      <c r="L9905" s="226"/>
      <c r="M9905" s="101"/>
      <c r="N9905" s="101"/>
    </row>
    <row r="9906" spans="7:14" hidden="1" x14ac:dyDescent="0.3">
      <c r="G9906" s="101"/>
      <c r="H9906" s="101"/>
      <c r="I9906" s="101"/>
      <c r="K9906" s="226"/>
      <c r="L9906" s="226"/>
      <c r="M9906" s="101"/>
      <c r="N9906" s="101"/>
    </row>
    <row r="9907" spans="7:14" hidden="1" x14ac:dyDescent="0.3">
      <c r="G9907" s="101"/>
      <c r="H9907" s="101"/>
      <c r="I9907" s="101"/>
      <c r="K9907" s="226"/>
      <c r="L9907" s="226"/>
      <c r="M9907" s="101"/>
      <c r="N9907" s="101"/>
    </row>
    <row r="9908" spans="7:14" hidden="1" x14ac:dyDescent="0.3">
      <c r="G9908" s="101"/>
      <c r="H9908" s="101"/>
      <c r="I9908" s="101"/>
      <c r="K9908" s="226"/>
      <c r="L9908" s="226"/>
      <c r="M9908" s="101"/>
      <c r="N9908" s="101"/>
    </row>
    <row r="9909" spans="7:14" hidden="1" x14ac:dyDescent="0.3">
      <c r="G9909" s="101"/>
      <c r="H9909" s="101"/>
      <c r="I9909" s="101"/>
      <c r="K9909" s="226"/>
      <c r="L9909" s="226"/>
      <c r="M9909" s="101"/>
      <c r="N9909" s="101"/>
    </row>
    <row r="9910" spans="7:14" hidden="1" x14ac:dyDescent="0.3">
      <c r="G9910" s="101"/>
      <c r="H9910" s="101"/>
      <c r="I9910" s="101"/>
      <c r="K9910" s="226"/>
      <c r="L9910" s="226"/>
      <c r="M9910" s="101"/>
      <c r="N9910" s="101"/>
    </row>
    <row r="9911" spans="7:14" hidden="1" x14ac:dyDescent="0.3">
      <c r="G9911" s="101"/>
      <c r="H9911" s="101"/>
      <c r="I9911" s="101"/>
      <c r="K9911" s="226"/>
      <c r="L9911" s="226"/>
      <c r="M9911" s="101"/>
      <c r="N9911" s="101"/>
    </row>
    <row r="9912" spans="7:14" hidden="1" x14ac:dyDescent="0.3">
      <c r="G9912" s="101"/>
      <c r="H9912" s="101"/>
      <c r="I9912" s="101"/>
      <c r="K9912" s="226"/>
      <c r="L9912" s="226"/>
      <c r="M9912" s="101"/>
      <c r="N9912" s="101"/>
    </row>
    <row r="9913" spans="7:14" hidden="1" x14ac:dyDescent="0.3">
      <c r="G9913" s="101"/>
      <c r="H9913" s="101"/>
      <c r="I9913" s="101"/>
      <c r="K9913" s="226"/>
      <c r="L9913" s="226"/>
      <c r="M9913" s="101"/>
      <c r="N9913" s="101"/>
    </row>
    <row r="9914" spans="7:14" hidden="1" x14ac:dyDescent="0.3">
      <c r="G9914" s="101"/>
      <c r="H9914" s="101"/>
      <c r="I9914" s="101"/>
      <c r="K9914" s="226"/>
      <c r="L9914" s="226"/>
      <c r="M9914" s="101"/>
      <c r="N9914" s="101"/>
    </row>
    <row r="9915" spans="7:14" hidden="1" x14ac:dyDescent="0.3">
      <c r="G9915" s="101"/>
      <c r="H9915" s="101"/>
      <c r="I9915" s="101"/>
      <c r="K9915" s="226"/>
      <c r="L9915" s="226"/>
      <c r="M9915" s="101"/>
      <c r="N9915" s="101"/>
    </row>
    <row r="9916" spans="7:14" hidden="1" x14ac:dyDescent="0.3">
      <c r="G9916" s="101"/>
      <c r="H9916" s="101"/>
      <c r="I9916" s="101"/>
      <c r="K9916" s="226"/>
      <c r="L9916" s="226"/>
      <c r="M9916" s="101"/>
      <c r="N9916" s="101"/>
    </row>
    <row r="9917" spans="7:14" hidden="1" x14ac:dyDescent="0.3">
      <c r="G9917" s="101"/>
      <c r="H9917" s="101"/>
      <c r="I9917" s="101"/>
      <c r="K9917" s="226"/>
      <c r="L9917" s="226"/>
      <c r="M9917" s="101"/>
      <c r="N9917" s="101"/>
    </row>
    <row r="9918" spans="7:14" hidden="1" x14ac:dyDescent="0.3">
      <c r="G9918" s="101"/>
      <c r="H9918" s="101"/>
      <c r="I9918" s="101"/>
      <c r="K9918" s="226"/>
      <c r="L9918" s="226"/>
      <c r="M9918" s="101"/>
      <c r="N9918" s="101"/>
    </row>
    <row r="9919" spans="7:14" hidden="1" x14ac:dyDescent="0.3">
      <c r="G9919" s="101"/>
      <c r="H9919" s="101"/>
      <c r="I9919" s="101"/>
      <c r="K9919" s="226"/>
      <c r="L9919" s="226"/>
      <c r="M9919" s="101"/>
      <c r="N9919" s="101"/>
    </row>
    <row r="9920" spans="7:14" hidden="1" x14ac:dyDescent="0.3">
      <c r="G9920" s="101"/>
      <c r="H9920" s="101"/>
      <c r="I9920" s="101"/>
      <c r="K9920" s="226"/>
      <c r="L9920" s="226"/>
      <c r="M9920" s="101"/>
      <c r="N9920" s="101"/>
    </row>
    <row r="9921" spans="7:14" hidden="1" x14ac:dyDescent="0.3">
      <c r="G9921" s="101"/>
      <c r="H9921" s="101"/>
      <c r="I9921" s="101"/>
      <c r="K9921" s="226"/>
      <c r="L9921" s="226"/>
      <c r="M9921" s="101"/>
      <c r="N9921" s="101"/>
    </row>
    <row r="9922" spans="7:14" hidden="1" x14ac:dyDescent="0.3">
      <c r="G9922" s="101"/>
      <c r="H9922" s="101"/>
      <c r="I9922" s="101"/>
      <c r="K9922" s="226"/>
      <c r="L9922" s="226"/>
      <c r="M9922" s="101"/>
      <c r="N9922" s="101"/>
    </row>
    <row r="9923" spans="7:14" hidden="1" x14ac:dyDescent="0.3">
      <c r="G9923" s="101"/>
      <c r="H9923" s="101"/>
      <c r="I9923" s="101"/>
      <c r="K9923" s="226"/>
      <c r="L9923" s="226"/>
      <c r="M9923" s="101"/>
      <c r="N9923" s="101"/>
    </row>
    <row r="9924" spans="7:14" hidden="1" x14ac:dyDescent="0.3">
      <c r="G9924" s="101"/>
      <c r="H9924" s="101"/>
      <c r="I9924" s="101"/>
      <c r="K9924" s="226"/>
      <c r="L9924" s="226"/>
      <c r="M9924" s="101"/>
      <c r="N9924" s="101"/>
    </row>
    <row r="9925" spans="7:14" hidden="1" x14ac:dyDescent="0.3">
      <c r="G9925" s="101"/>
      <c r="H9925" s="101"/>
      <c r="I9925" s="101"/>
      <c r="K9925" s="226"/>
      <c r="L9925" s="226"/>
      <c r="M9925" s="101"/>
      <c r="N9925" s="101"/>
    </row>
    <row r="9926" spans="7:14" hidden="1" x14ac:dyDescent="0.3">
      <c r="G9926" s="101"/>
      <c r="H9926" s="101"/>
      <c r="I9926" s="101"/>
      <c r="K9926" s="226"/>
      <c r="L9926" s="226"/>
      <c r="M9926" s="101"/>
      <c r="N9926" s="101"/>
    </row>
    <row r="9927" spans="7:14" hidden="1" x14ac:dyDescent="0.3">
      <c r="G9927" s="101"/>
      <c r="H9927" s="101"/>
      <c r="I9927" s="101"/>
      <c r="K9927" s="226"/>
      <c r="L9927" s="226"/>
      <c r="M9927" s="101"/>
      <c r="N9927" s="101"/>
    </row>
    <row r="9928" spans="7:14" hidden="1" x14ac:dyDescent="0.3">
      <c r="G9928" s="101"/>
      <c r="H9928" s="101"/>
      <c r="I9928" s="101"/>
      <c r="K9928" s="226"/>
      <c r="L9928" s="226"/>
      <c r="M9928" s="101"/>
      <c r="N9928" s="101"/>
    </row>
    <row r="9929" spans="7:14" hidden="1" x14ac:dyDescent="0.3">
      <c r="G9929" s="101"/>
      <c r="H9929" s="101"/>
      <c r="I9929" s="101"/>
      <c r="K9929" s="226"/>
      <c r="L9929" s="226"/>
      <c r="M9929" s="101"/>
      <c r="N9929" s="101"/>
    </row>
    <row r="9930" spans="7:14" hidden="1" x14ac:dyDescent="0.3">
      <c r="G9930" s="101"/>
      <c r="H9930" s="101"/>
      <c r="I9930" s="101"/>
      <c r="K9930" s="226"/>
      <c r="L9930" s="226"/>
      <c r="M9930" s="101"/>
      <c r="N9930" s="101"/>
    </row>
    <row r="9931" spans="7:14" hidden="1" x14ac:dyDescent="0.3">
      <c r="G9931" s="101"/>
      <c r="H9931" s="101"/>
      <c r="I9931" s="101"/>
      <c r="K9931" s="226"/>
      <c r="L9931" s="226"/>
      <c r="M9931" s="101"/>
      <c r="N9931" s="101"/>
    </row>
    <row r="9932" spans="7:14" hidden="1" x14ac:dyDescent="0.3">
      <c r="G9932" s="101"/>
      <c r="H9932" s="101"/>
      <c r="I9932" s="101"/>
      <c r="K9932" s="226"/>
      <c r="L9932" s="226"/>
      <c r="M9932" s="101"/>
      <c r="N9932" s="101"/>
    </row>
    <row r="9933" spans="7:14" hidden="1" x14ac:dyDescent="0.3">
      <c r="G9933" s="101"/>
      <c r="H9933" s="101"/>
      <c r="I9933" s="101"/>
      <c r="K9933" s="226"/>
      <c r="L9933" s="226"/>
      <c r="M9933" s="101"/>
      <c r="N9933" s="101"/>
    </row>
    <row r="9934" spans="7:14" hidden="1" x14ac:dyDescent="0.3">
      <c r="G9934" s="101"/>
      <c r="H9934" s="101"/>
      <c r="I9934" s="101"/>
      <c r="K9934" s="226"/>
      <c r="L9934" s="226"/>
      <c r="M9934" s="101"/>
      <c r="N9934" s="101"/>
    </row>
    <row r="9935" spans="7:14" hidden="1" x14ac:dyDescent="0.3">
      <c r="G9935" s="101"/>
      <c r="H9935" s="101"/>
      <c r="I9935" s="101"/>
      <c r="K9935" s="226"/>
      <c r="L9935" s="226"/>
      <c r="M9935" s="101"/>
      <c r="N9935" s="101"/>
    </row>
    <row r="9936" spans="7:14" hidden="1" x14ac:dyDescent="0.3">
      <c r="G9936" s="101"/>
      <c r="H9936" s="101"/>
      <c r="I9936" s="101"/>
      <c r="K9936" s="226"/>
      <c r="L9936" s="226"/>
      <c r="M9936" s="101"/>
      <c r="N9936" s="101"/>
    </row>
    <row r="9937" spans="7:14" hidden="1" x14ac:dyDescent="0.3">
      <c r="G9937" s="101"/>
      <c r="H9937" s="101"/>
      <c r="I9937" s="101"/>
      <c r="K9937" s="226"/>
      <c r="L9937" s="226"/>
      <c r="M9937" s="101"/>
      <c r="N9937" s="101"/>
    </row>
    <row r="9938" spans="7:14" hidden="1" x14ac:dyDescent="0.3">
      <c r="G9938" s="101"/>
      <c r="H9938" s="101"/>
      <c r="I9938" s="101"/>
      <c r="K9938" s="226"/>
      <c r="L9938" s="226"/>
      <c r="M9938" s="101"/>
      <c r="N9938" s="101"/>
    </row>
    <row r="9939" spans="7:14" hidden="1" x14ac:dyDescent="0.3">
      <c r="G9939" s="101"/>
      <c r="H9939" s="101"/>
      <c r="I9939" s="101"/>
      <c r="K9939" s="226"/>
      <c r="L9939" s="226"/>
      <c r="M9939" s="101"/>
      <c r="N9939" s="101"/>
    </row>
    <row r="9940" spans="7:14" hidden="1" x14ac:dyDescent="0.3">
      <c r="G9940" s="101"/>
      <c r="H9940" s="101"/>
      <c r="I9940" s="101"/>
      <c r="K9940" s="226"/>
      <c r="L9940" s="226"/>
      <c r="M9940" s="101"/>
      <c r="N9940" s="101"/>
    </row>
    <row r="9941" spans="7:14" hidden="1" x14ac:dyDescent="0.3">
      <c r="G9941" s="101"/>
      <c r="H9941" s="101"/>
      <c r="I9941" s="101"/>
      <c r="K9941" s="226"/>
      <c r="L9941" s="226"/>
      <c r="M9941" s="101"/>
      <c r="N9941" s="101"/>
    </row>
    <row r="9942" spans="7:14" hidden="1" x14ac:dyDescent="0.3">
      <c r="G9942" s="101"/>
      <c r="H9942" s="101"/>
      <c r="I9942" s="101"/>
      <c r="K9942" s="226"/>
      <c r="L9942" s="226"/>
      <c r="M9942" s="101"/>
      <c r="N9942" s="101"/>
    </row>
    <row r="9943" spans="7:14" hidden="1" x14ac:dyDescent="0.3">
      <c r="G9943" s="101"/>
      <c r="H9943" s="101"/>
      <c r="I9943" s="101"/>
      <c r="K9943" s="226"/>
      <c r="L9943" s="226"/>
      <c r="M9943" s="101"/>
      <c r="N9943" s="101"/>
    </row>
    <row r="9944" spans="7:14" hidden="1" x14ac:dyDescent="0.3">
      <c r="G9944" s="101"/>
      <c r="H9944" s="101"/>
      <c r="I9944" s="101"/>
      <c r="K9944" s="226"/>
      <c r="L9944" s="226"/>
      <c r="M9944" s="101"/>
      <c r="N9944" s="101"/>
    </row>
    <row r="9945" spans="7:14" hidden="1" x14ac:dyDescent="0.3">
      <c r="G9945" s="101"/>
      <c r="H9945" s="101"/>
      <c r="I9945" s="101"/>
      <c r="K9945" s="226"/>
      <c r="L9945" s="226"/>
      <c r="M9945" s="101"/>
      <c r="N9945" s="101"/>
    </row>
    <row r="9946" spans="7:14" hidden="1" x14ac:dyDescent="0.3">
      <c r="G9946" s="101"/>
      <c r="H9946" s="101"/>
      <c r="I9946" s="101"/>
      <c r="K9946" s="226"/>
      <c r="L9946" s="226"/>
      <c r="M9946" s="101"/>
      <c r="N9946" s="101"/>
    </row>
    <row r="9947" spans="7:14" hidden="1" x14ac:dyDescent="0.3">
      <c r="G9947" s="101"/>
      <c r="H9947" s="101"/>
      <c r="I9947" s="101"/>
      <c r="K9947" s="226"/>
      <c r="L9947" s="226"/>
      <c r="M9947" s="101"/>
      <c r="N9947" s="101"/>
    </row>
    <row r="9948" spans="7:14" hidden="1" x14ac:dyDescent="0.3">
      <c r="G9948" s="101"/>
      <c r="H9948" s="101"/>
      <c r="I9948" s="101"/>
      <c r="K9948" s="226"/>
      <c r="L9948" s="226"/>
      <c r="M9948" s="101"/>
      <c r="N9948" s="101"/>
    </row>
    <row r="9949" spans="7:14" hidden="1" x14ac:dyDescent="0.3">
      <c r="G9949" s="101"/>
      <c r="H9949" s="101"/>
      <c r="I9949" s="101"/>
      <c r="K9949" s="226"/>
      <c r="L9949" s="226"/>
      <c r="M9949" s="101"/>
      <c r="N9949" s="101"/>
    </row>
    <row r="9950" spans="7:14" hidden="1" x14ac:dyDescent="0.3">
      <c r="G9950" s="101"/>
      <c r="H9950" s="101"/>
      <c r="I9950" s="101"/>
      <c r="K9950" s="226"/>
      <c r="L9950" s="226"/>
      <c r="M9950" s="101"/>
      <c r="N9950" s="101"/>
    </row>
    <row r="9951" spans="7:14" hidden="1" x14ac:dyDescent="0.3">
      <c r="G9951" s="101"/>
      <c r="H9951" s="101"/>
      <c r="I9951" s="101"/>
      <c r="K9951" s="226"/>
      <c r="L9951" s="226"/>
      <c r="M9951" s="101"/>
      <c r="N9951" s="101"/>
    </row>
    <row r="9952" spans="7:14" hidden="1" x14ac:dyDescent="0.3">
      <c r="G9952" s="101"/>
      <c r="H9952" s="101"/>
      <c r="I9952" s="101"/>
      <c r="K9952" s="226"/>
      <c r="L9952" s="226"/>
      <c r="M9952" s="101"/>
      <c r="N9952" s="101"/>
    </row>
    <row r="9953" spans="7:14" hidden="1" x14ac:dyDescent="0.3">
      <c r="G9953" s="101"/>
      <c r="H9953" s="101"/>
      <c r="I9953" s="101"/>
      <c r="K9953" s="226"/>
      <c r="L9953" s="226"/>
      <c r="M9953" s="101"/>
      <c r="N9953" s="101"/>
    </row>
    <row r="9954" spans="7:14" hidden="1" x14ac:dyDescent="0.3">
      <c r="G9954" s="101"/>
      <c r="H9954" s="101"/>
      <c r="I9954" s="101"/>
      <c r="K9954" s="226"/>
      <c r="L9954" s="226"/>
      <c r="M9954" s="101"/>
      <c r="N9954" s="101"/>
    </row>
    <row r="9955" spans="7:14" hidden="1" x14ac:dyDescent="0.3">
      <c r="G9955" s="101"/>
      <c r="H9955" s="101"/>
      <c r="I9955" s="101"/>
      <c r="K9955" s="226"/>
      <c r="L9955" s="226"/>
      <c r="M9955" s="101"/>
      <c r="N9955" s="101"/>
    </row>
    <row r="9956" spans="7:14" hidden="1" x14ac:dyDescent="0.3">
      <c r="G9956" s="101"/>
      <c r="H9956" s="101"/>
      <c r="I9956" s="101"/>
      <c r="K9956" s="226"/>
      <c r="L9956" s="226"/>
      <c r="M9956" s="101"/>
      <c r="N9956" s="101"/>
    </row>
    <row r="9957" spans="7:14" hidden="1" x14ac:dyDescent="0.3">
      <c r="G9957" s="101"/>
      <c r="H9957" s="101"/>
      <c r="I9957" s="101"/>
      <c r="K9957" s="226"/>
      <c r="L9957" s="226"/>
      <c r="M9957" s="101"/>
      <c r="N9957" s="101"/>
    </row>
    <row r="9958" spans="7:14" hidden="1" x14ac:dyDescent="0.3">
      <c r="G9958" s="101"/>
      <c r="H9958" s="101"/>
      <c r="I9958" s="101"/>
      <c r="K9958" s="226"/>
      <c r="L9958" s="226"/>
      <c r="M9958" s="101"/>
      <c r="N9958" s="101"/>
    </row>
    <row r="9959" spans="7:14" hidden="1" x14ac:dyDescent="0.3">
      <c r="G9959" s="101"/>
      <c r="H9959" s="101"/>
      <c r="I9959" s="101"/>
      <c r="K9959" s="226"/>
      <c r="L9959" s="226"/>
      <c r="M9959" s="101"/>
      <c r="N9959" s="101"/>
    </row>
    <row r="9960" spans="7:14" hidden="1" x14ac:dyDescent="0.3">
      <c r="G9960" s="101"/>
      <c r="H9960" s="101"/>
      <c r="I9960" s="101"/>
      <c r="K9960" s="226"/>
      <c r="L9960" s="226"/>
      <c r="M9960" s="101"/>
      <c r="N9960" s="101"/>
    </row>
    <row r="9961" spans="7:14" hidden="1" x14ac:dyDescent="0.3">
      <c r="G9961" s="101"/>
      <c r="H9961" s="101"/>
      <c r="I9961" s="101"/>
      <c r="K9961" s="226"/>
      <c r="L9961" s="226"/>
      <c r="M9961" s="101"/>
      <c r="N9961" s="101"/>
    </row>
    <row r="9962" spans="7:14" hidden="1" x14ac:dyDescent="0.3">
      <c r="G9962" s="101"/>
      <c r="H9962" s="101"/>
      <c r="I9962" s="101"/>
      <c r="K9962" s="226"/>
      <c r="L9962" s="226"/>
      <c r="M9962" s="101"/>
      <c r="N9962" s="101"/>
    </row>
    <row r="9963" spans="7:14" hidden="1" x14ac:dyDescent="0.3">
      <c r="G9963" s="101"/>
      <c r="H9963" s="101"/>
      <c r="I9963" s="101"/>
      <c r="K9963" s="226"/>
      <c r="L9963" s="226"/>
      <c r="M9963" s="101"/>
      <c r="N9963" s="101"/>
    </row>
    <row r="9964" spans="7:14" hidden="1" x14ac:dyDescent="0.3">
      <c r="G9964" s="101"/>
      <c r="H9964" s="101"/>
      <c r="I9964" s="101"/>
      <c r="K9964" s="226"/>
      <c r="L9964" s="226"/>
      <c r="M9964" s="101"/>
      <c r="N9964" s="101"/>
    </row>
    <row r="9965" spans="7:14" hidden="1" x14ac:dyDescent="0.3">
      <c r="G9965" s="101"/>
      <c r="H9965" s="101"/>
      <c r="I9965" s="101"/>
      <c r="K9965" s="226"/>
      <c r="L9965" s="226"/>
      <c r="M9965" s="101"/>
      <c r="N9965" s="101"/>
    </row>
    <row r="9966" spans="7:14" hidden="1" x14ac:dyDescent="0.3">
      <c r="G9966" s="101"/>
      <c r="H9966" s="101"/>
      <c r="I9966" s="101"/>
      <c r="K9966" s="226"/>
      <c r="L9966" s="226"/>
      <c r="M9966" s="101"/>
      <c r="N9966" s="101"/>
    </row>
    <row r="9967" spans="7:14" hidden="1" x14ac:dyDescent="0.3">
      <c r="G9967" s="101"/>
      <c r="H9967" s="101"/>
      <c r="I9967" s="101"/>
      <c r="K9967" s="226"/>
      <c r="L9967" s="226"/>
      <c r="M9967" s="101"/>
      <c r="N9967" s="101"/>
    </row>
    <row r="9968" spans="7:14" hidden="1" x14ac:dyDescent="0.3">
      <c r="G9968" s="101"/>
      <c r="H9968" s="101"/>
      <c r="I9968" s="101"/>
      <c r="K9968" s="226"/>
      <c r="L9968" s="226"/>
      <c r="M9968" s="101"/>
      <c r="N9968" s="101"/>
    </row>
    <row r="9969" spans="7:14" hidden="1" x14ac:dyDescent="0.3">
      <c r="G9969" s="101"/>
      <c r="H9969" s="101"/>
      <c r="I9969" s="101"/>
      <c r="K9969" s="226"/>
      <c r="L9969" s="226"/>
      <c r="M9969" s="101"/>
      <c r="N9969" s="101"/>
    </row>
    <row r="9970" spans="7:14" hidden="1" x14ac:dyDescent="0.3">
      <c r="G9970" s="101"/>
      <c r="H9970" s="101"/>
      <c r="I9970" s="101"/>
      <c r="K9970" s="226"/>
      <c r="L9970" s="226"/>
      <c r="M9970" s="101"/>
      <c r="N9970" s="101"/>
    </row>
    <row r="9971" spans="7:14" hidden="1" x14ac:dyDescent="0.3">
      <c r="G9971" s="101"/>
      <c r="H9971" s="101"/>
      <c r="I9971" s="101"/>
      <c r="K9971" s="226"/>
      <c r="L9971" s="226"/>
      <c r="M9971" s="101"/>
      <c r="N9971" s="101"/>
    </row>
    <row r="9972" spans="7:14" hidden="1" x14ac:dyDescent="0.3">
      <c r="G9972" s="101"/>
      <c r="H9972" s="101"/>
      <c r="I9972" s="101"/>
      <c r="K9972" s="226"/>
      <c r="L9972" s="226"/>
      <c r="M9972" s="101"/>
      <c r="N9972" s="101"/>
    </row>
    <row r="9973" spans="7:14" hidden="1" x14ac:dyDescent="0.3">
      <c r="G9973" s="101"/>
      <c r="H9973" s="101"/>
      <c r="I9973" s="101"/>
      <c r="K9973" s="226"/>
      <c r="L9973" s="226"/>
      <c r="M9973" s="101"/>
      <c r="N9973" s="101"/>
    </row>
    <row r="9974" spans="7:14" hidden="1" x14ac:dyDescent="0.3">
      <c r="G9974" s="101"/>
      <c r="H9974" s="101"/>
      <c r="I9974" s="101"/>
      <c r="K9974" s="226"/>
      <c r="L9974" s="226"/>
      <c r="M9974" s="101"/>
      <c r="N9974" s="101"/>
    </row>
    <row r="9975" spans="7:14" hidden="1" x14ac:dyDescent="0.3">
      <c r="G9975" s="101"/>
      <c r="H9975" s="101"/>
      <c r="I9975" s="101"/>
      <c r="K9975" s="226"/>
      <c r="L9975" s="226"/>
      <c r="M9975" s="101"/>
      <c r="N9975" s="101"/>
    </row>
    <row r="9976" spans="7:14" hidden="1" x14ac:dyDescent="0.3">
      <c r="G9976" s="101"/>
      <c r="H9976" s="101"/>
      <c r="I9976" s="101"/>
      <c r="K9976" s="226"/>
      <c r="L9976" s="226"/>
      <c r="M9976" s="101"/>
      <c r="N9976" s="101"/>
    </row>
    <row r="9977" spans="7:14" hidden="1" x14ac:dyDescent="0.3">
      <c r="G9977" s="101"/>
      <c r="H9977" s="101"/>
      <c r="I9977" s="101"/>
      <c r="K9977" s="226"/>
      <c r="L9977" s="226"/>
      <c r="M9977" s="101"/>
      <c r="N9977" s="101"/>
    </row>
    <row r="9978" spans="7:14" hidden="1" x14ac:dyDescent="0.3">
      <c r="G9978" s="101"/>
      <c r="H9978" s="101"/>
      <c r="I9978" s="101"/>
      <c r="K9978" s="226"/>
      <c r="L9978" s="226"/>
      <c r="M9978" s="101"/>
      <c r="N9978" s="101"/>
    </row>
    <row r="9979" spans="7:14" hidden="1" x14ac:dyDescent="0.3">
      <c r="G9979" s="101"/>
      <c r="H9979" s="101"/>
      <c r="I9979" s="101"/>
      <c r="K9979" s="226"/>
      <c r="L9979" s="226"/>
      <c r="M9979" s="101"/>
      <c r="N9979" s="101"/>
    </row>
    <row r="9980" spans="7:14" hidden="1" x14ac:dyDescent="0.3">
      <c r="G9980" s="101"/>
      <c r="H9980" s="101"/>
      <c r="I9980" s="101"/>
      <c r="K9980" s="226"/>
      <c r="L9980" s="226"/>
      <c r="M9980" s="101"/>
      <c r="N9980" s="101"/>
    </row>
    <row r="9981" spans="7:14" hidden="1" x14ac:dyDescent="0.3">
      <c r="G9981" s="101"/>
      <c r="H9981" s="101"/>
      <c r="I9981" s="101"/>
      <c r="K9981" s="226"/>
      <c r="L9981" s="226"/>
      <c r="M9981" s="101"/>
      <c r="N9981" s="101"/>
    </row>
    <row r="9982" spans="7:14" hidden="1" x14ac:dyDescent="0.3">
      <c r="G9982" s="101"/>
      <c r="H9982" s="101"/>
      <c r="I9982" s="101"/>
      <c r="K9982" s="226"/>
      <c r="L9982" s="226"/>
      <c r="M9982" s="101"/>
      <c r="N9982" s="101"/>
    </row>
    <row r="9983" spans="7:14" hidden="1" x14ac:dyDescent="0.3">
      <c r="G9983" s="101"/>
      <c r="H9983" s="101"/>
      <c r="I9983" s="101"/>
      <c r="K9983" s="226"/>
      <c r="L9983" s="226"/>
      <c r="M9983" s="101"/>
      <c r="N9983" s="101"/>
    </row>
    <row r="9984" spans="7:14" hidden="1" x14ac:dyDescent="0.3">
      <c r="G9984" s="101"/>
      <c r="H9984" s="101"/>
      <c r="I9984" s="101"/>
      <c r="K9984" s="226"/>
      <c r="L9984" s="226"/>
      <c r="M9984" s="101"/>
      <c r="N9984" s="101"/>
    </row>
    <row r="9985" spans="7:14" hidden="1" x14ac:dyDescent="0.3">
      <c r="G9985" s="101"/>
      <c r="H9985" s="101"/>
      <c r="I9985" s="101"/>
      <c r="K9985" s="226"/>
      <c r="L9985" s="226"/>
      <c r="M9985" s="101"/>
      <c r="N9985" s="101"/>
    </row>
    <row r="9986" spans="7:14" hidden="1" x14ac:dyDescent="0.3">
      <c r="G9986" s="101"/>
      <c r="H9986" s="101"/>
      <c r="I9986" s="101"/>
      <c r="K9986" s="226"/>
      <c r="L9986" s="226"/>
      <c r="M9986" s="101"/>
      <c r="N9986" s="101"/>
    </row>
    <row r="9987" spans="7:14" hidden="1" x14ac:dyDescent="0.3">
      <c r="G9987" s="101"/>
      <c r="H9987" s="101"/>
      <c r="I9987" s="101"/>
      <c r="K9987" s="226"/>
      <c r="L9987" s="226"/>
      <c r="M9987" s="101"/>
      <c r="N9987" s="101"/>
    </row>
    <row r="9988" spans="7:14" hidden="1" x14ac:dyDescent="0.3">
      <c r="G9988" s="101"/>
      <c r="H9988" s="101"/>
      <c r="I9988" s="101"/>
      <c r="K9988" s="226"/>
      <c r="L9988" s="226"/>
      <c r="M9988" s="101"/>
      <c r="N9988" s="101"/>
    </row>
    <row r="9989" spans="7:14" hidden="1" x14ac:dyDescent="0.3">
      <c r="G9989" s="101"/>
      <c r="H9989" s="101"/>
      <c r="I9989" s="101"/>
      <c r="K9989" s="226"/>
      <c r="L9989" s="226"/>
      <c r="M9989" s="101"/>
      <c r="N9989" s="101"/>
    </row>
    <row r="9990" spans="7:14" hidden="1" x14ac:dyDescent="0.3">
      <c r="G9990" s="101"/>
      <c r="H9990" s="101"/>
      <c r="I9990" s="101"/>
      <c r="K9990" s="226"/>
      <c r="L9990" s="226"/>
      <c r="M9990" s="101"/>
      <c r="N9990" s="101"/>
    </row>
    <row r="9991" spans="7:14" hidden="1" x14ac:dyDescent="0.3">
      <c r="G9991" s="101"/>
      <c r="H9991" s="101"/>
      <c r="I9991" s="101"/>
      <c r="K9991" s="226"/>
      <c r="L9991" s="226"/>
      <c r="M9991" s="101"/>
      <c r="N9991" s="101"/>
    </row>
    <row r="9992" spans="7:14" hidden="1" x14ac:dyDescent="0.3">
      <c r="G9992" s="101"/>
      <c r="H9992" s="101"/>
      <c r="I9992" s="101"/>
      <c r="K9992" s="226"/>
      <c r="L9992" s="226"/>
      <c r="M9992" s="101"/>
      <c r="N9992" s="101"/>
    </row>
    <row r="9993" spans="7:14" hidden="1" x14ac:dyDescent="0.3">
      <c r="G9993" s="101"/>
      <c r="H9993" s="101"/>
      <c r="I9993" s="101"/>
      <c r="K9993" s="226"/>
      <c r="L9993" s="226"/>
      <c r="M9993" s="101"/>
      <c r="N9993" s="101"/>
    </row>
    <row r="9994" spans="7:14" hidden="1" x14ac:dyDescent="0.3">
      <c r="G9994" s="101"/>
      <c r="H9994" s="101"/>
      <c r="I9994" s="101"/>
      <c r="K9994" s="226"/>
      <c r="L9994" s="226"/>
      <c r="M9994" s="101"/>
      <c r="N9994" s="101"/>
    </row>
    <row r="9995" spans="7:14" hidden="1" x14ac:dyDescent="0.3">
      <c r="G9995" s="101"/>
      <c r="H9995" s="101"/>
      <c r="I9995" s="101"/>
      <c r="K9995" s="226"/>
      <c r="L9995" s="226"/>
      <c r="M9995" s="101"/>
      <c r="N9995" s="101"/>
    </row>
    <row r="9996" spans="7:14" hidden="1" x14ac:dyDescent="0.3">
      <c r="G9996" s="101"/>
      <c r="H9996" s="101"/>
      <c r="I9996" s="101"/>
      <c r="K9996" s="226"/>
      <c r="L9996" s="226"/>
      <c r="M9996" s="101"/>
      <c r="N9996" s="101"/>
    </row>
    <row r="9997" spans="7:14" hidden="1" x14ac:dyDescent="0.3">
      <c r="G9997" s="101"/>
      <c r="H9997" s="101"/>
      <c r="I9997" s="101"/>
      <c r="K9997" s="226"/>
      <c r="L9997" s="226"/>
      <c r="M9997" s="101"/>
      <c r="N9997" s="101"/>
    </row>
    <row r="9998" spans="7:14" hidden="1" x14ac:dyDescent="0.3">
      <c r="G9998" s="101"/>
      <c r="H9998" s="101"/>
      <c r="I9998" s="101"/>
      <c r="K9998" s="226"/>
      <c r="L9998" s="226"/>
      <c r="M9998" s="101"/>
      <c r="N9998" s="101"/>
    </row>
    <row r="9999" spans="7:14" hidden="1" x14ac:dyDescent="0.3">
      <c r="G9999" s="101"/>
      <c r="H9999" s="101"/>
      <c r="I9999" s="101"/>
      <c r="K9999" s="226"/>
      <c r="L9999" s="226"/>
      <c r="M9999" s="101"/>
      <c r="N9999" s="101"/>
    </row>
    <row r="10000" spans="7:14" hidden="1" x14ac:dyDescent="0.3">
      <c r="G10000" s="101"/>
      <c r="H10000" s="101"/>
      <c r="I10000" s="101"/>
      <c r="K10000" s="226"/>
      <c r="L10000" s="226"/>
      <c r="M10000" s="101"/>
      <c r="N10000" s="101"/>
    </row>
    <row r="10001" spans="7:14" hidden="1" x14ac:dyDescent="0.3">
      <c r="G10001" s="101"/>
      <c r="H10001" s="101"/>
      <c r="I10001" s="101"/>
      <c r="K10001" s="226"/>
      <c r="L10001" s="226"/>
      <c r="M10001" s="101"/>
      <c r="N10001" s="101"/>
    </row>
    <row r="10002" spans="7:14" hidden="1" x14ac:dyDescent="0.3">
      <c r="G10002" s="101"/>
      <c r="H10002" s="101"/>
      <c r="I10002" s="101"/>
      <c r="K10002" s="226"/>
      <c r="L10002" s="226"/>
      <c r="M10002" s="101"/>
      <c r="N10002" s="101"/>
    </row>
    <row r="10003" spans="7:14" hidden="1" x14ac:dyDescent="0.3">
      <c r="G10003" s="101"/>
      <c r="H10003" s="101"/>
      <c r="I10003" s="101"/>
      <c r="K10003" s="226"/>
      <c r="L10003" s="226"/>
      <c r="M10003" s="101"/>
      <c r="N10003" s="101"/>
    </row>
    <row r="10004" spans="7:14" hidden="1" x14ac:dyDescent="0.3">
      <c r="G10004" s="101"/>
      <c r="H10004" s="101"/>
      <c r="I10004" s="101"/>
      <c r="K10004" s="226"/>
      <c r="L10004" s="226"/>
      <c r="M10004" s="101"/>
      <c r="N10004" s="101"/>
    </row>
    <row r="10005" spans="7:14" hidden="1" x14ac:dyDescent="0.3">
      <c r="G10005" s="101"/>
      <c r="H10005" s="101"/>
      <c r="I10005" s="101"/>
      <c r="K10005" s="226"/>
      <c r="L10005" s="226"/>
      <c r="M10005" s="101"/>
      <c r="N10005" s="101"/>
    </row>
    <row r="10006" spans="7:14" hidden="1" x14ac:dyDescent="0.3">
      <c r="G10006" s="101"/>
      <c r="H10006" s="101"/>
      <c r="I10006" s="101"/>
      <c r="K10006" s="226"/>
      <c r="L10006" s="226"/>
      <c r="M10006" s="101"/>
      <c r="N10006" s="101"/>
    </row>
    <row r="10007" spans="7:14" hidden="1" x14ac:dyDescent="0.3">
      <c r="G10007" s="101"/>
      <c r="H10007" s="101"/>
      <c r="I10007" s="101"/>
      <c r="K10007" s="226"/>
      <c r="L10007" s="226"/>
      <c r="M10007" s="101"/>
      <c r="N10007" s="101"/>
    </row>
    <row r="10008" spans="7:14" hidden="1" x14ac:dyDescent="0.3">
      <c r="G10008" s="101"/>
      <c r="H10008" s="101"/>
      <c r="I10008" s="101"/>
      <c r="K10008" s="226"/>
      <c r="L10008" s="226"/>
      <c r="M10008" s="101"/>
      <c r="N10008" s="101"/>
    </row>
    <row r="10009" spans="7:14" hidden="1" x14ac:dyDescent="0.3">
      <c r="G10009" s="101"/>
      <c r="H10009" s="101"/>
      <c r="I10009" s="101"/>
      <c r="K10009" s="226"/>
      <c r="L10009" s="226"/>
      <c r="M10009" s="101"/>
      <c r="N10009" s="101"/>
    </row>
    <row r="10010" spans="7:14" hidden="1" x14ac:dyDescent="0.3">
      <c r="G10010" s="101"/>
      <c r="H10010" s="101"/>
      <c r="I10010" s="101"/>
      <c r="K10010" s="226"/>
      <c r="L10010" s="226"/>
      <c r="M10010" s="101"/>
      <c r="N10010" s="101"/>
    </row>
  </sheetData>
  <mergeCells count="4">
    <mergeCell ref="C3:I3"/>
    <mergeCell ref="K5:N5"/>
    <mergeCell ref="K6:L6"/>
    <mergeCell ref="M6:N6"/>
  </mergeCells>
  <pageMargins left="0.511811024" right="0.511811024" top="0.78740157499999996" bottom="0.78740157499999996" header="0.31496062000000002" footer="0.31496062000000002"/>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ilha6">
    <tabColor theme="0" tint="-0.499984740745262"/>
  </sheetPr>
  <dimension ref="A1:CC165"/>
  <sheetViews>
    <sheetView zoomScale="80" zoomScaleNormal="80" workbookViewId="0">
      <selection activeCell="J30" sqref="J30"/>
    </sheetView>
  </sheetViews>
  <sheetFormatPr defaultColWidth="0" defaultRowHeight="14.4" zeroHeight="1" x14ac:dyDescent="0.3"/>
  <cols>
    <col min="1" max="2" width="9.109375" customWidth="1"/>
    <col min="3" max="3" width="9.44140625" customWidth="1"/>
    <col min="4" max="5" width="22.33203125" customWidth="1"/>
    <col min="6" max="7" width="20.33203125" customWidth="1"/>
    <col min="8" max="9" width="11.5546875" customWidth="1"/>
    <col min="10" max="10" width="5.44140625" customWidth="1"/>
    <col min="11" max="11" width="4.44140625" customWidth="1"/>
    <col min="12" max="12" width="7" customWidth="1"/>
    <col min="13" max="14" width="7.109375" bestFit="1" customWidth="1"/>
    <col min="15" max="16" width="5.109375" customWidth="1"/>
    <col min="17" max="17" width="9.109375" customWidth="1"/>
    <col min="18" max="18" width="12.6640625" customWidth="1"/>
    <col min="19" max="20" width="24.33203125" bestFit="1" customWidth="1"/>
    <col min="21" max="21" width="23.88671875" bestFit="1" customWidth="1"/>
    <col min="22" max="22" width="19.44140625" customWidth="1"/>
    <col min="23" max="23" width="11.6640625" customWidth="1"/>
    <col min="24" max="24" width="12" customWidth="1"/>
    <col min="25" max="25" width="4.109375" customWidth="1"/>
    <col min="26" max="26" width="5.109375" customWidth="1"/>
    <col min="27" max="27" width="9.109375" customWidth="1"/>
    <col min="28" max="28" width="12.6640625" customWidth="1"/>
    <col min="29" max="30" width="24.33203125" bestFit="1" customWidth="1"/>
    <col min="31" max="31" width="23.88671875" bestFit="1" customWidth="1"/>
    <col min="32" max="32" width="23.109375" customWidth="1"/>
    <col min="33" max="33" width="13.6640625" customWidth="1"/>
    <col min="34" max="34" width="12" customWidth="1"/>
    <col min="35" max="36" width="4.109375" customWidth="1"/>
    <col min="37" max="37" width="5.33203125" bestFit="1" customWidth="1"/>
    <col min="38" max="38" width="11.44140625" customWidth="1"/>
    <col min="39" max="40" width="24.33203125" bestFit="1" customWidth="1"/>
    <col min="41" max="41" width="23.88671875" bestFit="1" customWidth="1"/>
    <col min="42" max="42" width="20.33203125" customWidth="1"/>
    <col min="43" max="44" width="13.88671875" customWidth="1"/>
    <col min="45" max="46" width="4.5546875" customWidth="1"/>
    <col min="47" max="47" width="9.109375" customWidth="1"/>
    <col min="48" max="48" width="19.88671875" bestFit="1" customWidth="1"/>
    <col min="49" max="50" width="24.33203125" bestFit="1" customWidth="1"/>
    <col min="51" max="51" width="23.88671875" bestFit="1" customWidth="1"/>
    <col min="52" max="52" width="22.6640625" customWidth="1"/>
    <col min="53" max="53" width="15.33203125" customWidth="1"/>
    <col min="54" max="54" width="11.33203125" customWidth="1"/>
    <col min="55" max="57" width="9.109375" customWidth="1"/>
    <col min="58" max="58" width="11.5546875" customWidth="1"/>
    <col min="59" max="60" width="24.33203125" bestFit="1" customWidth="1"/>
    <col min="61" max="61" width="23.88671875" bestFit="1" customWidth="1"/>
    <col min="62" max="62" width="22.5546875" customWidth="1"/>
    <col min="63" max="63" width="15" customWidth="1"/>
    <col min="64" max="64" width="8.5546875" bestFit="1" customWidth="1"/>
    <col min="65" max="67" width="9.109375" customWidth="1"/>
    <col min="68" max="68" width="12.33203125" customWidth="1"/>
    <col min="69" max="70" width="24.33203125" bestFit="1" customWidth="1"/>
    <col min="71" max="71" width="23.88671875" bestFit="1" customWidth="1"/>
    <col min="72" max="72" width="20.33203125" customWidth="1"/>
    <col min="73" max="73" width="13.88671875" bestFit="1" customWidth="1"/>
    <col min="74" max="74" width="10.44140625" bestFit="1" customWidth="1"/>
    <col min="75" max="78" width="9.109375" customWidth="1"/>
    <col min="79" max="81" width="0" hidden="1" customWidth="1"/>
    <col min="82" max="16384" width="9.109375" hidden="1"/>
  </cols>
  <sheetData>
    <row r="1" spans="1:81" x14ac:dyDescent="0.3">
      <c r="A1" s="136"/>
      <c r="B1" s="136"/>
      <c r="C1" s="136"/>
      <c r="D1" s="136"/>
      <c r="E1" s="136"/>
      <c r="F1" s="136"/>
      <c r="G1" s="136"/>
      <c r="H1" s="136"/>
      <c r="I1" s="136"/>
      <c r="J1" s="136"/>
      <c r="K1" s="136"/>
      <c r="L1" s="136"/>
      <c r="M1" s="136"/>
      <c r="N1" s="136"/>
      <c r="O1" s="136"/>
      <c r="P1" s="136"/>
      <c r="Q1" s="136"/>
      <c r="R1" s="136"/>
      <c r="S1" s="136"/>
      <c r="T1" s="136"/>
      <c r="U1" s="136"/>
      <c r="V1" s="136"/>
      <c r="W1" s="136"/>
      <c r="X1" s="136"/>
      <c r="Y1" s="136"/>
      <c r="Z1" s="136"/>
      <c r="AA1" s="136"/>
      <c r="AB1" s="136"/>
      <c r="AC1" s="136"/>
      <c r="AD1" s="136"/>
      <c r="AE1" s="136"/>
      <c r="AF1" s="136"/>
      <c r="AG1" s="136"/>
      <c r="AH1" s="136"/>
      <c r="AI1" s="136"/>
      <c r="AJ1" s="136"/>
      <c r="AK1" s="136"/>
      <c r="AL1" s="136"/>
      <c r="AM1" s="136"/>
      <c r="AN1" s="136"/>
      <c r="AO1" s="136"/>
      <c r="AP1" s="136"/>
      <c r="AQ1" s="136"/>
      <c r="AR1" s="136"/>
      <c r="AS1" s="136"/>
      <c r="AT1" s="136"/>
      <c r="AU1" s="136"/>
      <c r="AV1" s="136"/>
      <c r="AW1" s="136"/>
      <c r="AX1" s="136"/>
      <c r="AY1" s="136"/>
      <c r="AZ1" s="136"/>
      <c r="BA1" s="136"/>
      <c r="BB1" s="136"/>
      <c r="BC1" s="136"/>
      <c r="BD1" s="136"/>
      <c r="BE1" s="136"/>
      <c r="BF1" s="136"/>
      <c r="BG1" s="136"/>
      <c r="BH1" s="136"/>
      <c r="BI1" s="136"/>
      <c r="BJ1" s="136"/>
      <c r="BK1" s="136"/>
      <c r="BL1" s="136"/>
      <c r="BM1" s="136"/>
      <c r="BN1" s="136"/>
      <c r="BO1" s="136"/>
      <c r="BP1" s="136"/>
      <c r="BQ1" s="136"/>
      <c r="BR1" s="136"/>
      <c r="BS1" s="136"/>
      <c r="BT1" s="136"/>
      <c r="BU1" s="136"/>
      <c r="BV1" s="136"/>
      <c r="BW1" s="136"/>
      <c r="BX1" s="136"/>
      <c r="BY1" s="136"/>
      <c r="BZ1" s="136"/>
      <c r="CA1" s="136"/>
      <c r="CB1" s="136"/>
      <c r="CC1" s="136"/>
    </row>
    <row r="2" spans="1:81" ht="23.4" x14ac:dyDescent="0.45">
      <c r="A2" s="136"/>
      <c r="C2" s="173" t="s">
        <v>254</v>
      </c>
      <c r="BZ2" s="136"/>
    </row>
    <row r="3" spans="1:81" x14ac:dyDescent="0.3">
      <c r="A3" s="136"/>
      <c r="BZ3" s="136"/>
    </row>
    <row r="4" spans="1:81" x14ac:dyDescent="0.3">
      <c r="A4" s="136"/>
      <c r="C4" s="465" t="s">
        <v>417</v>
      </c>
      <c r="D4" s="466"/>
      <c r="E4" s="462" t="s">
        <v>419</v>
      </c>
      <c r="F4" s="463"/>
      <c r="G4" s="464"/>
      <c r="H4" s="154"/>
      <c r="N4" s="153"/>
      <c r="R4" s="465" t="s">
        <v>46</v>
      </c>
      <c r="S4" s="466"/>
      <c r="T4" s="462" t="s">
        <v>431</v>
      </c>
      <c r="U4" s="463"/>
      <c r="V4" s="464"/>
      <c r="W4" s="154"/>
      <c r="AB4" s="465" t="s">
        <v>214</v>
      </c>
      <c r="AC4" s="466"/>
      <c r="AD4" s="462" t="s">
        <v>419</v>
      </c>
      <c r="AE4" s="463"/>
      <c r="AF4" s="464"/>
      <c r="AG4" s="154"/>
      <c r="AL4" s="465" t="s">
        <v>450</v>
      </c>
      <c r="AM4" s="466"/>
      <c r="AN4" s="462" t="s">
        <v>419</v>
      </c>
      <c r="AO4" s="463"/>
      <c r="AP4" s="464"/>
      <c r="AQ4" s="154"/>
      <c r="AV4" s="465" t="s">
        <v>451</v>
      </c>
      <c r="AW4" s="466"/>
      <c r="AX4" s="462" t="s">
        <v>419</v>
      </c>
      <c r="AY4" s="463"/>
      <c r="AZ4" s="464"/>
      <c r="BA4" s="154"/>
      <c r="BF4" s="465" t="s">
        <v>452</v>
      </c>
      <c r="BG4" s="466"/>
      <c r="BH4" s="462" t="s">
        <v>419</v>
      </c>
      <c r="BI4" s="463"/>
      <c r="BJ4" s="464"/>
      <c r="BK4" s="154"/>
      <c r="BP4" s="465" t="s">
        <v>447</v>
      </c>
      <c r="BQ4" s="466"/>
      <c r="BR4" s="462" t="s">
        <v>431</v>
      </c>
      <c r="BS4" s="463"/>
      <c r="BT4" s="464"/>
      <c r="BU4" s="154"/>
      <c r="BZ4" s="136"/>
    </row>
    <row r="5" spans="1:81" x14ac:dyDescent="0.3">
      <c r="A5" s="136"/>
      <c r="C5" s="467"/>
      <c r="D5" s="468"/>
      <c r="E5" s="155" t="s">
        <v>420</v>
      </c>
      <c r="F5" s="155" t="s">
        <v>421</v>
      </c>
      <c r="G5" s="155" t="s">
        <v>422</v>
      </c>
      <c r="H5" s="156" t="s">
        <v>40</v>
      </c>
      <c r="N5" s="153"/>
      <c r="R5" s="467"/>
      <c r="S5" s="468"/>
      <c r="T5" s="155" t="s">
        <v>432</v>
      </c>
      <c r="U5" s="155" t="s">
        <v>421</v>
      </c>
      <c r="V5" s="155" t="s">
        <v>422</v>
      </c>
      <c r="W5" s="156" t="s">
        <v>40</v>
      </c>
      <c r="AB5" s="467"/>
      <c r="AC5" s="468"/>
      <c r="AD5" s="155" t="s">
        <v>448</v>
      </c>
      <c r="AE5" s="155" t="s">
        <v>445</v>
      </c>
      <c r="AF5" s="155" t="s">
        <v>434</v>
      </c>
      <c r="AG5" s="156" t="s">
        <v>40</v>
      </c>
      <c r="AL5" s="467"/>
      <c r="AM5" s="468"/>
      <c r="AN5" s="155" t="s">
        <v>448</v>
      </c>
      <c r="AO5" s="155" t="s">
        <v>445</v>
      </c>
      <c r="AP5" s="155" t="s">
        <v>434</v>
      </c>
      <c r="AQ5" s="156" t="s">
        <v>40</v>
      </c>
      <c r="AV5" s="467"/>
      <c r="AW5" s="468"/>
      <c r="AX5" s="155" t="s">
        <v>448</v>
      </c>
      <c r="AY5" s="155" t="s">
        <v>444</v>
      </c>
      <c r="AZ5" s="155" t="s">
        <v>434</v>
      </c>
      <c r="BA5" s="156" t="s">
        <v>40</v>
      </c>
      <c r="BF5" s="467"/>
      <c r="BG5" s="468"/>
      <c r="BH5" s="155" t="s">
        <v>448</v>
      </c>
      <c r="BI5" s="155" t="s">
        <v>445</v>
      </c>
      <c r="BJ5" s="155" t="s">
        <v>434</v>
      </c>
      <c r="BK5" s="156" t="s">
        <v>40</v>
      </c>
      <c r="BP5" s="467"/>
      <c r="BQ5" s="468"/>
      <c r="BR5" s="155" t="s">
        <v>448</v>
      </c>
      <c r="BS5" s="155" t="s">
        <v>445</v>
      </c>
      <c r="BT5" s="155" t="s">
        <v>434</v>
      </c>
      <c r="BU5" s="156" t="s">
        <v>40</v>
      </c>
      <c r="BZ5" s="136"/>
    </row>
    <row r="6" spans="1:81" x14ac:dyDescent="0.3">
      <c r="A6" s="136"/>
      <c r="C6" s="457" t="s">
        <v>418</v>
      </c>
      <c r="D6" s="155" t="str">
        <f>E5</f>
        <v xml:space="preserve"> (1) Healthy</v>
      </c>
      <c r="E6" s="157" t="s">
        <v>423</v>
      </c>
      <c r="F6" s="158" t="s">
        <v>9</v>
      </c>
      <c r="G6" s="159" t="s">
        <v>423</v>
      </c>
      <c r="H6" s="160">
        <f>SUM(M12:N12)</f>
        <v>1</v>
      </c>
      <c r="R6" s="457" t="s">
        <v>418</v>
      </c>
      <c r="S6" s="155" t="str">
        <f>T5</f>
        <v xml:space="preserve"> (1) DCIS</v>
      </c>
      <c r="T6" s="157">
        <f>1-V6</f>
        <v>0.99421678752843079</v>
      </c>
      <c r="U6" s="158" t="s">
        <v>9</v>
      </c>
      <c r="V6" s="159">
        <f>1-EXP(-(1-p_sobrev_DCIS)/10)</f>
        <v>5.7832124715692101E-3</v>
      </c>
      <c r="W6" s="160">
        <f>SUM(T6:V6)</f>
        <v>1</v>
      </c>
      <c r="AB6" s="457" t="s">
        <v>433</v>
      </c>
      <c r="AC6" s="155" t="str">
        <f>AD5</f>
        <v>(1) Local/regional</v>
      </c>
      <c r="AD6" s="157">
        <f>1-AF6</f>
        <v>0.9826522356650732</v>
      </c>
      <c r="AE6" s="158" t="s">
        <v>9</v>
      </c>
      <c r="AF6" s="159">
        <f>1-EXP(-(1-p_sobrev_CIntervalo)/10)</f>
        <v>1.7347764334926796E-2</v>
      </c>
      <c r="AG6" s="160">
        <f>SUM(AD6:AF6)</f>
        <v>1</v>
      </c>
      <c r="AL6" s="457" t="s">
        <v>433</v>
      </c>
      <c r="AM6" s="155" t="str">
        <f>AN5</f>
        <v>(1) Local/regional</v>
      </c>
      <c r="AN6" s="157">
        <f>1-(AP6+AO6)</f>
        <v>0.99737837707256971</v>
      </c>
      <c r="AO6" s="159">
        <f>slmd_tnm1</f>
        <v>2.5000000000000001E-5</v>
      </c>
      <c r="AP6" s="159">
        <f>1-EXP(-(1-p_sobrev_TNM1)/5)</f>
        <v>2.5966229274302366E-3</v>
      </c>
      <c r="AQ6" s="160">
        <f>SUM(AN6:AP6)</f>
        <v>1</v>
      </c>
      <c r="AV6" s="457" t="s">
        <v>433</v>
      </c>
      <c r="AW6" s="155" t="str">
        <f>AX5</f>
        <v>(1) Local/regional</v>
      </c>
      <c r="AX6" s="157">
        <f>1-(AZ6+AY6)</f>
        <v>0.88168938032248245</v>
      </c>
      <c r="AY6" s="159">
        <f>slmd_tnm2</f>
        <v>0.105</v>
      </c>
      <c r="AZ6" s="159">
        <f>1-EXP(-(1-p_sobrev_TNM2)/5)</f>
        <v>1.3310619677517566E-2</v>
      </c>
      <c r="BA6" s="160">
        <f>SUM(AX6:AZ6)</f>
        <v>1</v>
      </c>
      <c r="BF6" s="457" t="s">
        <v>433</v>
      </c>
      <c r="BG6" s="155" t="str">
        <f>BH5</f>
        <v>(1) Local/regional</v>
      </c>
      <c r="BH6" s="157">
        <f>1-(BJ6+BI6)</f>
        <v>0.86777739994940994</v>
      </c>
      <c r="BI6" s="159">
        <f>slmd_tnm3</f>
        <v>0.105</v>
      </c>
      <c r="BJ6" s="159">
        <f>1-EXP(-(1-p_sobrev_TNM3)/5)</f>
        <v>2.7222600050590073E-2</v>
      </c>
      <c r="BK6" s="160">
        <f>SUM(BH6:BJ6)</f>
        <v>1</v>
      </c>
      <c r="BP6" s="457" t="s">
        <v>418</v>
      </c>
      <c r="BQ6" s="155" t="str">
        <f>BR5</f>
        <v>(1) Local/regional</v>
      </c>
      <c r="BR6" s="178" t="s">
        <v>9</v>
      </c>
      <c r="BS6" s="178" t="s">
        <v>9</v>
      </c>
      <c r="BT6" s="178" t="s">
        <v>9</v>
      </c>
      <c r="BU6" s="160">
        <f>SUM(BR6:BT6)</f>
        <v>0</v>
      </c>
      <c r="BZ6" s="136"/>
    </row>
    <row r="7" spans="1:81" x14ac:dyDescent="0.3">
      <c r="A7" s="136"/>
      <c r="C7" s="458"/>
      <c r="D7" s="155" t="str">
        <f>F5</f>
        <v xml:space="preserve"> (2) NA</v>
      </c>
      <c r="E7" s="161" t="s">
        <v>41</v>
      </c>
      <c r="F7" s="162" t="s">
        <v>9</v>
      </c>
      <c r="G7" s="162" t="s">
        <v>9</v>
      </c>
      <c r="H7" s="160">
        <f>SUM(E7:G7)</f>
        <v>0</v>
      </c>
      <c r="R7" s="458"/>
      <c r="S7" s="155" t="str">
        <f>U5</f>
        <v xml:space="preserve"> (2) NA</v>
      </c>
      <c r="T7" s="161" t="s">
        <v>41</v>
      </c>
      <c r="U7" s="162" t="s">
        <v>9</v>
      </c>
      <c r="V7" s="162" t="s">
        <v>9</v>
      </c>
      <c r="W7" s="160">
        <f>SUM(T7:V7)</f>
        <v>0</v>
      </c>
      <c r="AB7" s="458"/>
      <c r="AC7" s="155" t="str">
        <f>AE5</f>
        <v>(2) Distant metastasis</v>
      </c>
      <c r="AD7" s="161" t="s">
        <v>41</v>
      </c>
      <c r="AE7" s="162" t="s">
        <v>9</v>
      </c>
      <c r="AF7" s="162" t="s">
        <v>9</v>
      </c>
      <c r="AG7" s="160">
        <f>SUM(AD7:AF7)</f>
        <v>0</v>
      </c>
      <c r="AL7" s="458"/>
      <c r="AM7" s="155" t="str">
        <f>AO5</f>
        <v>(2) Distant metastasis</v>
      </c>
      <c r="AN7" s="161" t="s">
        <v>41</v>
      </c>
      <c r="AO7" s="162">
        <f>1-AP7</f>
        <v>0.88834064527977719</v>
      </c>
      <c r="AP7" s="159">
        <f>1-EXP(-(1-p_sobrev_TNM4)/5)</f>
        <v>0.11165935472022281</v>
      </c>
      <c r="AQ7" s="160">
        <f>SUM(AN7:AP7)</f>
        <v>1</v>
      </c>
      <c r="AV7" s="458"/>
      <c r="AW7" s="155" t="str">
        <f>AY5</f>
        <v xml:space="preserve">(2) Distant metastasis </v>
      </c>
      <c r="AX7" s="161" t="s">
        <v>41</v>
      </c>
      <c r="AY7" s="162">
        <f>1-AZ7</f>
        <v>0.88834064527977719</v>
      </c>
      <c r="AZ7" s="159">
        <f>1-EXP(-(1-p_sobrev_TNM4)/5)</f>
        <v>0.11165935472022281</v>
      </c>
      <c r="BA7" s="160">
        <f>SUM(AX7:AZ7)</f>
        <v>1</v>
      </c>
      <c r="BF7" s="458"/>
      <c r="BG7" s="155" t="str">
        <f>BI5</f>
        <v>(2) Distant metastasis</v>
      </c>
      <c r="BH7" s="161" t="s">
        <v>41</v>
      </c>
      <c r="BI7" s="162">
        <f>1-BJ7</f>
        <v>0.88834064527977719</v>
      </c>
      <c r="BJ7" s="159">
        <f>1-EXP(-(1-p_sobrev_TNM4)/5)</f>
        <v>0.11165935472022281</v>
      </c>
      <c r="BK7" s="160">
        <f>SUM(BH7:BJ7)</f>
        <v>1</v>
      </c>
      <c r="BP7" s="458"/>
      <c r="BQ7" s="155" t="str">
        <f>BS5</f>
        <v>(2) Distant metastasis</v>
      </c>
      <c r="BR7" s="161" t="s">
        <v>41</v>
      </c>
      <c r="BS7" s="162">
        <f>1-BT7</f>
        <v>0.88834064527977719</v>
      </c>
      <c r="BT7" s="159">
        <f>1-EXP(-(1-p_sobrev_TNM4)/5)</f>
        <v>0.11165935472022281</v>
      </c>
      <c r="BU7" s="160">
        <f>SUM(BR7:BT7)</f>
        <v>1</v>
      </c>
      <c r="BZ7" s="136"/>
    </row>
    <row r="8" spans="1:81" x14ac:dyDescent="0.3">
      <c r="A8" s="136"/>
      <c r="C8" s="459"/>
      <c r="D8" s="155" t="s">
        <v>422</v>
      </c>
      <c r="E8" s="161" t="s">
        <v>41</v>
      </c>
      <c r="F8" s="163" t="s">
        <v>41</v>
      </c>
      <c r="G8" s="162">
        <f>1</f>
        <v>1</v>
      </c>
      <c r="H8" s="160">
        <f>SUM(E8:E8,G8:G8)</f>
        <v>1</v>
      </c>
      <c r="N8" s="63"/>
      <c r="R8" s="459"/>
      <c r="S8" s="155" t="s">
        <v>434</v>
      </c>
      <c r="T8" s="161" t="s">
        <v>41</v>
      </c>
      <c r="U8" s="163" t="s">
        <v>41</v>
      </c>
      <c r="V8" s="162">
        <f>1</f>
        <v>1</v>
      </c>
      <c r="W8" s="160">
        <f>SUM(T8:T8,V8:V8)</f>
        <v>1</v>
      </c>
      <c r="AB8" s="459"/>
      <c r="AC8" s="155" t="s">
        <v>434</v>
      </c>
      <c r="AD8" s="161" t="s">
        <v>41</v>
      </c>
      <c r="AE8" s="163" t="s">
        <v>41</v>
      </c>
      <c r="AF8" s="162">
        <f>1</f>
        <v>1</v>
      </c>
      <c r="AG8" s="160">
        <f>SUM(AD8:AD8,AF8:AF8)</f>
        <v>1</v>
      </c>
      <c r="AL8" s="459"/>
      <c r="AM8" s="155" t="s">
        <v>434</v>
      </c>
      <c r="AN8" s="161" t="s">
        <v>41</v>
      </c>
      <c r="AO8" s="163" t="s">
        <v>41</v>
      </c>
      <c r="AP8" s="162">
        <f>1</f>
        <v>1</v>
      </c>
      <c r="AQ8" s="160">
        <f>SUM(AN8:AN8,AP8:AP8)</f>
        <v>1</v>
      </c>
      <c r="AV8" s="459"/>
      <c r="AW8" s="155" t="s">
        <v>434</v>
      </c>
      <c r="AX8" s="161" t="s">
        <v>41</v>
      </c>
      <c r="AY8" s="163" t="s">
        <v>41</v>
      </c>
      <c r="AZ8" s="162">
        <f>1</f>
        <v>1</v>
      </c>
      <c r="BA8" s="160">
        <f>SUM(AX8:AX8,AZ8:AZ8)</f>
        <v>1</v>
      </c>
      <c r="BF8" s="459"/>
      <c r="BG8" s="155" t="s">
        <v>434</v>
      </c>
      <c r="BH8" s="161" t="s">
        <v>41</v>
      </c>
      <c r="BI8" s="163" t="s">
        <v>41</v>
      </c>
      <c r="BJ8" s="162">
        <f>1</f>
        <v>1</v>
      </c>
      <c r="BK8" s="160">
        <f>SUM(BH8:BH8,BJ8:BJ8)</f>
        <v>1</v>
      </c>
      <c r="BP8" s="459"/>
      <c r="BQ8" s="155" t="s">
        <v>434</v>
      </c>
      <c r="BR8" s="161" t="s">
        <v>41</v>
      </c>
      <c r="BS8" s="163" t="s">
        <v>41</v>
      </c>
      <c r="BT8" s="162">
        <f>1</f>
        <v>1</v>
      </c>
      <c r="BU8" s="160">
        <f>SUM(BR8:BR8,BT8:BT8)</f>
        <v>1</v>
      </c>
      <c r="BZ8" s="136"/>
    </row>
    <row r="9" spans="1:81" x14ac:dyDescent="0.3">
      <c r="A9" s="136"/>
      <c r="BZ9" s="136"/>
    </row>
    <row r="10" spans="1:81" ht="15" customHeight="1" x14ac:dyDescent="0.3">
      <c r="A10" s="136"/>
      <c r="G10" s="137"/>
      <c r="H10" s="456" t="s">
        <v>425</v>
      </c>
      <c r="I10" s="456"/>
      <c r="L10" s="460" t="s">
        <v>427</v>
      </c>
      <c r="M10" s="461"/>
      <c r="N10" s="461"/>
      <c r="V10" s="137"/>
      <c r="W10" s="456" t="s">
        <v>425</v>
      </c>
      <c r="X10" s="456"/>
      <c r="AF10" s="137"/>
      <c r="AG10" s="456" t="s">
        <v>425</v>
      </c>
      <c r="AH10" s="456"/>
      <c r="AP10" s="137"/>
      <c r="AQ10" s="456" t="s">
        <v>425</v>
      </c>
      <c r="AR10" s="456"/>
      <c r="AZ10" s="137"/>
      <c r="BA10" s="456" t="s">
        <v>425</v>
      </c>
      <c r="BB10" s="456"/>
      <c r="BJ10" s="137"/>
      <c r="BK10" s="456" t="s">
        <v>425</v>
      </c>
      <c r="BL10" s="456"/>
      <c r="BT10" s="137"/>
      <c r="BU10" s="456" t="s">
        <v>425</v>
      </c>
      <c r="BV10" s="456"/>
      <c r="BZ10" s="136"/>
    </row>
    <row r="11" spans="1:81" x14ac:dyDescent="0.3">
      <c r="A11" s="136"/>
      <c r="C11" s="138" t="s">
        <v>424</v>
      </c>
      <c r="D11" s="138" t="str">
        <f>E5</f>
        <v xml:space="preserve"> (1) Healthy</v>
      </c>
      <c r="E11" s="138" t="str">
        <f t="shared" ref="E11:F11" si="0">F5</f>
        <v xml:space="preserve"> (2) NA</v>
      </c>
      <c r="F11" s="138" t="str">
        <f t="shared" si="0"/>
        <v xml:space="preserve"> (3) Death</v>
      </c>
      <c r="G11" s="138" t="s">
        <v>42</v>
      </c>
      <c r="H11" s="139" t="s">
        <v>426</v>
      </c>
      <c r="I11" s="139" t="s">
        <v>43</v>
      </c>
      <c r="L11" s="164" t="s">
        <v>424</v>
      </c>
      <c r="M11" s="140" t="s">
        <v>44</v>
      </c>
      <c r="N11" s="140" t="s">
        <v>45</v>
      </c>
      <c r="R11" s="138" t="s">
        <v>424</v>
      </c>
      <c r="S11" s="138" t="str">
        <f>T5</f>
        <v xml:space="preserve"> (1) DCIS</v>
      </c>
      <c r="T11" s="138" t="str">
        <f t="shared" ref="T11:U11" si="1">U5</f>
        <v xml:space="preserve"> (2) NA</v>
      </c>
      <c r="U11" s="138" t="str">
        <f t="shared" si="1"/>
        <v xml:space="preserve"> (3) Death</v>
      </c>
      <c r="V11" s="138" t="s">
        <v>42</v>
      </c>
      <c r="W11" s="139" t="s">
        <v>426</v>
      </c>
      <c r="X11" s="139" t="s">
        <v>43</v>
      </c>
      <c r="AB11" s="138" t="s">
        <v>424</v>
      </c>
      <c r="AC11" s="138" t="str">
        <f>AD5</f>
        <v>(1) Local/regional</v>
      </c>
      <c r="AD11" s="138" t="str">
        <f t="shared" ref="AD11:AE11" si="2">AE5</f>
        <v>(2) Distant metastasis</v>
      </c>
      <c r="AE11" s="138" t="str">
        <f t="shared" si="2"/>
        <v>(3) Death</v>
      </c>
      <c r="AF11" s="138" t="s">
        <v>42</v>
      </c>
      <c r="AG11" s="139" t="s">
        <v>435</v>
      </c>
      <c r="AH11" s="139" t="s">
        <v>43</v>
      </c>
      <c r="AL11" s="138" t="s">
        <v>424</v>
      </c>
      <c r="AM11" s="138" t="str">
        <f>AN5</f>
        <v>(1) Local/regional</v>
      </c>
      <c r="AN11" s="138" t="str">
        <f t="shared" ref="AN11:AO11" si="3">AO5</f>
        <v>(2) Distant metastasis</v>
      </c>
      <c r="AO11" s="138" t="str">
        <f t="shared" si="3"/>
        <v>(3) Death</v>
      </c>
      <c r="AP11" s="138" t="s">
        <v>42</v>
      </c>
      <c r="AQ11" s="139" t="s">
        <v>435</v>
      </c>
      <c r="AR11" s="139" t="s">
        <v>43</v>
      </c>
      <c r="AV11" s="138" t="s">
        <v>424</v>
      </c>
      <c r="AW11" s="138" t="str">
        <f>AX5</f>
        <v>(1) Local/regional</v>
      </c>
      <c r="AX11" s="138" t="str">
        <f t="shared" ref="AX11:AY11" si="4">AY5</f>
        <v xml:space="preserve">(2) Distant metastasis </v>
      </c>
      <c r="AY11" s="138" t="str">
        <f t="shared" si="4"/>
        <v>(3) Death</v>
      </c>
      <c r="AZ11" s="138" t="s">
        <v>42</v>
      </c>
      <c r="BA11" s="139" t="s">
        <v>435</v>
      </c>
      <c r="BB11" s="139" t="s">
        <v>43</v>
      </c>
      <c r="BF11" s="138" t="s">
        <v>424</v>
      </c>
      <c r="BG11" s="138" t="str">
        <f>BH5</f>
        <v>(1) Local/regional</v>
      </c>
      <c r="BH11" s="138" t="str">
        <f t="shared" ref="BH11" si="5">BI5</f>
        <v>(2) Distant metastasis</v>
      </c>
      <c r="BI11" s="138" t="str">
        <f t="shared" ref="BI11" si="6">BJ5</f>
        <v>(3) Death</v>
      </c>
      <c r="BJ11" s="138" t="s">
        <v>42</v>
      </c>
      <c r="BK11" s="139" t="s">
        <v>435</v>
      </c>
      <c r="BL11" s="139" t="s">
        <v>43</v>
      </c>
      <c r="BP11" s="138" t="s">
        <v>424</v>
      </c>
      <c r="BQ11" s="138" t="str">
        <f>BR5</f>
        <v>(1) Local/regional</v>
      </c>
      <c r="BR11" s="138" t="str">
        <f t="shared" ref="BR11:BS11" si="7">BS5</f>
        <v>(2) Distant metastasis</v>
      </c>
      <c r="BS11" s="138" t="str">
        <f t="shared" si="7"/>
        <v>(3) Death</v>
      </c>
      <c r="BT11" s="138" t="s">
        <v>42</v>
      </c>
      <c r="BU11" s="139" t="s">
        <v>435</v>
      </c>
      <c r="BV11" s="139" t="s">
        <v>43</v>
      </c>
      <c r="BZ11" s="136"/>
    </row>
    <row r="12" spans="1:81" x14ac:dyDescent="0.3">
      <c r="A12" s="136"/>
      <c r="B12">
        <f>IF(C12&lt;=Presentation!$F$34,1,0)</f>
        <v>1</v>
      </c>
      <c r="C12" s="141">
        <v>0</v>
      </c>
      <c r="D12" s="142">
        <v>1</v>
      </c>
      <c r="E12" s="143"/>
      <c r="F12" s="143">
        <v>0</v>
      </c>
      <c r="G12" s="144" t="str">
        <f>IF(SUM(D12:F12)=$D$12,"ok",IF(SUM(D12:F12)=0,"ok","checar"))</f>
        <v>ok</v>
      </c>
      <c r="H12" s="145">
        <f t="shared" ref="H12:H43" si="8">(SUM(D12:E12)*H48)</f>
        <v>1</v>
      </c>
      <c r="I12" s="145">
        <f>(Model!N69*u_FP)+(Model!N73*u_FP)+(Model!N86*u_FP)+(Model!N96*u_VN)</f>
        <v>0.88740382943110374</v>
      </c>
      <c r="L12" s="80">
        <v>0</v>
      </c>
      <c r="M12" s="145">
        <f>1-N12</f>
        <v>0.99855195004753228</v>
      </c>
      <c r="N12" s="145">
        <f>INDEX('Table of Life'!$E$8:$E$108,MATCH(MIN(idade_entrada+Markov!C12,100),'Table of Life'!$D$8:$D$108))</f>
        <v>1.4480499524677749E-3</v>
      </c>
      <c r="Q12">
        <f>IF(R12&lt;=Presentation!$F$34,1,0)</f>
        <v>1</v>
      </c>
      <c r="R12" s="141">
        <v>0</v>
      </c>
      <c r="S12" s="142">
        <v>1</v>
      </c>
      <c r="T12" s="143"/>
      <c r="U12" s="143">
        <v>0</v>
      </c>
      <c r="V12" s="144" t="str">
        <f>IF(SUM(S12:U12)=$D$12,"ok",IF(SUM(S12:U12)=0,"ok","checar"))</f>
        <v>ok</v>
      </c>
      <c r="W12" s="145">
        <f t="shared" ref="W12:W43" si="9">(SUM(S12:T12)*W48)</f>
        <v>1</v>
      </c>
      <c r="X12" s="145">
        <f t="shared" ref="X12:X43" si="10">W12*u_DCIS</f>
        <v>0.81</v>
      </c>
      <c r="AA12">
        <f>IF(AB12&lt;=Presentation!$F$34,1,0)</f>
        <v>1</v>
      </c>
      <c r="AB12" s="141">
        <v>0</v>
      </c>
      <c r="AC12" s="142">
        <v>1</v>
      </c>
      <c r="AD12" s="143"/>
      <c r="AE12" s="143">
        <v>0</v>
      </c>
      <c r="AF12" s="144" t="str">
        <f>IF(SUM(AC12:AE12)=$D$12,"ok",IF(SUM(AC12:AE12)=0,"ok","checar"))</f>
        <v>ok</v>
      </c>
      <c r="AG12" s="145">
        <f t="shared" ref="AG12:AG43" si="11">(SUM(AC12:AD12)*AG48)</f>
        <v>1</v>
      </c>
      <c r="AH12" s="145">
        <f t="shared" ref="AH12:AH43" si="12">AG12*u_cancer_interv</f>
        <v>0.8</v>
      </c>
      <c r="AK12">
        <f>IF(AL12&lt;=Presentation!$F$34,1,0)</f>
        <v>1</v>
      </c>
      <c r="AL12" s="141">
        <v>0</v>
      </c>
      <c r="AM12" s="142">
        <v>1</v>
      </c>
      <c r="AN12" s="143">
        <v>0</v>
      </c>
      <c r="AO12" s="143">
        <v>0</v>
      </c>
      <c r="AP12" s="144" t="str">
        <f>IF(SUM(AM12:AO12)=$D$12,"ok",IF(SUM(AM12:AO12)=0,"ok","checar"))</f>
        <v>ok</v>
      </c>
      <c r="AQ12" s="145">
        <f t="shared" ref="AQ12:AQ43" si="13">(SUM(AM12:AN12)*AQ48)</f>
        <v>1</v>
      </c>
      <c r="AR12" s="145">
        <f t="shared" ref="AR12:AR43" si="14">AM12*u_TNM1*AQ48+AN12*u_TNM4*AQ48</f>
        <v>0.81</v>
      </c>
      <c r="AU12">
        <f>IF(AV12&lt;=Presentation!$F$34,1,0)</f>
        <v>1</v>
      </c>
      <c r="AV12" s="141">
        <v>0</v>
      </c>
      <c r="AW12" s="142">
        <v>1</v>
      </c>
      <c r="AX12" s="143">
        <v>0</v>
      </c>
      <c r="AY12" s="143">
        <v>0</v>
      </c>
      <c r="AZ12" s="144" t="str">
        <f>IF(SUM(AW12:AY12)=$D$12,"ok",IF(SUM(AW12:AY12)=0,"ok","checar"))</f>
        <v>ok</v>
      </c>
      <c r="BA12" s="145">
        <f t="shared" ref="BA12:BA43" si="15">(SUM(AW12:AX12)*BA48)</f>
        <v>1</v>
      </c>
      <c r="BB12" s="145">
        <f t="shared" ref="BB12:BB43" si="16">AW12*u_TNM2*BA48+AX12*u_TNM4*BA48</f>
        <v>0.81</v>
      </c>
      <c r="BE12">
        <f>IF(BF12&lt;=Presentation!$F$34,1,0)</f>
        <v>1</v>
      </c>
      <c r="BF12" s="141">
        <v>0</v>
      </c>
      <c r="BG12" s="142">
        <v>1</v>
      </c>
      <c r="BH12" s="143">
        <v>0</v>
      </c>
      <c r="BI12" s="143">
        <v>0</v>
      </c>
      <c r="BJ12" s="144" t="str">
        <f>IF(SUM(BG12:BI12)=$D$12,"ok",IF(SUM(BG12:BI12)=0,"ok","checar"))</f>
        <v>ok</v>
      </c>
      <c r="BK12" s="145">
        <f t="shared" ref="BK12:BK43" si="17">(SUM(BG12:BH12)*BK48)</f>
        <v>1</v>
      </c>
      <c r="BL12" s="145">
        <f t="shared" ref="BL12:BL43" si="18">BG12*u_TNM3*BK48+BH12*u_TNM4*BK48</f>
        <v>0.81</v>
      </c>
      <c r="BO12">
        <f>IF(BP12&lt;=Presentation!$F$34,1,0)</f>
        <v>1</v>
      </c>
      <c r="BP12" s="141">
        <v>0</v>
      </c>
      <c r="BQ12" s="144"/>
      <c r="BR12" s="142">
        <v>1</v>
      </c>
      <c r="BS12" s="143">
        <v>0</v>
      </c>
      <c r="BT12" s="144" t="str">
        <f>IF(SUM(BQ12:BS12)=$D$12,"ok",IF(SUM(BQ12:BS12)=0,"ok","checar"))</f>
        <v>ok</v>
      </c>
      <c r="BU12" s="145">
        <f t="shared" ref="BU12:BU43" si="19">(SUM(BQ12:BR12)*BU48)</f>
        <v>1</v>
      </c>
      <c r="BV12" s="145">
        <f t="shared" ref="BV12:BV43" si="20">BU12*u_TNM4</f>
        <v>0.77</v>
      </c>
      <c r="BZ12" s="136"/>
    </row>
    <row r="13" spans="1:81" x14ac:dyDescent="0.3">
      <c r="A13" s="136"/>
      <c r="B13">
        <f>IF(C13&lt;=Presentation!$F$34,1,0)</f>
        <v>1</v>
      </c>
      <c r="C13" s="146">
        <v>1</v>
      </c>
      <c r="D13" s="144">
        <f>(D12*M12)*B13</f>
        <v>0.99855195004753228</v>
      </c>
      <c r="E13" s="144"/>
      <c r="F13" s="144">
        <f>(D12*N12+F12)*B13</f>
        <v>1.4480499524677749E-3</v>
      </c>
      <c r="G13" s="144" t="str">
        <f t="shared" ref="G13:G43" si="21">IF(SUM(D13:F13)=$D$12,"ok",IF(SUM(D13:F13)=0,"ok","checar"))</f>
        <v>ok</v>
      </c>
      <c r="H13" s="145">
        <f t="shared" si="8"/>
        <v>0.99855195004753228</v>
      </c>
      <c r="I13" s="145">
        <f t="shared" ref="I13:I43" si="22">H13*u_sem_CM</f>
        <v>0.82879811853945173</v>
      </c>
      <c r="L13" s="80">
        <v>1</v>
      </c>
      <c r="M13" s="145">
        <f t="shared" ref="M13:M43" si="23">1-N13</f>
        <v>0.99842560178893647</v>
      </c>
      <c r="N13" s="145">
        <f>INDEX('Table of Life'!$E$8:$E$108,MATCH(MIN(idade_entrada+Markov!C13,100),'Table of Life'!$D$8:$D$108))</f>
        <v>1.5743982110635445E-3</v>
      </c>
      <c r="Q13">
        <f>IF(R13&lt;=Presentation!$F$34,1,0)</f>
        <v>1</v>
      </c>
      <c r="R13" s="146">
        <v>1</v>
      </c>
      <c r="S13" s="144">
        <f>(S12*$T$6)*Q13</f>
        <v>0.99421678752843079</v>
      </c>
      <c r="T13" s="144"/>
      <c r="U13" s="144">
        <f>(S12*$V$6+U12)*Q13</f>
        <v>5.7832124715692101E-3</v>
      </c>
      <c r="V13" s="144" t="str">
        <f t="shared" ref="V13" si="24">IF(SUM(S13:U13)=$D$12,"ok",IF(SUM(S13:U13)=0,"ok","checar"))</f>
        <v>ok</v>
      </c>
      <c r="W13" s="145">
        <f t="shared" si="9"/>
        <v>0.99421678752843079</v>
      </c>
      <c r="X13" s="145">
        <f t="shared" si="10"/>
        <v>0.80531559789802898</v>
      </c>
      <c r="AA13">
        <f>IF(AB13&lt;=Presentation!$F$34,1,0)</f>
        <v>1</v>
      </c>
      <c r="AB13" s="146">
        <v>1</v>
      </c>
      <c r="AC13" s="144">
        <f t="shared" ref="AC13:AC43" si="25">(AC12*$AD$6)*AA13</f>
        <v>0.9826522356650732</v>
      </c>
      <c r="AD13" s="144"/>
      <c r="AE13" s="144">
        <f t="shared" ref="AE13:AE43" si="26">(AC12*$AF$6+AE12)*AA13</f>
        <v>1.7347764334926796E-2</v>
      </c>
      <c r="AF13" s="144" t="str">
        <f t="shared" ref="AF13" si="27">IF(SUM(AC13:AE13)=$D$12,"ok",IF(SUM(AC13:AE13)=0,"ok","checar"))</f>
        <v>ok</v>
      </c>
      <c r="AG13" s="145">
        <f t="shared" si="11"/>
        <v>0.9826522356650732</v>
      </c>
      <c r="AH13" s="145">
        <f t="shared" si="12"/>
        <v>0.78612178853205861</v>
      </c>
      <c r="AK13">
        <f>IF(AL13&lt;=Presentation!$F$34,1,0)</f>
        <v>1</v>
      </c>
      <c r="AL13" s="146">
        <v>1</v>
      </c>
      <c r="AM13" s="144">
        <f>(AM12*$AN$6)*AK13</f>
        <v>0.99737837707256971</v>
      </c>
      <c r="AN13" s="144">
        <f>(AM12*$AO$6+AN12*$AO$7)*AK13</f>
        <v>2.5000000000000001E-5</v>
      </c>
      <c r="AO13" s="144">
        <f>(AM12*$AP$6+AN12*$AP$7+AO12)*AK13</f>
        <v>2.5966229274302366E-3</v>
      </c>
      <c r="AP13" s="144" t="str">
        <f t="shared" ref="AP13:AP43" si="28">IF(SUM(AM13:AO13)=$D$12,"ok",IF(SUM(AM13:AO13)=0,"ok","checar"))</f>
        <v>ok</v>
      </c>
      <c r="AQ13" s="145">
        <f t="shared" si="13"/>
        <v>0.99740337707256976</v>
      </c>
      <c r="AR13" s="145">
        <f t="shared" si="14"/>
        <v>0.80789573542878157</v>
      </c>
      <c r="AU13">
        <f>IF(AV13&lt;=Presentation!$F$34,1,0)</f>
        <v>1</v>
      </c>
      <c r="AV13" s="146">
        <v>1</v>
      </c>
      <c r="AW13" s="144">
        <f>(AW12*$AX$6)*AU13</f>
        <v>0.88168938032248245</v>
      </c>
      <c r="AX13" s="144">
        <f>(AW12*$AY$6+AX12*$AY$7)*AU13</f>
        <v>0.105</v>
      </c>
      <c r="AY13" s="144">
        <f>(AW12*$AZ$6+AX12*$AZ$7+AY12)*AU13</f>
        <v>1.3310619677517566E-2</v>
      </c>
      <c r="AZ13" s="144" t="str">
        <f t="shared" ref="AZ13" si="29">IF(SUM(AW13:AY13)=$D$12,"ok",IF(SUM(AW13:AY13)=0,"ok","checar"))</f>
        <v>ok</v>
      </c>
      <c r="BA13" s="145">
        <f t="shared" si="15"/>
        <v>0.98668938032248243</v>
      </c>
      <c r="BB13" s="145">
        <f t="shared" si="16"/>
        <v>0.79501839806121077</v>
      </c>
      <c r="BE13">
        <f>IF(BF13&lt;=Presentation!$F$34,1,0)</f>
        <v>1</v>
      </c>
      <c r="BF13" s="146">
        <v>1</v>
      </c>
      <c r="BG13" s="144">
        <f>(BG12*$BH$6)*BE13</f>
        <v>0.86777739994940994</v>
      </c>
      <c r="BH13" s="144">
        <f>(BG12*$BI$6+BH12*$BI$7)*BE13</f>
        <v>0.105</v>
      </c>
      <c r="BI13" s="144">
        <f>(BG12*$BJ$6+BH12*$BJ$7+BI12)*BE13</f>
        <v>2.7222600050590073E-2</v>
      </c>
      <c r="BJ13" s="144" t="str">
        <f t="shared" ref="BJ13" si="30">IF(SUM(BG13:BI13)=$D$12,"ok",IF(SUM(BG13:BI13)=0,"ok","checar"))</f>
        <v>ok</v>
      </c>
      <c r="BK13" s="145">
        <f t="shared" si="17"/>
        <v>0.97277739994940993</v>
      </c>
      <c r="BL13" s="145">
        <f t="shared" si="18"/>
        <v>0.78374969395902205</v>
      </c>
      <c r="BO13">
        <f>IF(BP13&lt;=Presentation!$F$34,1,0)</f>
        <v>1</v>
      </c>
      <c r="BP13" s="146">
        <v>1</v>
      </c>
      <c r="BQ13" s="144"/>
      <c r="BR13" s="144">
        <f>(BR12*$BS$7)*BO13</f>
        <v>0.88834064527977719</v>
      </c>
      <c r="BS13" s="144">
        <f>(BR12*$BT$7+BS12)*BO13</f>
        <v>0.11165935472022281</v>
      </c>
      <c r="BT13" s="144" t="str">
        <f t="shared" ref="BT13" si="31">IF(SUM(BQ13:BS13)=$D$12,"ok",IF(SUM(BQ13:BS13)=0,"ok","checar"))</f>
        <v>ok</v>
      </c>
      <c r="BU13" s="145">
        <f t="shared" si="19"/>
        <v>0.88834064527977719</v>
      </c>
      <c r="BV13" s="145">
        <f t="shared" si="20"/>
        <v>0.68402229686542848</v>
      </c>
      <c r="BZ13" s="136"/>
    </row>
    <row r="14" spans="1:81" x14ac:dyDescent="0.3">
      <c r="A14" s="136"/>
      <c r="B14">
        <f>IF(C14&lt;=Presentation!$F$34,1,0)</f>
        <v>1</v>
      </c>
      <c r="C14" s="146">
        <v>2</v>
      </c>
      <c r="D14" s="144">
        <f t="shared" ref="D14:D43" si="32">(D13*M13)*B14</f>
        <v>0.99697983164372339</v>
      </c>
      <c r="E14" s="144"/>
      <c r="F14" s="144">
        <f t="shared" ref="F14:F43" si="33">(D13*N13+F13)*B14</f>
        <v>3.0201683562766238E-3</v>
      </c>
      <c r="G14" s="144" t="str">
        <f>IF(SUM(D14:F14)=$D$12,"ok",IF(SUM(D14:F14)=0,"ok","checar"))</f>
        <v>ok</v>
      </c>
      <c r="H14" s="145">
        <f t="shared" si="8"/>
        <v>0.9495046015654508</v>
      </c>
      <c r="I14" s="145">
        <f t="shared" si="22"/>
        <v>0.78808881929932417</v>
      </c>
      <c r="L14" s="80">
        <v>2</v>
      </c>
      <c r="M14" s="145">
        <f t="shared" si="23"/>
        <v>0.99828118084497053</v>
      </c>
      <c r="N14" s="145">
        <f>INDEX('Table of Life'!$E$8:$E$108,MATCH(MIN(idade_entrada+Markov!C14,100),'Table of Life'!$D$8:$D$108))</f>
        <v>1.7188191550294625E-3</v>
      </c>
      <c r="Q14">
        <f>IF(R14&lt;=Presentation!$F$34,1,0)</f>
        <v>1</v>
      </c>
      <c r="R14" s="146">
        <v>2</v>
      </c>
      <c r="S14" s="144">
        <f t="shared" ref="S14:S43" si="34">(S13*$T$6)*Q14</f>
        <v>0.9884670206033529</v>
      </c>
      <c r="T14" s="144"/>
      <c r="U14" s="144">
        <f t="shared" ref="U14:U43" si="35">(S13*$V$6+U13)*Q14</f>
        <v>1.1532979396647106E-2</v>
      </c>
      <c r="V14" s="144" t="str">
        <f>IF(SUM(S14:U14)=$D$12,"ok",IF(SUM(S14:U14)=0,"ok","checar"))</f>
        <v>ok</v>
      </c>
      <c r="W14" s="145">
        <f t="shared" si="9"/>
        <v>0.94139716247938365</v>
      </c>
      <c r="X14" s="145">
        <f t="shared" si="10"/>
        <v>0.76253170160830086</v>
      </c>
      <c r="AA14">
        <f>IF(AB14&lt;=Presentation!$F$34,1,0)</f>
        <v>1</v>
      </c>
      <c r="AB14" s="146">
        <v>2</v>
      </c>
      <c r="AC14" s="144">
        <f t="shared" si="25"/>
        <v>0.96560541625756657</v>
      </c>
      <c r="AD14" s="144"/>
      <c r="AE14" s="144">
        <f t="shared" si="26"/>
        <v>3.4394583742433434E-2</v>
      </c>
      <c r="AF14" s="144" t="str">
        <f>IF(SUM(AC14:AE14)=$D$12,"ok",IF(SUM(AC14:AE14)=0,"ok","checar"))</f>
        <v>ok</v>
      </c>
      <c r="AG14" s="145">
        <f t="shared" si="11"/>
        <v>0.91962420595958716</v>
      </c>
      <c r="AH14" s="145">
        <f t="shared" si="12"/>
        <v>0.73569936476766973</v>
      </c>
      <c r="AK14">
        <f>IF(AL14&lt;=Presentation!$F$34,1,0)</f>
        <v>1</v>
      </c>
      <c r="AL14" s="146">
        <v>2</v>
      </c>
      <c r="AM14" s="144">
        <f t="shared" ref="AM14:AM43" si="36">(AM13*$AN$6)*AK14</f>
        <v>0.99476362705191301</v>
      </c>
      <c r="AN14" s="144">
        <f t="shared" ref="AN14:AN43" si="37">(AM13*$AO$6+AN13*$AO$7)*AK14</f>
        <v>4.714297555880868E-5</v>
      </c>
      <c r="AO14" s="144">
        <f t="shared" ref="AO14:AO43" si="38">(AM13*$AP$6+AN13*$AP$7+AO13)*AK14</f>
        <v>5.1892299725280365E-3</v>
      </c>
      <c r="AP14" s="144" t="str">
        <f t="shared" si="28"/>
        <v>ok</v>
      </c>
      <c r="AQ14" s="145">
        <f t="shared" si="13"/>
        <v>0.94743882859759221</v>
      </c>
      <c r="AR14" s="145">
        <f t="shared" si="14"/>
        <v>0.76742365524117118</v>
      </c>
      <c r="AU14">
        <f>IF(AV14&lt;=Presentation!$F$34,1,0)</f>
        <v>1</v>
      </c>
      <c r="AV14" s="146">
        <v>2</v>
      </c>
      <c r="AW14" s="144">
        <f t="shared" ref="AW14:AW43" si="39">(AW13*$AX$6)*AU14</f>
        <v>0.77737616337344306</v>
      </c>
      <c r="AX14" s="144">
        <f t="shared" ref="AX14:AX43" si="40">(AW13*$AY$6+AX13*$AY$7)*AU14</f>
        <v>0.18585315268823727</v>
      </c>
      <c r="AY14" s="144">
        <f t="shared" ref="AY14:AY43" si="41">(AW13*$AZ$6+AX13*$AZ$7+AY13)*AU14</f>
        <v>3.6770683938319663E-2</v>
      </c>
      <c r="AZ14" s="144" t="str">
        <f>IF(SUM(AW14:AY14)=$D$12,"ok",IF(SUM(AW14:AY14)=0,"ok","checar"))</f>
        <v>ok</v>
      </c>
      <c r="BA14" s="145">
        <f t="shared" si="15"/>
        <v>0.91736125339207641</v>
      </c>
      <c r="BB14" s="145">
        <f t="shared" si="16"/>
        <v>0.735982495145173</v>
      </c>
      <c r="BE14">
        <f>IF(BF14&lt;=Presentation!$F$34,1,0)</f>
        <v>1</v>
      </c>
      <c r="BF14" s="146">
        <v>2</v>
      </c>
      <c r="BG14" s="144">
        <f t="shared" ref="BG14:BG43" si="42">(BG13*$BH$6)*BE14</f>
        <v>0.75303761586295814</v>
      </c>
      <c r="BH14" s="144">
        <f t="shared" ref="BH14:BH43" si="43">(BG13*$BI$6+BH13*$BI$7)*BE14</f>
        <v>0.18439239474906466</v>
      </c>
      <c r="BI14" s="144">
        <f t="shared" ref="BI14:BI43" si="44">(BG13*$BJ$6+BH13*$BJ$7+BI13)*BE14</f>
        <v>6.2569989387977198E-2</v>
      </c>
      <c r="BJ14" s="144" t="str">
        <f>IF(SUM(BG14:BI14)=$D$12,"ok",IF(SUM(BG14:BI14)=0,"ok","checar"))</f>
        <v>ok</v>
      </c>
      <c r="BK14" s="145">
        <f t="shared" si="17"/>
        <v>0.89279048629716451</v>
      </c>
      <c r="BL14" s="145">
        <f t="shared" si="18"/>
        <v>0.71613582171978662</v>
      </c>
      <c r="BO14">
        <f>IF(BP14&lt;=Presentation!$F$34,1,0)</f>
        <v>1</v>
      </c>
      <c r="BP14" s="146">
        <v>2</v>
      </c>
      <c r="BQ14" s="144"/>
      <c r="BR14" s="144">
        <f t="shared" ref="BR14:BR43" si="45">(BR13*$BS$7)*BO14</f>
        <v>0.7891491020560909</v>
      </c>
      <c r="BS14" s="144">
        <f t="shared" ref="BS14:BS43" si="46">(BR13*$BT$7+BS13)*BO14</f>
        <v>0.2108508979439091</v>
      </c>
      <c r="BT14" s="144" t="str">
        <f>IF(SUM(BQ14:BS14)=$D$12,"ok",IF(SUM(BQ14:BS14)=0,"ok","checar"))</f>
        <v>ok</v>
      </c>
      <c r="BU14" s="145">
        <f t="shared" si="19"/>
        <v>0.75157057338675315</v>
      </c>
      <c r="BV14" s="145">
        <f t="shared" si="20"/>
        <v>0.57870934150779996</v>
      </c>
      <c r="BZ14" s="136"/>
    </row>
    <row r="15" spans="1:81" x14ac:dyDescent="0.3">
      <c r="A15" s="136"/>
      <c r="B15">
        <f>IF(C15&lt;=Presentation!$F$34,1,0)</f>
        <v>1</v>
      </c>
      <c r="C15" s="146">
        <v>3</v>
      </c>
      <c r="D15" s="144">
        <f t="shared" si="32"/>
        <v>0.99526620361191609</v>
      </c>
      <c r="E15" s="144"/>
      <c r="F15" s="144">
        <f t="shared" si="33"/>
        <v>4.7337963880839037E-3</v>
      </c>
      <c r="G15" s="144" t="str">
        <f t="shared" si="21"/>
        <v>ok</v>
      </c>
      <c r="H15" s="145">
        <f t="shared" si="8"/>
        <v>0.90273578558903944</v>
      </c>
      <c r="I15" s="145">
        <f t="shared" si="22"/>
        <v>0.74927070203890267</v>
      </c>
      <c r="L15" s="80">
        <v>3</v>
      </c>
      <c r="M15" s="145">
        <f t="shared" si="23"/>
        <v>0.99811619657432948</v>
      </c>
      <c r="N15" s="145">
        <f>INDEX('Table of Life'!$E$8:$E$108,MATCH(MIN(idade_entrada+Markov!C15,100),'Table of Life'!$D$8:$D$108))</f>
        <v>1.8838034256705579E-3</v>
      </c>
      <c r="Q15">
        <f>IF(R15&lt;=Presentation!$F$34,1,0)</f>
        <v>1</v>
      </c>
      <c r="R15" s="146">
        <v>3</v>
      </c>
      <c r="S15" s="144">
        <f t="shared" si="34"/>
        <v>0.98275050580206469</v>
      </c>
      <c r="T15" s="144"/>
      <c r="U15" s="144">
        <f t="shared" si="35"/>
        <v>1.7249494197935276E-2</v>
      </c>
      <c r="V15" s="144" t="str">
        <f t="shared" ref="V15:V43" si="47">IF(SUM(S15:U15)=$D$12,"ok",IF(SUM(S15:U15)=0,"ok","checar"))</f>
        <v>ok</v>
      </c>
      <c r="W15" s="145">
        <f t="shared" si="9"/>
        <v>0.89138367873203139</v>
      </c>
      <c r="X15" s="145">
        <f t="shared" si="10"/>
        <v>0.72202077977294543</v>
      </c>
      <c r="AA15">
        <f>IF(AB15&lt;=Presentation!$F$34,1,0)</f>
        <v>1</v>
      </c>
      <c r="AB15" s="146">
        <v>3</v>
      </c>
      <c r="AC15" s="144">
        <f t="shared" si="25"/>
        <v>0.94885432105580136</v>
      </c>
      <c r="AD15" s="144"/>
      <c r="AE15" s="144">
        <f t="shared" si="26"/>
        <v>5.1145678944198594E-2</v>
      </c>
      <c r="AF15" s="144" t="str">
        <f t="shared" ref="AF15:AF43" si="48">IF(SUM(AC15:AE15)=$D$12,"ok",IF(SUM(AC15:AE15)=0,"ok","checar"))</f>
        <v>ok</v>
      </c>
      <c r="AG15" s="145">
        <f t="shared" si="11"/>
        <v>0.86063883995991042</v>
      </c>
      <c r="AH15" s="145">
        <f t="shared" si="12"/>
        <v>0.68851107196792838</v>
      </c>
      <c r="AK15">
        <f>IF(AL15&lt;=Presentation!$F$34,1,0)</f>
        <v>1</v>
      </c>
      <c r="AL15" s="146">
        <v>3</v>
      </c>
      <c r="AM15" s="144">
        <f t="shared" si="36"/>
        <v>0.99215573191985995</v>
      </c>
      <c r="AN15" s="144">
        <f t="shared" si="37"/>
        <v>6.6748112004618693E-5</v>
      </c>
      <c r="AO15" s="144">
        <f t="shared" si="38"/>
        <v>7.7775199681351832E-3</v>
      </c>
      <c r="AP15" s="144" t="str">
        <f t="shared" si="28"/>
        <v>ok</v>
      </c>
      <c r="AQ15" s="145">
        <f t="shared" si="13"/>
        <v>0.89997503857765482</v>
      </c>
      <c r="AR15" s="145">
        <f t="shared" si="14"/>
        <v>0.72897735954769172</v>
      </c>
      <c r="AU15">
        <f>IF(AV15&lt;=Presentation!$F$34,1,0)</f>
        <v>1</v>
      </c>
      <c r="AV15" s="146">
        <v>3</v>
      </c>
      <c r="AW15" s="144">
        <f t="shared" si="39"/>
        <v>0.68540430776219985</v>
      </c>
      <c r="AX15" s="144">
        <f t="shared" si="40"/>
        <v>0.24672540674056118</v>
      </c>
      <c r="AY15" s="144">
        <f t="shared" si="41"/>
        <v>6.7870285497238947E-2</v>
      </c>
      <c r="AZ15" s="144" t="str">
        <f t="shared" ref="AZ15:AZ43" si="49">IF(SUM(AW15:AY15)=$D$12,"ok",IF(SUM(AW15:AY15)=0,"ok","checar"))</f>
        <v>ok</v>
      </c>
      <c r="BA15" s="145">
        <f t="shared" si="15"/>
        <v>0.84546912880069025</v>
      </c>
      <c r="BB15" s="145">
        <f t="shared" si="16"/>
        <v>0.67587850564862939</v>
      </c>
      <c r="BE15">
        <f>IF(BF15&lt;=Presentation!$F$34,1,0)</f>
        <v>1</v>
      </c>
      <c r="BF15" s="146">
        <v>3</v>
      </c>
      <c r="BG15" s="144">
        <f t="shared" si="42"/>
        <v>0.65346902435766041</v>
      </c>
      <c r="BH15" s="144">
        <f t="shared" si="43"/>
        <v>0.24287220860167813</v>
      </c>
      <c r="BI15" s="144">
        <f t="shared" si="44"/>
        <v>0.10365876704066156</v>
      </c>
      <c r="BJ15" s="144" t="str">
        <f t="shared" ref="BJ15:BJ43" si="50">IF(SUM(BG15:BI15)=$D$12,"ok",IF(SUM(BG15:BI15)=0,"ok","checar"))</f>
        <v>ok</v>
      </c>
      <c r="BK15" s="145">
        <f t="shared" si="17"/>
        <v>0.81300792105155417</v>
      </c>
      <c r="BL15" s="145">
        <f t="shared" si="18"/>
        <v>0.64972472594376152</v>
      </c>
      <c r="BO15">
        <f>IF(BP15&lt;=Presentation!$F$34,1,0)</f>
        <v>1</v>
      </c>
      <c r="BP15" s="146">
        <v>3</v>
      </c>
      <c r="BQ15" s="144"/>
      <c r="BR15" s="144">
        <f t="shared" si="45"/>
        <v>0.70103322254246458</v>
      </c>
      <c r="BS15" s="144">
        <f t="shared" si="46"/>
        <v>0.29896677745753547</v>
      </c>
      <c r="BT15" s="144" t="str">
        <f t="shared" ref="BT15:BT43" si="51">IF(SUM(BQ15:BS15)=$D$12,"ok",IF(SUM(BQ15:BS15)=0,"ok","checar"))</f>
        <v>ok</v>
      </c>
      <c r="BU15" s="145">
        <f t="shared" si="19"/>
        <v>0.63585779822445765</v>
      </c>
      <c r="BV15" s="145">
        <f t="shared" si="20"/>
        <v>0.4896105046328324</v>
      </c>
      <c r="BZ15" s="136"/>
    </row>
    <row r="16" spans="1:81" x14ac:dyDescent="0.3">
      <c r="A16" s="136"/>
      <c r="B16">
        <f>IF(C16&lt;=Presentation!$F$34,1,0)</f>
        <v>1</v>
      </c>
      <c r="C16" s="146">
        <v>4</v>
      </c>
      <c r="D16" s="144">
        <f t="shared" si="32"/>
        <v>0.99339131772809786</v>
      </c>
      <c r="E16" s="144"/>
      <c r="F16" s="144">
        <f t="shared" si="33"/>
        <v>6.6086822719021625E-3</v>
      </c>
      <c r="G16" s="144" t="str">
        <f t="shared" si="21"/>
        <v>ok</v>
      </c>
      <c r="H16" s="145">
        <f t="shared" si="8"/>
        <v>0.85812877030825851</v>
      </c>
      <c r="I16" s="145">
        <f t="shared" si="22"/>
        <v>0.71224687935585451</v>
      </c>
      <c r="L16" s="80">
        <v>4</v>
      </c>
      <c r="M16" s="145">
        <f t="shared" si="23"/>
        <v>0.99793270123849664</v>
      </c>
      <c r="N16" s="145">
        <f>INDEX('Table of Life'!$E$8:$E$108,MATCH(MIN(idade_entrada+Markov!C16,100),'Table of Life'!$D$8:$D$108))</f>
        <v>2.067298761503333E-3</v>
      </c>
      <c r="Q16">
        <f>IF(R16&lt;=Presentation!$F$34,1,0)</f>
        <v>1</v>
      </c>
      <c r="R16" s="146">
        <v>4</v>
      </c>
      <c r="S16" s="144">
        <f t="shared" si="34"/>
        <v>0.97706705082046919</v>
      </c>
      <c r="T16" s="144"/>
      <c r="U16" s="144">
        <f t="shared" si="35"/>
        <v>2.2932949179530725E-2</v>
      </c>
      <c r="V16" s="144" t="str">
        <f t="shared" si="47"/>
        <v>ok</v>
      </c>
      <c r="W16" s="145">
        <f t="shared" si="9"/>
        <v>0.84402725478498575</v>
      </c>
      <c r="X16" s="145">
        <f t="shared" si="10"/>
        <v>0.68366207637583853</v>
      </c>
      <c r="AA16">
        <f>IF(AB16&lt;=Presentation!$F$34,1,0)</f>
        <v>1</v>
      </c>
      <c r="AB16" s="146">
        <v>4</v>
      </c>
      <c r="AC16" s="144">
        <f t="shared" si="25"/>
        <v>0.93239381990594838</v>
      </c>
      <c r="AD16" s="144"/>
      <c r="AE16" s="144">
        <f t="shared" si="26"/>
        <v>6.7606180094051602E-2</v>
      </c>
      <c r="AF16" s="144" t="str">
        <f t="shared" si="48"/>
        <v>ok</v>
      </c>
      <c r="AG16" s="145">
        <f t="shared" si="11"/>
        <v>0.80543683827314394</v>
      </c>
      <c r="AH16" s="145">
        <f t="shared" si="12"/>
        <v>0.64434947061851522</v>
      </c>
      <c r="AK16">
        <f>IF(AL16&lt;=Presentation!$F$34,1,0)</f>
        <v>1</v>
      </c>
      <c r="AL16" s="146">
        <v>4</v>
      </c>
      <c r="AM16" s="144">
        <f t="shared" si="36"/>
        <v>0.98955467370547745</v>
      </c>
      <c r="AN16" s="144">
        <f t="shared" si="37"/>
        <v>8.409895418738631E-5</v>
      </c>
      <c r="AO16" s="144">
        <f t="shared" si="38"/>
        <v>1.0361227340334848E-2</v>
      </c>
      <c r="AP16" s="144" t="str">
        <f t="shared" si="28"/>
        <v>ok</v>
      </c>
      <c r="AQ16" s="145">
        <f t="shared" si="13"/>
        <v>0.85488718078796222</v>
      </c>
      <c r="AR16" s="145">
        <f t="shared" si="14"/>
        <v>0.69245571052470434</v>
      </c>
      <c r="AU16">
        <f>IF(AV16&lt;=Presentation!$F$34,1,0)</f>
        <v>1</v>
      </c>
      <c r="AV16" s="146">
        <v>4</v>
      </c>
      <c r="AW16" s="144">
        <f t="shared" si="39"/>
        <v>0.60431369938121404</v>
      </c>
      <c r="AX16" s="144">
        <f t="shared" si="40"/>
        <v>0.29114365934585656</v>
      </c>
      <c r="AY16" s="144">
        <f t="shared" si="41"/>
        <v>0.10454264127292937</v>
      </c>
      <c r="AZ16" s="144" t="str">
        <f t="shared" si="49"/>
        <v>ok</v>
      </c>
      <c r="BA16" s="145">
        <f t="shared" si="15"/>
        <v>0.77352973435013117</v>
      </c>
      <c r="BB16" s="145">
        <f t="shared" si="16"/>
        <v>0.61649905124292659</v>
      </c>
      <c r="BE16">
        <f>IF(BF16&lt;=Presentation!$F$34,1,0)</f>
        <v>1</v>
      </c>
      <c r="BF16" s="146">
        <v>4</v>
      </c>
      <c r="BG16" s="144">
        <f t="shared" si="42"/>
        <v>0.56706565090456817</v>
      </c>
      <c r="BH16" s="144">
        <f t="shared" si="43"/>
        <v>0.28436750206729372</v>
      </c>
      <c r="BI16" s="144">
        <f t="shared" si="44"/>
        <v>0.14856684702813816</v>
      </c>
      <c r="BJ16" s="144" t="str">
        <f t="shared" si="50"/>
        <v>ok</v>
      </c>
      <c r="BK16" s="145">
        <f t="shared" si="17"/>
        <v>0.73549997017329605</v>
      </c>
      <c r="BL16" s="145">
        <f t="shared" si="18"/>
        <v>0.58592908223692164</v>
      </c>
      <c r="BO16">
        <f>IF(BP16&lt;=Presentation!$F$34,1,0)</f>
        <v>1</v>
      </c>
      <c r="BP16" s="146">
        <v>4</v>
      </c>
      <c r="BQ16" s="144"/>
      <c r="BR16" s="144">
        <f t="shared" si="45"/>
        <v>0.62275630527593462</v>
      </c>
      <c r="BS16" s="144">
        <f t="shared" si="46"/>
        <v>0.37724369472406544</v>
      </c>
      <c r="BT16" s="144" t="str">
        <f t="shared" si="51"/>
        <v>ok</v>
      </c>
      <c r="BU16" s="145">
        <f t="shared" si="19"/>
        <v>0.53796031121989818</v>
      </c>
      <c r="BV16" s="145">
        <f t="shared" si="20"/>
        <v>0.41422943963932163</v>
      </c>
      <c r="BZ16" s="136"/>
    </row>
    <row r="17" spans="1:78" x14ac:dyDescent="0.3">
      <c r="A17" s="136"/>
      <c r="B17">
        <f>IF(C17&lt;=Presentation!$F$34,1,0)</f>
        <v>1</v>
      </c>
      <c r="C17" s="146">
        <v>5</v>
      </c>
      <c r="D17" s="144">
        <f t="shared" si="32"/>
        <v>0.99133768108727038</v>
      </c>
      <c r="E17" s="144"/>
      <c r="F17" s="144">
        <f t="shared" si="33"/>
        <v>8.6623189127296232E-3</v>
      </c>
      <c r="G17" s="144" t="str">
        <f t="shared" si="21"/>
        <v>ok</v>
      </c>
      <c r="H17" s="145">
        <f t="shared" si="8"/>
        <v>0.81557596358494278</v>
      </c>
      <c r="I17" s="145">
        <f t="shared" si="22"/>
        <v>0.67692804977550247</v>
      </c>
      <c r="L17" s="80">
        <v>5</v>
      </c>
      <c r="M17" s="145">
        <f t="shared" si="23"/>
        <v>0.99773190033062953</v>
      </c>
      <c r="N17" s="145">
        <f>INDEX('Table of Life'!$E$8:$E$108,MATCH(MIN(idade_entrada+Markov!C17,100),'Table of Life'!$D$8:$D$108))</f>
        <v>2.2680996693704618E-3</v>
      </c>
      <c r="Q17">
        <f>IF(R17&lt;=Presentation!$F$34,1,0)</f>
        <v>1</v>
      </c>
      <c r="R17" s="146">
        <v>5</v>
      </c>
      <c r="S17" s="144">
        <f t="shared" si="34"/>
        <v>0.9714164644666049</v>
      </c>
      <c r="T17" s="144"/>
      <c r="U17" s="144">
        <f t="shared" si="35"/>
        <v>2.8583535533395009E-2</v>
      </c>
      <c r="V17" s="144" t="str">
        <f t="shared" si="47"/>
        <v>ok</v>
      </c>
      <c r="W17" s="145">
        <f t="shared" si="9"/>
        <v>0.79918672937025614</v>
      </c>
      <c r="X17" s="145">
        <f t="shared" si="10"/>
        <v>0.64734125078990756</v>
      </c>
      <c r="AA17">
        <f>IF(AB17&lt;=Presentation!$F$34,1,0)</f>
        <v>1</v>
      </c>
      <c r="AB17" s="146">
        <v>5</v>
      </c>
      <c r="AC17" s="144">
        <f t="shared" si="25"/>
        <v>0.91621887165087779</v>
      </c>
      <c r="AD17" s="144"/>
      <c r="AE17" s="144">
        <f t="shared" si="26"/>
        <v>8.3781128349122172E-2</v>
      </c>
      <c r="AF17" s="144" t="str">
        <f t="shared" si="48"/>
        <v>ok</v>
      </c>
      <c r="AG17" s="145">
        <f t="shared" si="11"/>
        <v>0.75377553315820278</v>
      </c>
      <c r="AH17" s="145">
        <f t="shared" si="12"/>
        <v>0.60302042652656229</v>
      </c>
      <c r="AK17">
        <f>IF(AL17&lt;=Presentation!$F$34,1,0)</f>
        <v>1</v>
      </c>
      <c r="AL17" s="146">
        <v>5</v>
      </c>
      <c r="AM17" s="144">
        <f t="shared" si="36"/>
        <v>0.98696043448494541</v>
      </c>
      <c r="AN17" s="144">
        <f t="shared" si="37"/>
        <v>9.9447386072814111E-5</v>
      </c>
      <c r="AO17" s="144">
        <f t="shared" si="38"/>
        <v>1.2940118128981448E-2</v>
      </c>
      <c r="AP17" s="144" t="str">
        <f t="shared" si="28"/>
        <v>ok</v>
      </c>
      <c r="AQ17" s="145">
        <f t="shared" si="13"/>
        <v>0.81205660758306941</v>
      </c>
      <c r="AR17" s="145">
        <f t="shared" si="14"/>
        <v>0.65776257951786088</v>
      </c>
      <c r="AU17">
        <f>IF(AV17&lt;=Presentation!$F$34,1,0)</f>
        <v>1</v>
      </c>
      <c r="AV17" s="146">
        <v>5</v>
      </c>
      <c r="AW17" s="144">
        <f t="shared" si="39"/>
        <v>0.53281697112780957</v>
      </c>
      <c r="AX17" s="144">
        <f t="shared" si="40"/>
        <v>0.32208768464744131</v>
      </c>
      <c r="AY17" s="144">
        <f t="shared" si="41"/>
        <v>0.1450953442247491</v>
      </c>
      <c r="AZ17" s="144" t="str">
        <f t="shared" si="49"/>
        <v>ok</v>
      </c>
      <c r="BA17" s="145">
        <f t="shared" si="15"/>
        <v>0.70333217601740083</v>
      </c>
      <c r="BB17" s="145">
        <f t="shared" si="16"/>
        <v>0.55909976916371718</v>
      </c>
      <c r="BE17">
        <f>IF(BF17&lt;=Presentation!$F$34,1,0)</f>
        <v>1</v>
      </c>
      <c r="BF17" s="146">
        <v>5</v>
      </c>
      <c r="BG17" s="144">
        <f t="shared" si="42"/>
        <v>0.49208675614258596</v>
      </c>
      <c r="BH17" s="144">
        <f t="shared" si="43"/>
        <v>0.31215710362803772</v>
      </c>
      <c r="BI17" s="144">
        <f t="shared" si="44"/>
        <v>0.1957561402293764</v>
      </c>
      <c r="BJ17" s="144" t="str">
        <f t="shared" si="50"/>
        <v>ok</v>
      </c>
      <c r="BK17" s="145">
        <f t="shared" si="17"/>
        <v>0.66165341376946729</v>
      </c>
      <c r="BL17" s="145">
        <f t="shared" si="18"/>
        <v>0.52566676828612258</v>
      </c>
      <c r="BO17">
        <f>IF(BP17&lt;=Presentation!$F$34,1,0)</f>
        <v>1</v>
      </c>
      <c r="BP17" s="146">
        <v>5</v>
      </c>
      <c r="BQ17" s="144"/>
      <c r="BR17" s="144">
        <f t="shared" si="45"/>
        <v>0.55321973808087366</v>
      </c>
      <c r="BS17" s="144">
        <f t="shared" si="46"/>
        <v>0.4467802619191264</v>
      </c>
      <c r="BT17" s="144" t="str">
        <f t="shared" si="51"/>
        <v>ok</v>
      </c>
      <c r="BU17" s="145">
        <f t="shared" si="19"/>
        <v>0.45513524762285151</v>
      </c>
      <c r="BV17" s="145">
        <f t="shared" si="20"/>
        <v>0.35045414066959568</v>
      </c>
      <c r="BZ17" s="136"/>
    </row>
    <row r="18" spans="1:78" x14ac:dyDescent="0.3">
      <c r="A18" s="136"/>
      <c r="B18">
        <f>IF(C18&lt;=Presentation!$F$34,1,0)</f>
        <v>1</v>
      </c>
      <c r="C18" s="146">
        <v>6</v>
      </c>
      <c r="D18" s="144">
        <f t="shared" si="32"/>
        <v>0.98908922842056191</v>
      </c>
      <c r="E18" s="144"/>
      <c r="F18" s="144">
        <f t="shared" si="33"/>
        <v>1.0910771579438141E-2</v>
      </c>
      <c r="G18" s="144" t="str">
        <f t="shared" si="21"/>
        <v>ok</v>
      </c>
      <c r="H18" s="145">
        <f t="shared" si="8"/>
        <v>0.77497729143960881</v>
      </c>
      <c r="I18" s="145">
        <f t="shared" si="22"/>
        <v>0.64323115189487523</v>
      </c>
      <c r="L18" s="80">
        <v>6</v>
      </c>
      <c r="M18" s="145">
        <f t="shared" si="23"/>
        <v>0.99751913297134398</v>
      </c>
      <c r="N18" s="145">
        <f>INDEX('Table of Life'!$E$8:$E$108,MATCH(MIN(idade_entrada+Markov!C18,100),'Table of Life'!$D$8:$D$108))</f>
        <v>2.4808670286560583E-3</v>
      </c>
      <c r="Q18">
        <f>IF(R18&lt;=Presentation!$F$34,1,0)</f>
        <v>1</v>
      </c>
      <c r="R18" s="146">
        <v>6</v>
      </c>
      <c r="S18" s="144">
        <f t="shared" si="34"/>
        <v>0.96579855665421399</v>
      </c>
      <c r="T18" s="144"/>
      <c r="U18" s="144">
        <f t="shared" si="35"/>
        <v>3.4201443345785947E-2</v>
      </c>
      <c r="V18" s="144" t="str">
        <f t="shared" si="47"/>
        <v>ok</v>
      </c>
      <c r="W18" s="145">
        <f t="shared" si="9"/>
        <v>0.75672844067604705</v>
      </c>
      <c r="X18" s="145">
        <f t="shared" si="10"/>
        <v>0.6129500369475982</v>
      </c>
      <c r="AA18">
        <f>IF(AB18&lt;=Presentation!$F$34,1,0)</f>
        <v>1</v>
      </c>
      <c r="AB18" s="146">
        <v>6</v>
      </c>
      <c r="AC18" s="144">
        <f t="shared" si="25"/>
        <v>0.90032452258626583</v>
      </c>
      <c r="AD18" s="144"/>
      <c r="AE18" s="144">
        <f t="shared" si="26"/>
        <v>9.9675477413734143E-2</v>
      </c>
      <c r="AF18" s="144" t="str">
        <f t="shared" si="48"/>
        <v>ok</v>
      </c>
      <c r="AG18" s="145">
        <f t="shared" si="11"/>
        <v>0.70542782175956231</v>
      </c>
      <c r="AH18" s="145">
        <f t="shared" si="12"/>
        <v>0.56434225740764987</v>
      </c>
      <c r="AK18">
        <f>IF(AL18&lt;=Presentation!$F$34,1,0)</f>
        <v>1</v>
      </c>
      <c r="AL18" s="146">
        <v>6</v>
      </c>
      <c r="AM18" s="144">
        <f t="shared" si="36"/>
        <v>0.98437299638143316</v>
      </c>
      <c r="AN18" s="144">
        <f t="shared" si="37"/>
        <v>1.1301716597743445E-4</v>
      </c>
      <c r="AO18" s="144">
        <f t="shared" si="38"/>
        <v>1.5513986452589067E-2</v>
      </c>
      <c r="AP18" s="144" t="str">
        <f t="shared" si="28"/>
        <v>ok</v>
      </c>
      <c r="AQ18" s="145">
        <f t="shared" si="13"/>
        <v>0.77137055213661798</v>
      </c>
      <c r="AR18" s="145">
        <f t="shared" si="14"/>
        <v>0.62480660515438846</v>
      </c>
      <c r="AU18">
        <f>IF(AV18&lt;=Presentation!$F$34,1,0)</f>
        <v>1</v>
      </c>
      <c r="AV18" s="146">
        <v>6</v>
      </c>
      <c r="AW18" s="144">
        <f t="shared" si="39"/>
        <v>0.46977906509898043</v>
      </c>
      <c r="AX18" s="144">
        <f t="shared" si="40"/>
        <v>0.34206936358479739</v>
      </c>
      <c r="AY18" s="144">
        <f t="shared" si="41"/>
        <v>0.18815157131622212</v>
      </c>
      <c r="AZ18" s="144" t="str">
        <f t="shared" si="49"/>
        <v>ok</v>
      </c>
      <c r="BA18" s="145">
        <f t="shared" si="15"/>
        <v>0.63610448708004252</v>
      </c>
      <c r="BB18" s="145">
        <f t="shared" si="16"/>
        <v>0.50452382265019846</v>
      </c>
      <c r="BE18">
        <f>IF(BF18&lt;=Presentation!$F$34,1,0)</f>
        <v>1</v>
      </c>
      <c r="BF18" s="146">
        <v>6</v>
      </c>
      <c r="BG18" s="144">
        <f t="shared" si="42"/>
        <v>0.4270217657949526</v>
      </c>
      <c r="BH18" s="144">
        <f t="shared" si="43"/>
        <v>0.32897095226056883</v>
      </c>
      <c r="BI18" s="144">
        <f t="shared" si="44"/>
        <v>0.24400728194447868</v>
      </c>
      <c r="BJ18" s="144" t="str">
        <f t="shared" si="50"/>
        <v>ok</v>
      </c>
      <c r="BK18" s="145">
        <f t="shared" si="17"/>
        <v>0.59234007625611329</v>
      </c>
      <c r="BL18" s="145">
        <f t="shared" si="18"/>
        <v>0.46948516780328364</v>
      </c>
      <c r="BO18">
        <f>IF(BP18&lt;=Presentation!$F$34,1,0)</f>
        <v>1</v>
      </c>
      <c r="BP18" s="146">
        <v>6</v>
      </c>
      <c r="BQ18" s="144"/>
      <c r="BR18" s="144">
        <f t="shared" si="45"/>
        <v>0.49144757910827264</v>
      </c>
      <c r="BS18" s="144">
        <f t="shared" si="46"/>
        <v>0.50855242089172747</v>
      </c>
      <c r="BT18" s="144" t="str">
        <f t="shared" si="51"/>
        <v>ok</v>
      </c>
      <c r="BU18" s="145">
        <f t="shared" si="19"/>
        <v>0.38506203767890956</v>
      </c>
      <c r="BV18" s="145">
        <f t="shared" si="20"/>
        <v>0.29649776901276037</v>
      </c>
      <c r="BZ18" s="136"/>
    </row>
    <row r="19" spans="1:78" x14ac:dyDescent="0.3">
      <c r="A19" s="136"/>
      <c r="B19">
        <f>IF(C19&lt;=Presentation!$F$34,1,0)</f>
        <v>1</v>
      </c>
      <c r="C19" s="146">
        <v>7</v>
      </c>
      <c r="D19" s="144">
        <f t="shared" si="32"/>
        <v>0.98663542956537453</v>
      </c>
      <c r="E19" s="144"/>
      <c r="F19" s="144">
        <f t="shared" si="33"/>
        <v>1.3364570434625574E-2</v>
      </c>
      <c r="G19" s="144" t="str">
        <f t="shared" si="21"/>
        <v>ok</v>
      </c>
      <c r="H19" s="145">
        <f t="shared" si="8"/>
        <v>0.73624254840887537</v>
      </c>
      <c r="I19" s="145">
        <f t="shared" si="22"/>
        <v>0.61108131517936648</v>
      </c>
      <c r="L19" s="80">
        <v>7</v>
      </c>
      <c r="M19" s="145">
        <f t="shared" si="23"/>
        <v>0.99729927236080307</v>
      </c>
      <c r="N19" s="145">
        <f>INDEX('Table of Life'!$E$8:$E$108,MATCH(MIN(idade_entrada+Markov!C19,100),'Table of Life'!$D$8:$D$108))</f>
        <v>2.7007276391968903E-3</v>
      </c>
      <c r="Q19">
        <f>IF(R19&lt;=Presentation!$F$34,1,0)</f>
        <v>1</v>
      </c>
      <c r="R19" s="146">
        <v>7</v>
      </c>
      <c r="S19" s="144">
        <f t="shared" si="34"/>
        <v>0.96021313839634781</v>
      </c>
      <c r="T19" s="144"/>
      <c r="U19" s="144">
        <f t="shared" si="35"/>
        <v>3.9786861603652142E-2</v>
      </c>
      <c r="V19" s="144" t="str">
        <f t="shared" si="47"/>
        <v>ok</v>
      </c>
      <c r="W19" s="145">
        <f t="shared" si="9"/>
        <v>0.71652582792413166</v>
      </c>
      <c r="X19" s="145">
        <f t="shared" si="10"/>
        <v>0.58038592061854666</v>
      </c>
      <c r="AA19">
        <f>IF(AB19&lt;=Presentation!$F$34,1,0)</f>
        <v>1</v>
      </c>
      <c r="AB19" s="146">
        <v>7</v>
      </c>
      <c r="AC19" s="144">
        <f t="shared" si="25"/>
        <v>0.88470590494348378</v>
      </c>
      <c r="AD19" s="144"/>
      <c r="AE19" s="144">
        <f t="shared" si="26"/>
        <v>0.11529409505651617</v>
      </c>
      <c r="AF19" s="144" t="str">
        <f t="shared" si="48"/>
        <v>ok</v>
      </c>
      <c r="AG19" s="145">
        <f t="shared" si="11"/>
        <v>0.66018116776416835</v>
      </c>
      <c r="AH19" s="145">
        <f t="shared" si="12"/>
        <v>0.52814493421133468</v>
      </c>
      <c r="AK19">
        <f>IF(AL19&lt;=Presentation!$F$34,1,0)</f>
        <v>1</v>
      </c>
      <c r="AL19" s="146">
        <v>7</v>
      </c>
      <c r="AM19" s="144">
        <f t="shared" si="36"/>
        <v>0.9817923415649763</v>
      </c>
      <c r="AN19" s="144">
        <f t="shared" si="37"/>
        <v>1.2500706706162164E-4</v>
      </c>
      <c r="AO19" s="144">
        <f t="shared" si="38"/>
        <v>1.8082651367961645E-2</v>
      </c>
      <c r="AP19" s="144" t="str">
        <f t="shared" si="28"/>
        <v>ok</v>
      </c>
      <c r="AQ19" s="145">
        <f t="shared" si="13"/>
        <v>0.73272184377384197</v>
      </c>
      <c r="AR19" s="145">
        <f t="shared" si="14"/>
        <v>0.59350096216888693</v>
      </c>
      <c r="AU19">
        <f>IF(AV19&lt;=Presentation!$F$34,1,0)</f>
        <v>1</v>
      </c>
      <c r="AV19" s="146">
        <v>7</v>
      </c>
      <c r="AW19" s="144">
        <f t="shared" si="39"/>
        <v>0.41419921279559518</v>
      </c>
      <c r="AX19" s="144">
        <f t="shared" si="40"/>
        <v>0.35320092101275458</v>
      </c>
      <c r="AY19" s="144">
        <f t="shared" si="41"/>
        <v>0.23259986619165018</v>
      </c>
      <c r="AZ19" s="144" t="str">
        <f t="shared" si="49"/>
        <v>ok</v>
      </c>
      <c r="BA19" s="145">
        <f t="shared" si="15"/>
        <v>0.57264579522879888</v>
      </c>
      <c r="BB19" s="145">
        <f t="shared" si="16"/>
        <v>0.45330053552068889</v>
      </c>
      <c r="BE19">
        <f>IF(BF19&lt;=Presentation!$F$34,1,0)</f>
        <v>1</v>
      </c>
      <c r="BF19" s="146">
        <v>7</v>
      </c>
      <c r="BG19" s="144">
        <f t="shared" si="42"/>
        <v>0.37055983764334982</v>
      </c>
      <c r="BH19" s="144">
        <f t="shared" si="43"/>
        <v>0.33707555341792655</v>
      </c>
      <c r="BI19" s="144">
        <f t="shared" si="44"/>
        <v>0.29236460893872374</v>
      </c>
      <c r="BJ19" s="144" t="str">
        <f t="shared" si="50"/>
        <v>ok</v>
      </c>
      <c r="BK19" s="145">
        <f t="shared" si="17"/>
        <v>0.52804842401490548</v>
      </c>
      <c r="BL19" s="145">
        <f t="shared" si="18"/>
        <v>0.41765798474046267</v>
      </c>
      <c r="BO19">
        <f>IF(BP19&lt;=Presentation!$F$34,1,0)</f>
        <v>1</v>
      </c>
      <c r="BP19" s="146">
        <v>7</v>
      </c>
      <c r="BQ19" s="144"/>
      <c r="BR19" s="144">
        <f t="shared" si="45"/>
        <v>0.43657285954622727</v>
      </c>
      <c r="BS19" s="144">
        <f t="shared" si="46"/>
        <v>0.56342714045377285</v>
      </c>
      <c r="BT19" s="144" t="str">
        <f t="shared" si="51"/>
        <v>ok</v>
      </c>
      <c r="BU19" s="145">
        <f t="shared" si="19"/>
        <v>0.32577738954707469</v>
      </c>
      <c r="BV19" s="145">
        <f t="shared" si="20"/>
        <v>0.25084858995124754</v>
      </c>
      <c r="BZ19" s="136"/>
    </row>
    <row r="20" spans="1:78" x14ac:dyDescent="0.3">
      <c r="A20" s="136"/>
      <c r="B20">
        <f>IF(C20&lt;=Presentation!$F$34,1,0)</f>
        <v>1</v>
      </c>
      <c r="C20" s="146">
        <v>8</v>
      </c>
      <c r="D20" s="144">
        <f t="shared" si="32"/>
        <v>0.9839707959909364</v>
      </c>
      <c r="E20" s="144"/>
      <c r="F20" s="144">
        <f t="shared" si="33"/>
        <v>1.6029204009063679E-2</v>
      </c>
      <c r="G20" s="144" t="str">
        <f t="shared" si="21"/>
        <v>ok</v>
      </c>
      <c r="H20" s="145">
        <f t="shared" si="8"/>
        <v>0.69928967410403309</v>
      </c>
      <c r="I20" s="145">
        <f t="shared" si="22"/>
        <v>0.58041042950634747</v>
      </c>
      <c r="L20" s="80">
        <v>8</v>
      </c>
      <c r="M20" s="145">
        <f t="shared" si="23"/>
        <v>0.99707522507436508</v>
      </c>
      <c r="N20" s="145">
        <f>INDEX('Table of Life'!$E$8:$E$108,MATCH(MIN(idade_entrada+Markov!C20,100),'Table of Life'!$D$8:$D$108))</f>
        <v>2.9247749256348663E-3</v>
      </c>
      <c r="Q20">
        <f>IF(R20&lt;=Presentation!$F$34,1,0)</f>
        <v>1</v>
      </c>
      <c r="R20" s="146">
        <v>8</v>
      </c>
      <c r="S20" s="144">
        <f t="shared" si="34"/>
        <v>0.95466002179900944</v>
      </c>
      <c r="T20" s="144"/>
      <c r="U20" s="144">
        <f t="shared" si="35"/>
        <v>4.5339978200990512E-2</v>
      </c>
      <c r="V20" s="144" t="str">
        <f t="shared" si="47"/>
        <v>ok</v>
      </c>
      <c r="W20" s="145">
        <f t="shared" si="9"/>
        <v>0.67845905411417073</v>
      </c>
      <c r="X20" s="145">
        <f t="shared" si="10"/>
        <v>0.5495518338324783</v>
      </c>
      <c r="AA20">
        <f>IF(AB20&lt;=Presentation!$F$34,1,0)</f>
        <v>1</v>
      </c>
      <c r="AB20" s="146">
        <v>8</v>
      </c>
      <c r="AC20" s="144">
        <f t="shared" si="25"/>
        <v>0.86935823539880608</v>
      </c>
      <c r="AD20" s="144"/>
      <c r="AE20" s="144">
        <f t="shared" si="26"/>
        <v>0.13064176460119387</v>
      </c>
      <c r="AF20" s="144" t="str">
        <f t="shared" si="48"/>
        <v>ok</v>
      </c>
      <c r="AG20" s="145">
        <f t="shared" si="11"/>
        <v>0.61783666709279872</v>
      </c>
      <c r="AH20" s="145">
        <f t="shared" si="12"/>
        <v>0.49426933367423898</v>
      </c>
      <c r="AK20">
        <f>IF(AL20&lt;=Presentation!$F$34,1,0)</f>
        <v>1</v>
      </c>
      <c r="AL20" s="146">
        <v>8</v>
      </c>
      <c r="AM20" s="144">
        <f t="shared" si="36"/>
        <v>0.97921845225235404</v>
      </c>
      <c r="AN20" s="144">
        <f t="shared" si="37"/>
        <v>1.3559366715717777E-4</v>
      </c>
      <c r="AO20" s="144">
        <f>(AM19*$AP$6+AN19*$AP$7+AO19)*AK20</f>
        <v>2.0645954080488249E-2</v>
      </c>
      <c r="AP20" s="144" t="str">
        <f t="shared" si="28"/>
        <v>ok</v>
      </c>
      <c r="AQ20" s="145">
        <f t="shared" si="13"/>
        <v>0.69600863602239427</v>
      </c>
      <c r="AR20" s="145">
        <f t="shared" si="14"/>
        <v>0.56376314062263011</v>
      </c>
      <c r="AU20">
        <f>IF(AV20&lt;=Presentation!$F$34,1,0)</f>
        <v>1</v>
      </c>
      <c r="AV20" s="146">
        <v>8</v>
      </c>
      <c r="AW20" s="144">
        <f t="shared" si="39"/>
        <v>0.36519504725980834</v>
      </c>
      <c r="AX20" s="144">
        <f t="shared" si="40"/>
        <v>0.35725365142941951</v>
      </c>
      <c r="AY20" s="144">
        <f t="shared" si="41"/>
        <v>0.2775513013107721</v>
      </c>
      <c r="AZ20" s="144" t="str">
        <f t="shared" si="49"/>
        <v>ok</v>
      </c>
      <c r="BA20" s="145">
        <f t="shared" si="15"/>
        <v>0.51343080213523573</v>
      </c>
      <c r="BB20" s="145">
        <f t="shared" si="16"/>
        <v>0.40572320972187287</v>
      </c>
      <c r="BE20">
        <f>IF(BF20&lt;=Presentation!$F$34,1,0)</f>
        <v>1</v>
      </c>
      <c r="BF20" s="146">
        <v>8</v>
      </c>
      <c r="BG20" s="144">
        <f t="shared" si="42"/>
        <v>0.32156345243582157</v>
      </c>
      <c r="BH20" s="144">
        <f t="shared" si="43"/>
        <v>0.33834669758387059</v>
      </c>
      <c r="BI20" s="144">
        <f t="shared" si="44"/>
        <v>0.34008984998030789</v>
      </c>
      <c r="BJ20" s="144" t="str">
        <f t="shared" si="50"/>
        <v>ok</v>
      </c>
      <c r="BK20" s="145">
        <f t="shared" si="17"/>
        <v>0.46898582318236287</v>
      </c>
      <c r="BL20" s="145">
        <f t="shared" si="18"/>
        <v>0.37026024953435233</v>
      </c>
      <c r="BO20">
        <f>IF(BP20&lt;=Presentation!$F$34,1,0)</f>
        <v>1</v>
      </c>
      <c r="BP20" s="146">
        <v>8</v>
      </c>
      <c r="BQ20" s="144"/>
      <c r="BR20" s="144">
        <f t="shared" si="45"/>
        <v>0.38782541576093305</v>
      </c>
      <c r="BS20" s="144">
        <f t="shared" si="46"/>
        <v>0.61217458423906701</v>
      </c>
      <c r="BT20" s="144" t="str">
        <f t="shared" si="51"/>
        <v>ok</v>
      </c>
      <c r="BU20" s="145">
        <f t="shared" si="19"/>
        <v>0.27562028233124725</v>
      </c>
      <c r="BV20" s="145">
        <f t="shared" si="20"/>
        <v>0.21222761739506038</v>
      </c>
      <c r="BZ20" s="136"/>
    </row>
    <row r="21" spans="1:78" x14ac:dyDescent="0.3">
      <c r="A21" s="136"/>
      <c r="B21">
        <f>IF(C21&lt;=Presentation!$F$34,1,0)</f>
        <v>1</v>
      </c>
      <c r="C21" s="146">
        <v>9</v>
      </c>
      <c r="D21" s="144">
        <f t="shared" si="32"/>
        <v>0.98109290287926509</v>
      </c>
      <c r="E21" s="144"/>
      <c r="F21" s="144">
        <f t="shared" si="33"/>
        <v>1.8907097120734951E-2</v>
      </c>
      <c r="G21" s="144" t="str">
        <f t="shared" si="21"/>
        <v>ok</v>
      </c>
      <c r="H21" s="145">
        <f t="shared" si="8"/>
        <v>0.66404229447567453</v>
      </c>
      <c r="I21" s="145">
        <f t="shared" si="22"/>
        <v>0.55115510441480986</v>
      </c>
      <c r="L21" s="80">
        <v>9</v>
      </c>
      <c r="M21" s="145">
        <f t="shared" si="23"/>
        <v>0.99684285378058823</v>
      </c>
      <c r="N21" s="145">
        <f>INDEX('Table of Life'!$E$8:$E$108,MATCH(MIN(idade_entrada+Markov!C21,100),'Table of Life'!$D$8:$D$108))</f>
        <v>3.1571462194117847E-3</v>
      </c>
      <c r="Q21">
        <f>IF(R21&lt;=Presentation!$F$34,1,0)</f>
        <v>1</v>
      </c>
      <c r="R21" s="146">
        <v>9</v>
      </c>
      <c r="S21" s="144">
        <f t="shared" si="34"/>
        <v>0.94913902005483286</v>
      </c>
      <c r="T21" s="144"/>
      <c r="U21" s="144">
        <f t="shared" si="35"/>
        <v>5.0860979945167077E-2</v>
      </c>
      <c r="V21" s="144" t="str">
        <f t="shared" si="47"/>
        <v>ok</v>
      </c>
      <c r="W21" s="145">
        <f t="shared" si="9"/>
        <v>0.64241464881044641</v>
      </c>
      <c r="X21" s="145">
        <f t="shared" si="10"/>
        <v>0.52035586553646163</v>
      </c>
      <c r="AA21">
        <f>IF(AB21&lt;=Presentation!$F$34,1,0)</f>
        <v>1</v>
      </c>
      <c r="AB21" s="146">
        <v>9</v>
      </c>
      <c r="AC21" s="144">
        <f t="shared" si="25"/>
        <v>0.85427681360847973</v>
      </c>
      <c r="AD21" s="144"/>
      <c r="AE21" s="144">
        <f t="shared" si="26"/>
        <v>0.14572318639152015</v>
      </c>
      <c r="AF21" s="144" t="str">
        <f t="shared" si="48"/>
        <v>ok</v>
      </c>
      <c r="AG21" s="145">
        <f t="shared" si="11"/>
        <v>0.57820817351866316</v>
      </c>
      <c r="AH21" s="145">
        <f t="shared" si="12"/>
        <v>0.46256653881493054</v>
      </c>
      <c r="AK21">
        <f>IF(AL21&lt;=Presentation!$F$34,1,0)</f>
        <v>1</v>
      </c>
      <c r="AL21" s="146">
        <v>9</v>
      </c>
      <c r="AM21" s="144">
        <f t="shared" si="36"/>
        <v>0.97665131070696642</v>
      </c>
      <c r="AN21" s="144">
        <f t="shared" si="37"/>
        <v>1.4493382708456748E-4</v>
      </c>
      <c r="AO21" s="144">
        <f t="shared" si="38"/>
        <v>2.320375546594838E-2</v>
      </c>
      <c r="AP21" s="144" t="str">
        <f>IF(SUM(AM21:AO21)=$D$12,"ok",IF(SUM(AM21:AO21)=0,"ok","checar"))</f>
        <v>checar</v>
      </c>
      <c r="AQ21" s="145">
        <f t="shared" si="13"/>
        <v>0.66113414698244466</v>
      </c>
      <c r="AR21" s="145">
        <f t="shared" si="14"/>
        <v>0.53551473517901771</v>
      </c>
      <c r="AU21">
        <f>IF(AV21&lt;=Presentation!$F$34,1,0)</f>
        <v>1</v>
      </c>
      <c r="AV21" s="146">
        <v>9</v>
      </c>
      <c r="AW21" s="144">
        <f t="shared" si="39"/>
        <v>0.3219885949153401</v>
      </c>
      <c r="AX21" s="144">
        <f t="shared" si="40"/>
        <v>0.35570841920164697</v>
      </c>
      <c r="AY21" s="144">
        <f t="shared" si="41"/>
        <v>0.32230298588301287</v>
      </c>
      <c r="AZ21" s="144" t="str">
        <f t="shared" si="49"/>
        <v>ok</v>
      </c>
      <c r="BA21" s="145">
        <f t="shared" si="15"/>
        <v>0.45869201468368781</v>
      </c>
      <c r="BB21" s="145">
        <f t="shared" si="16"/>
        <v>0.36191023351296003</v>
      </c>
      <c r="BE21">
        <f>IF(BF21&lt;=Presentation!$F$34,1,0)</f>
        <v>1</v>
      </c>
      <c r="BF21" s="146">
        <v>9</v>
      </c>
      <c r="BG21" s="144">
        <f t="shared" si="42"/>
        <v>0.27904549667351297</v>
      </c>
      <c r="BH21" s="144">
        <f t="shared" si="43"/>
        <v>0.33433128616569846</v>
      </c>
      <c r="BI21" s="144">
        <f t="shared" si="44"/>
        <v>0.38662321716078857</v>
      </c>
      <c r="BJ21" s="144" t="str">
        <f t="shared" si="50"/>
        <v>ok</v>
      </c>
      <c r="BK21" s="145">
        <f t="shared" si="17"/>
        <v>0.41515755038010044</v>
      </c>
      <c r="BL21" s="145">
        <f t="shared" si="18"/>
        <v>0.32722607283049654</v>
      </c>
      <c r="BO21">
        <f>IF(BP21&lt;=Presentation!$F$34,1,0)</f>
        <v>1</v>
      </c>
      <c r="BP21" s="146">
        <v>9</v>
      </c>
      <c r="BQ21" s="144"/>
      <c r="BR21" s="144">
        <f t="shared" si="45"/>
        <v>0.34452108009296512</v>
      </c>
      <c r="BS21" s="144">
        <f t="shared" si="46"/>
        <v>0.65547891990703488</v>
      </c>
      <c r="BT21" s="144" t="str">
        <f t="shared" si="51"/>
        <v>ok</v>
      </c>
      <c r="BU21" s="145">
        <f t="shared" si="19"/>
        <v>0.23318542805555675</v>
      </c>
      <c r="BV21" s="145">
        <f t="shared" si="20"/>
        <v>0.17955277960277871</v>
      </c>
      <c r="BZ21" s="136"/>
    </row>
    <row r="22" spans="1:78" x14ac:dyDescent="0.3">
      <c r="A22" s="136"/>
      <c r="B22">
        <f>IF(C22&lt;=Presentation!$F$34,1,0)</f>
        <v>1</v>
      </c>
      <c r="C22" s="146">
        <v>10</v>
      </c>
      <c r="D22" s="144">
        <f t="shared" si="32"/>
        <v>0.9779954491300481</v>
      </c>
      <c r="E22" s="144"/>
      <c r="F22" s="144">
        <f t="shared" si="33"/>
        <v>2.2004550869951955E-2</v>
      </c>
      <c r="G22" s="144" t="str">
        <f t="shared" si="21"/>
        <v>ok</v>
      </c>
      <c r="H22" s="145">
        <f t="shared" si="8"/>
        <v>0.63042458652965816</v>
      </c>
      <c r="I22" s="145">
        <f t="shared" si="22"/>
        <v>0.52325240681961627</v>
      </c>
      <c r="L22" s="80">
        <v>10</v>
      </c>
      <c r="M22" s="145">
        <f t="shared" si="23"/>
        <v>0.99659145169821062</v>
      </c>
      <c r="N22" s="145">
        <f>INDEX('Table of Life'!$E$8:$E$108,MATCH(MIN(idade_entrada+Markov!C22,100),'Table of Life'!$D$8:$D$108))</f>
        <v>3.4085483017893539E-3</v>
      </c>
      <c r="Q22">
        <f>IF(R22&lt;=Presentation!$F$34,1,0)</f>
        <v>1</v>
      </c>
      <c r="R22" s="146">
        <v>10</v>
      </c>
      <c r="S22" s="144">
        <f t="shared" si="34"/>
        <v>0.94364994743679875</v>
      </c>
      <c r="T22" s="144"/>
      <c r="U22" s="144">
        <f t="shared" si="35"/>
        <v>5.6350052563201164E-2</v>
      </c>
      <c r="V22" s="144" t="str">
        <f t="shared" si="47"/>
        <v>ok</v>
      </c>
      <c r="W22" s="145">
        <f t="shared" si="9"/>
        <v>0.60828516990621617</v>
      </c>
      <c r="X22" s="145">
        <f t="shared" si="10"/>
        <v>0.49271098762403515</v>
      </c>
      <c r="AA22">
        <f>IF(AB22&lt;=Presentation!$F$34,1,0)</f>
        <v>1</v>
      </c>
      <c r="AB22" s="146">
        <v>10</v>
      </c>
      <c r="AC22" s="144">
        <f t="shared" si="25"/>
        <v>0.8394570207692077</v>
      </c>
      <c r="AD22" s="144"/>
      <c r="AE22" s="144">
        <f t="shared" si="26"/>
        <v>0.16054297923079225</v>
      </c>
      <c r="AF22" s="144" t="str">
        <f t="shared" si="48"/>
        <v>ok</v>
      </c>
      <c r="AG22" s="145">
        <f t="shared" si="11"/>
        <v>0.54112148036945984</v>
      </c>
      <c r="AH22" s="145">
        <f t="shared" si="12"/>
        <v>0.43289718429556789</v>
      </c>
      <c r="AK22">
        <f>IF(AL22&lt;=Presentation!$F$34,1,0)</f>
        <v>1</v>
      </c>
      <c r="AL22" s="146">
        <v>10</v>
      </c>
      <c r="AM22" s="144">
        <f t="shared" si="36"/>
        <v>0.97409089923871217</v>
      </c>
      <c r="AN22" s="144">
        <f t="shared" si="37"/>
        <v>1.5316689224284649E-4</v>
      </c>
      <c r="AO22" s="144">
        <f t="shared" si="38"/>
        <v>2.5755933869044276E-2</v>
      </c>
      <c r="AP22" s="144" t="str">
        <f t="shared" si="28"/>
        <v>checar</v>
      </c>
      <c r="AQ22" s="145">
        <f t="shared" si="13"/>
        <v>0.62800641160029491</v>
      </c>
      <c r="AR22" s="145">
        <f t="shared" si="14"/>
        <v>0.50868124408646243</v>
      </c>
      <c r="AU22">
        <f>IF(AV22&lt;=Presentation!$F$34,1,0)</f>
        <v>1</v>
      </c>
      <c r="AV22" s="146">
        <v>10</v>
      </c>
      <c r="AW22" s="144">
        <f t="shared" si="39"/>
        <v>0.28389392472181302</v>
      </c>
      <c r="AX22" s="144">
        <f t="shared" si="40"/>
        <v>0.34979904911115128</v>
      </c>
      <c r="AY22" s="144">
        <f t="shared" si="41"/>
        <v>0.36630702616703564</v>
      </c>
      <c r="AZ22" s="144" t="str">
        <f t="shared" si="49"/>
        <v>ok</v>
      </c>
      <c r="BA22" s="145">
        <f t="shared" si="15"/>
        <v>0.40848414107730008</v>
      </c>
      <c r="BB22" s="145">
        <f t="shared" si="16"/>
        <v>0.32185281083495088</v>
      </c>
      <c r="BE22">
        <f>IF(BF22&lt;=Presentation!$F$34,1,0)</f>
        <v>1</v>
      </c>
      <c r="BF22" s="146">
        <v>10</v>
      </c>
      <c r="BG22" s="144">
        <f t="shared" si="42"/>
        <v>0.2421493755709328</v>
      </c>
      <c r="BH22" s="144">
        <f t="shared" si="43"/>
        <v>0.32629984764037329</v>
      </c>
      <c r="BI22" s="144">
        <f t="shared" si="44"/>
        <v>0.43155077678869391</v>
      </c>
      <c r="BJ22" s="144" t="str">
        <f t="shared" si="50"/>
        <v>ok</v>
      </c>
      <c r="BK22" s="145">
        <f t="shared" si="17"/>
        <v>0.36642743769908875</v>
      </c>
      <c r="BL22" s="145">
        <f t="shared" si="18"/>
        <v>0.28839279289028213</v>
      </c>
      <c r="BO22">
        <f>IF(BP22&lt;=Presentation!$F$34,1,0)</f>
        <v>1</v>
      </c>
      <c r="BP22" s="146">
        <v>10</v>
      </c>
      <c r="BQ22" s="144"/>
      <c r="BR22" s="144">
        <f t="shared" si="45"/>
        <v>0.30605207860227041</v>
      </c>
      <c r="BS22" s="144">
        <f t="shared" si="46"/>
        <v>0.69394792139772954</v>
      </c>
      <c r="BT22" s="144" t="str">
        <f t="shared" si="51"/>
        <v>ok</v>
      </c>
      <c r="BU22" s="145">
        <f t="shared" si="19"/>
        <v>0.19728389869401364</v>
      </c>
      <c r="BV22" s="145">
        <f t="shared" si="20"/>
        <v>0.15190860199439049</v>
      </c>
      <c r="BZ22" s="136"/>
    </row>
    <row r="23" spans="1:78" x14ac:dyDescent="0.3">
      <c r="A23" s="136"/>
      <c r="B23">
        <f>IF(C23&lt;=Presentation!$F$34,1,0)</f>
        <v>1</v>
      </c>
      <c r="C23" s="146">
        <v>11</v>
      </c>
      <c r="D23" s="144">
        <f t="shared" si="32"/>
        <v>0.97466190440275813</v>
      </c>
      <c r="E23" s="144"/>
      <c r="F23" s="144">
        <f t="shared" si="33"/>
        <v>2.5338095597241896E-2</v>
      </c>
      <c r="G23" s="144" t="str">
        <f t="shared" si="21"/>
        <v>ok</v>
      </c>
      <c r="H23" s="145">
        <f t="shared" si="8"/>
        <v>0.59835786083412978</v>
      </c>
      <c r="I23" s="145">
        <f t="shared" si="22"/>
        <v>0.49663702449232772</v>
      </c>
      <c r="L23" s="80">
        <v>11</v>
      </c>
      <c r="M23" s="145">
        <f t="shared" si="23"/>
        <v>0.99631758366927092</v>
      </c>
      <c r="N23" s="145">
        <f>INDEX('Table of Life'!$E$8:$E$108,MATCH(MIN(idade_entrada+Markov!C23,100),'Table of Life'!$D$8:$D$108))</f>
        <v>3.6824163307290709E-3</v>
      </c>
      <c r="Q23">
        <f>IF(R23&lt;=Presentation!$F$34,1,0)</f>
        <v>1</v>
      </c>
      <c r="R23" s="146">
        <v>11</v>
      </c>
      <c r="S23" s="144">
        <f t="shared" si="34"/>
        <v>0.93819261929198661</v>
      </c>
      <c r="T23" s="144"/>
      <c r="U23" s="144">
        <f t="shared" si="35"/>
        <v>6.1807380708013289E-2</v>
      </c>
      <c r="V23" s="144" t="str">
        <f t="shared" si="47"/>
        <v>ok</v>
      </c>
      <c r="W23" s="145">
        <f t="shared" si="9"/>
        <v>0.57596888335747043</v>
      </c>
      <c r="X23" s="145">
        <f t="shared" si="10"/>
        <v>0.46653479551955107</v>
      </c>
      <c r="AA23">
        <f>IF(AB23&lt;=Presentation!$F$34,1,0)</f>
        <v>1</v>
      </c>
      <c r="AB23" s="146">
        <v>11</v>
      </c>
      <c r="AC23" s="144">
        <f t="shared" si="25"/>
        <v>0.8248943182036037</v>
      </c>
      <c r="AD23" s="144"/>
      <c r="AE23" s="144">
        <f t="shared" si="26"/>
        <v>0.17510568179639621</v>
      </c>
      <c r="AF23" s="144" t="str">
        <f t="shared" si="48"/>
        <v>ok</v>
      </c>
      <c r="AG23" s="145">
        <f t="shared" si="11"/>
        <v>0.50641355471566074</v>
      </c>
      <c r="AH23" s="145">
        <f t="shared" si="12"/>
        <v>0.40513084377252861</v>
      </c>
      <c r="AK23">
        <f>IF(AL23&lt;=Presentation!$F$34,1,0)</f>
        <v>1</v>
      </c>
      <c r="AL23" s="146">
        <v>11</v>
      </c>
      <c r="AM23" s="144">
        <f t="shared" si="36"/>
        <v>0.9715372002038668</v>
      </c>
      <c r="AN23" s="144">
        <f t="shared" si="37"/>
        <v>1.6041664837147614E-4</v>
      </c>
      <c r="AO23" s="144">
        <f t="shared" si="38"/>
        <v>2.8302383147760991E-2</v>
      </c>
      <c r="AP23" s="144" t="str">
        <f t="shared" si="28"/>
        <v>checar</v>
      </c>
      <c r="AQ23" s="145">
        <f t="shared" si="13"/>
        <v>0.59653804541955979</v>
      </c>
      <c r="AR23" s="145">
        <f t="shared" si="14"/>
        <v>0.4831918775135825</v>
      </c>
      <c r="AU23">
        <f>IF(AV23&lt;=Presentation!$F$34,1,0)</f>
        <v>1</v>
      </c>
      <c r="AV23" s="146">
        <v>11</v>
      </c>
      <c r="AW23" s="144">
        <f t="shared" si="39"/>
        <v>0.25030625856529282</v>
      </c>
      <c r="AX23" s="144">
        <f t="shared" si="40"/>
        <v>0.34054957510144296</v>
      </c>
      <c r="AY23" s="144">
        <f t="shared" si="41"/>
        <v>0.40914416633326417</v>
      </c>
      <c r="AZ23" s="144" t="str">
        <f t="shared" si="49"/>
        <v>ok</v>
      </c>
      <c r="BA23" s="145">
        <f t="shared" si="15"/>
        <v>0.36273422721988346</v>
      </c>
      <c r="BB23" s="145">
        <f t="shared" si="16"/>
        <v>0.28545200814240768</v>
      </c>
      <c r="BE23">
        <f>IF(BF23&lt;=Presentation!$F$34,1,0)</f>
        <v>1</v>
      </c>
      <c r="BF23" s="146">
        <v>11</v>
      </c>
      <c r="BG23" s="144">
        <f t="shared" si="42"/>
        <v>0.21013175553231722</v>
      </c>
      <c r="BH23" s="144">
        <f t="shared" si="43"/>
        <v>0.31529110164249008</v>
      </c>
      <c r="BI23" s="144">
        <f t="shared" si="44"/>
        <v>0.47457714282519264</v>
      </c>
      <c r="BJ23" s="144" t="str">
        <f t="shared" si="50"/>
        <v>ok</v>
      </c>
      <c r="BK23" s="145">
        <f t="shared" si="17"/>
        <v>0.32256405573286767</v>
      </c>
      <c r="BL23" s="145">
        <f t="shared" si="18"/>
        <v>0.25353442970275114</v>
      </c>
      <c r="BO23">
        <f>IF(BP23&lt;=Presentation!$F$34,1,0)</f>
        <v>1</v>
      </c>
      <c r="BP23" s="146">
        <v>11</v>
      </c>
      <c r="BQ23" s="144"/>
      <c r="BR23" s="144">
        <f t="shared" si="45"/>
        <v>0.27187850099475797</v>
      </c>
      <c r="BS23" s="144">
        <f t="shared" si="46"/>
        <v>0.72812149900524192</v>
      </c>
      <c r="BT23" s="144" t="str">
        <f t="shared" si="51"/>
        <v>ok</v>
      </c>
      <c r="BU23" s="145">
        <f t="shared" si="19"/>
        <v>0.16690981511347644</v>
      </c>
      <c r="BV23" s="145">
        <f t="shared" si="20"/>
        <v>0.12852055763737685</v>
      </c>
      <c r="BZ23" s="136"/>
    </row>
    <row r="24" spans="1:78" x14ac:dyDescent="0.3">
      <c r="A24" s="136"/>
      <c r="B24">
        <f>IF(C24&lt;=Presentation!$F$34,1,0)</f>
        <v>1</v>
      </c>
      <c r="C24" s="146">
        <v>12</v>
      </c>
      <c r="D24" s="144">
        <f t="shared" si="32"/>
        <v>0.97107279348904596</v>
      </c>
      <c r="E24" s="144"/>
      <c r="F24" s="144">
        <f t="shared" si="33"/>
        <v>2.8927206510954109E-2</v>
      </c>
      <c r="G24" s="144" t="str">
        <f t="shared" si="21"/>
        <v>ok</v>
      </c>
      <c r="H24" s="145">
        <f t="shared" si="8"/>
        <v>0.56776615054835622</v>
      </c>
      <c r="I24" s="145">
        <f t="shared" si="22"/>
        <v>0.47124590495513563</v>
      </c>
      <c r="L24" s="80">
        <v>12</v>
      </c>
      <c r="M24" s="145">
        <f t="shared" si="23"/>
        <v>0.99602660824738853</v>
      </c>
      <c r="N24" s="145">
        <f>INDEX('Table of Life'!$E$8:$E$108,MATCH(MIN(idade_entrada+Markov!C24,100),'Table of Life'!$D$8:$D$108))</f>
        <v>3.9733917526114564E-3</v>
      </c>
      <c r="Q24">
        <f>IF(R24&lt;=Presentation!$F$34,1,0)</f>
        <v>1</v>
      </c>
      <c r="R24" s="146">
        <v>12</v>
      </c>
      <c r="S24" s="144">
        <f t="shared" si="34"/>
        <v>0.93276685203536303</v>
      </c>
      <c r="T24" s="144"/>
      <c r="U24" s="144">
        <f t="shared" si="35"/>
        <v>6.7233147964636891E-2</v>
      </c>
      <c r="V24" s="144" t="str">
        <f t="shared" si="47"/>
        <v>ok</v>
      </c>
      <c r="W24" s="145">
        <f t="shared" si="9"/>
        <v>0.54536945993143016</v>
      </c>
      <c r="X24" s="145">
        <f t="shared" si="10"/>
        <v>0.44174926254445845</v>
      </c>
      <c r="AA24">
        <f>IF(AB24&lt;=Presentation!$F$34,1,0)</f>
        <v>1</v>
      </c>
      <c r="AB24" s="146">
        <v>12</v>
      </c>
      <c r="AC24" s="144">
        <f t="shared" si="25"/>
        <v>0.81058424597018752</v>
      </c>
      <c r="AD24" s="144"/>
      <c r="AE24" s="144">
        <f t="shared" si="26"/>
        <v>0.18941575402981245</v>
      </c>
      <c r="AF24" s="144" t="str">
        <f t="shared" si="48"/>
        <v>ok</v>
      </c>
      <c r="AG24" s="145">
        <f t="shared" si="11"/>
        <v>0.47393182067851514</v>
      </c>
      <c r="AH24" s="145">
        <f t="shared" si="12"/>
        <v>0.37914545654281212</v>
      </c>
      <c r="AK24">
        <f>IF(AL24&lt;=Presentation!$F$34,1,0)</f>
        <v>1</v>
      </c>
      <c r="AL24" s="146">
        <v>12</v>
      </c>
      <c r="AM24" s="144">
        <f t="shared" si="36"/>
        <v>0.96899019600496095</v>
      </c>
      <c r="AN24" s="144">
        <f t="shared" si="37"/>
        <v>1.6679305893303292E-4</v>
      </c>
      <c r="AO24" s="144">
        <f t="shared" si="38"/>
        <v>3.084301093610527E-2</v>
      </c>
      <c r="AP24" s="144" t="str">
        <f t="shared" si="28"/>
        <v>checar</v>
      </c>
      <c r="AQ24" s="145">
        <f t="shared" si="13"/>
        <v>0.5666460193790297</v>
      </c>
      <c r="AR24" s="145">
        <f t="shared" si="14"/>
        <v>0.45897937487912926</v>
      </c>
      <c r="AU24">
        <f>IF(AV24&lt;=Presentation!$F$34,1,0)</f>
        <v>1</v>
      </c>
      <c r="AV24" s="146">
        <v>12</v>
      </c>
      <c r="AW24" s="144">
        <f t="shared" si="39"/>
        <v>0.22069237000527209</v>
      </c>
      <c r="AX24" s="144">
        <f t="shared" si="40"/>
        <v>0.32880618644472548</v>
      </c>
      <c r="AY24" s="144">
        <f t="shared" si="41"/>
        <v>0.45050144355000232</v>
      </c>
      <c r="AZ24" s="144" t="str">
        <f t="shared" si="49"/>
        <v>ok</v>
      </c>
      <c r="BA24" s="145">
        <f t="shared" si="15"/>
        <v>0.32128042533920814</v>
      </c>
      <c r="BB24" s="145">
        <f t="shared" si="16"/>
        <v>0.25254729783124963</v>
      </c>
      <c r="BE24">
        <f>IF(BF24&lt;=Presentation!$F$34,1,0)</f>
        <v>1</v>
      </c>
      <c r="BF24" s="146">
        <v>12</v>
      </c>
      <c r="BG24" s="144">
        <f t="shared" si="42"/>
        <v>0.18234758846263927</v>
      </c>
      <c r="BH24" s="144">
        <f t="shared" si="43"/>
        <v>0.30214973501495479</v>
      </c>
      <c r="BI24" s="144">
        <f t="shared" si="44"/>
        <v>0.51550267652240589</v>
      </c>
      <c r="BJ24" s="144" t="str">
        <f t="shared" si="50"/>
        <v>ok</v>
      </c>
      <c r="BK24" s="145">
        <f t="shared" si="17"/>
        <v>0.28327555065516141</v>
      </c>
      <c r="BL24" s="145">
        <f t="shared" si="18"/>
        <v>0.22238676834003276</v>
      </c>
      <c r="BO24">
        <f>IF(BP24&lt;=Presentation!$F$34,1,0)</f>
        <v>1</v>
      </c>
      <c r="BP24" s="146">
        <v>12</v>
      </c>
      <c r="BQ24" s="144"/>
      <c r="BR24" s="144">
        <f t="shared" si="45"/>
        <v>0.24152072301138183</v>
      </c>
      <c r="BS24" s="144">
        <f t="shared" si="46"/>
        <v>0.75847927698861806</v>
      </c>
      <c r="BT24" s="144" t="str">
        <f t="shared" si="51"/>
        <v>ok</v>
      </c>
      <c r="BU24" s="145">
        <f t="shared" si="19"/>
        <v>0.1412121646299371</v>
      </c>
      <c r="BV24" s="145">
        <f t="shared" si="20"/>
        <v>0.10873336676505158</v>
      </c>
      <c r="BZ24" s="136"/>
    </row>
    <row r="25" spans="1:78" x14ac:dyDescent="0.3">
      <c r="A25" s="136"/>
      <c r="B25">
        <f>IF(C25&lt;=Presentation!$F$34,1,0)</f>
        <v>1</v>
      </c>
      <c r="C25" s="146">
        <v>13</v>
      </c>
      <c r="D25" s="144">
        <f t="shared" si="32"/>
        <v>0.96721434086021119</v>
      </c>
      <c r="E25" s="144"/>
      <c r="F25" s="144">
        <f t="shared" si="33"/>
        <v>3.2785659139788856E-2</v>
      </c>
      <c r="G25" s="144" t="str">
        <f t="shared" si="21"/>
        <v>ok</v>
      </c>
      <c r="H25" s="145">
        <f t="shared" si="8"/>
        <v>0.53858113638891003</v>
      </c>
      <c r="I25" s="145">
        <f t="shared" si="22"/>
        <v>0.44702234320279532</v>
      </c>
      <c r="L25" s="80">
        <v>13</v>
      </c>
      <c r="M25" s="145">
        <f t="shared" si="23"/>
        <v>0.9957177195042004</v>
      </c>
      <c r="N25" s="145">
        <f>INDEX('Table of Life'!$E$8:$E$108,MATCH(MIN(idade_entrada+Markov!C25,100),'Table of Life'!$D$8:$D$108))</f>
        <v>4.2822804957996039E-3</v>
      </c>
      <c r="Q25">
        <f>IF(R25&lt;=Presentation!$F$34,1,0)</f>
        <v>1</v>
      </c>
      <c r="R25" s="146">
        <v>13</v>
      </c>
      <c r="S25" s="144">
        <f t="shared" si="34"/>
        <v>0.92737246314360577</v>
      </c>
      <c r="T25" s="144"/>
      <c r="U25" s="144">
        <f t="shared" si="35"/>
        <v>7.2627536856394156E-2</v>
      </c>
      <c r="V25" s="144" t="str">
        <f t="shared" si="47"/>
        <v>ok</v>
      </c>
      <c r="W25" s="145">
        <f t="shared" si="9"/>
        <v>0.51639568806584935</v>
      </c>
      <c r="X25" s="145">
        <f t="shared" si="10"/>
        <v>0.41828050733333799</v>
      </c>
      <c r="AA25">
        <f>IF(AB25&lt;=Presentation!$F$34,1,0)</f>
        <v>1</v>
      </c>
      <c r="AB25" s="146">
        <v>13</v>
      </c>
      <c r="AC25" s="144">
        <f t="shared" si="25"/>
        <v>0.79652242149749242</v>
      </c>
      <c r="AD25" s="144"/>
      <c r="AE25" s="144">
        <f t="shared" si="26"/>
        <v>0.20347757850250761</v>
      </c>
      <c r="AF25" s="144" t="str">
        <f t="shared" si="48"/>
        <v>ok</v>
      </c>
      <c r="AG25" s="145">
        <f t="shared" si="11"/>
        <v>0.4435334887072015</v>
      </c>
      <c r="AH25" s="145">
        <f t="shared" si="12"/>
        <v>0.3548267909657612</v>
      </c>
      <c r="AK25">
        <f>IF(AL25&lt;=Presentation!$F$34,1,0)</f>
        <v>1</v>
      </c>
      <c r="AL25" s="146">
        <v>13</v>
      </c>
      <c r="AM25" s="144">
        <f t="shared" si="36"/>
        <v>0.96644986909065922</v>
      </c>
      <c r="AN25" s="144">
        <f t="shared" si="37"/>
        <v>1.7239380850088241E-4</v>
      </c>
      <c r="AO25" s="144">
        <f t="shared" si="38"/>
        <v>3.3377737100839147E-2</v>
      </c>
      <c r="AP25" s="144" t="str">
        <f t="shared" si="28"/>
        <v>checar</v>
      </c>
      <c r="AQ25" s="145">
        <f t="shared" si="13"/>
        <v>0.53825144522571844</v>
      </c>
      <c r="AR25" s="145">
        <f t="shared" si="14"/>
        <v>0.43597983081990255</v>
      </c>
      <c r="AU25">
        <f>IF(AV25&lt;=Presentation!$F$34,1,0)</f>
        <v>1</v>
      </c>
      <c r="AV25" s="146">
        <v>13</v>
      </c>
      <c r="AW25" s="144">
        <f t="shared" si="39"/>
        <v>0.19458211895184835</v>
      </c>
      <c r="AX25" s="144">
        <f t="shared" si="40"/>
        <v>0.31526459868884371</v>
      </c>
      <c r="AY25" s="144">
        <f t="shared" si="41"/>
        <v>0.49015328235930777</v>
      </c>
      <c r="AZ25" s="144" t="str">
        <f t="shared" si="49"/>
        <v>ok</v>
      </c>
      <c r="BA25" s="145">
        <f t="shared" si="15"/>
        <v>0.28390172991734614</v>
      </c>
      <c r="BB25" s="145">
        <f t="shared" si="16"/>
        <v>0.22293835622598318</v>
      </c>
      <c r="BE25">
        <f>IF(BF25&lt;=Presentation!$F$34,1,0)</f>
        <v>1</v>
      </c>
      <c r="BF25" s="146">
        <v>13</v>
      </c>
      <c r="BG25" s="144">
        <f t="shared" si="42"/>
        <v>0.15823711620315412</v>
      </c>
      <c r="BH25" s="144">
        <f t="shared" si="43"/>
        <v>0.28755838736287576</v>
      </c>
      <c r="BI25" s="144">
        <f t="shared" si="44"/>
        <v>0.55420449643397007</v>
      </c>
      <c r="BJ25" s="144" t="str">
        <f t="shared" si="50"/>
        <v>ok</v>
      </c>
      <c r="BK25" s="145">
        <f t="shared" si="17"/>
        <v>0.24823561724087309</v>
      </c>
      <c r="BL25" s="145">
        <f t="shared" si="18"/>
        <v>0.19466591916532935</v>
      </c>
      <c r="BO25">
        <f>IF(BP25&lt;=Presentation!$F$34,1,0)</f>
        <v>1</v>
      </c>
      <c r="BP25" s="146">
        <v>13</v>
      </c>
      <c r="BQ25" s="144"/>
      <c r="BR25" s="144">
        <f t="shared" si="45"/>
        <v>0.21455267492836927</v>
      </c>
      <c r="BS25" s="144">
        <f t="shared" si="46"/>
        <v>0.78544732507163062</v>
      </c>
      <c r="BT25" s="144" t="str">
        <f t="shared" si="51"/>
        <v>ok</v>
      </c>
      <c r="BU25" s="145">
        <f t="shared" si="19"/>
        <v>0.11947095757020235</v>
      </c>
      <c r="BV25" s="145">
        <f t="shared" si="20"/>
        <v>9.1992637329055812E-2</v>
      </c>
      <c r="BZ25" s="136"/>
    </row>
    <row r="26" spans="1:78" x14ac:dyDescent="0.3">
      <c r="A26" s="136"/>
      <c r="B26">
        <f>IF(C26&lt;=Presentation!$F$34,1,0)</f>
        <v>1</v>
      </c>
      <c r="C26" s="146">
        <v>14</v>
      </c>
      <c r="D26" s="144">
        <f t="shared" si="32"/>
        <v>0.96307245775308781</v>
      </c>
      <c r="E26" s="144"/>
      <c r="F26" s="144">
        <f t="shared" si="33"/>
        <v>3.6927542246912207E-2</v>
      </c>
      <c r="G26" s="144" t="str">
        <f t="shared" si="21"/>
        <v>ok</v>
      </c>
      <c r="H26" s="145">
        <f t="shared" si="8"/>
        <v>0.51073788656490093</v>
      </c>
      <c r="I26" s="145">
        <f t="shared" si="22"/>
        <v>0.42391244584886778</v>
      </c>
      <c r="L26" s="80">
        <v>14</v>
      </c>
      <c r="M26" s="145">
        <f t="shared" si="23"/>
        <v>0.99538637502848659</v>
      </c>
      <c r="N26" s="145">
        <f>INDEX('Table of Life'!$E$8:$E$108,MATCH(MIN(idade_entrada+Markov!C26,100),'Table of Life'!$D$8:$D$108))</f>
        <v>4.6136249715134124E-3</v>
      </c>
      <c r="Q26">
        <f>IF(R26&lt;=Presentation!$F$34,1,0)</f>
        <v>1</v>
      </c>
      <c r="R26" s="146">
        <v>14</v>
      </c>
      <c r="S26" s="144">
        <f t="shared" si="34"/>
        <v>0.9220092711489638</v>
      </c>
      <c r="T26" s="144"/>
      <c r="U26" s="144">
        <f t="shared" si="35"/>
        <v>7.7990728851036112E-2</v>
      </c>
      <c r="V26" s="144" t="str">
        <f t="shared" si="47"/>
        <v>ok</v>
      </c>
      <c r="W26" s="145">
        <f t="shared" si="9"/>
        <v>0.48896120198320214</v>
      </c>
      <c r="X26" s="145">
        <f t="shared" si="10"/>
        <v>0.39605857360639374</v>
      </c>
      <c r="AA26">
        <f>IF(AB26&lt;=Presentation!$F$34,1,0)</f>
        <v>1</v>
      </c>
      <c r="AB26" s="146">
        <v>14</v>
      </c>
      <c r="AC26" s="144">
        <f t="shared" si="25"/>
        <v>0.7827045382418687</v>
      </c>
      <c r="AD26" s="144"/>
      <c r="AE26" s="144">
        <f t="shared" si="26"/>
        <v>0.21729546175813133</v>
      </c>
      <c r="AF26" s="144" t="str">
        <f t="shared" si="48"/>
        <v>ok</v>
      </c>
      <c r="AG26" s="145">
        <f t="shared" si="11"/>
        <v>0.41508492787662948</v>
      </c>
      <c r="AH26" s="145">
        <f t="shared" si="12"/>
        <v>0.3320679423013036</v>
      </c>
      <c r="AK26">
        <f>IF(AL26&lt;=Presentation!$F$34,1,0)</f>
        <v>1</v>
      </c>
      <c r="AL26" s="146">
        <v>14</v>
      </c>
      <c r="AM26" s="144">
        <f t="shared" si="36"/>
        <v>0.9639162019556391</v>
      </c>
      <c r="AN26" s="144">
        <f t="shared" si="37"/>
        <v>1.773056738131787E-4</v>
      </c>
      <c r="AO26" s="144">
        <f t="shared" si="38"/>
        <v>3.5906492370546876E-2</v>
      </c>
      <c r="AP26" s="144" t="str">
        <f t="shared" si="28"/>
        <v>checar</v>
      </c>
      <c r="AQ26" s="145">
        <f t="shared" si="13"/>
        <v>0.5112793711144108</v>
      </c>
      <c r="AR26" s="145">
        <f t="shared" si="14"/>
        <v>0.4141325294432962</v>
      </c>
      <c r="AU26">
        <f>IF(AV26&lt;=Presentation!$F$34,1,0)</f>
        <v>1</v>
      </c>
      <c r="AV26" s="146">
        <v>14</v>
      </c>
      <c r="AW26" s="144">
        <f t="shared" si="39"/>
        <v>0.17156098788049073</v>
      </c>
      <c r="AX26" s="144">
        <f t="shared" si="40"/>
        <v>0.30049347952306149</v>
      </c>
      <c r="AY26" s="144">
        <f t="shared" si="41"/>
        <v>0.52794553259644761</v>
      </c>
      <c r="AZ26" s="144" t="str">
        <f t="shared" si="49"/>
        <v>ok</v>
      </c>
      <c r="BA26" s="145">
        <f t="shared" si="15"/>
        <v>0.25034056273159699</v>
      </c>
      <c r="BB26" s="145">
        <f t="shared" si="16"/>
        <v>0.19640153149576262</v>
      </c>
      <c r="BE26">
        <f>IF(BF26&lt;=Presentation!$F$34,1,0)</f>
        <v>1</v>
      </c>
      <c r="BF26" s="146">
        <v>14</v>
      </c>
      <c r="BG26" s="144">
        <f t="shared" si="42"/>
        <v>0.13731459327426573</v>
      </c>
      <c r="BH26" s="144">
        <f t="shared" si="43"/>
        <v>0.27206470058688037</v>
      </c>
      <c r="BI26" s="144">
        <f t="shared" si="44"/>
        <v>0.59062070613885387</v>
      </c>
      <c r="BJ26" s="144" t="str">
        <f t="shared" si="50"/>
        <v>ok</v>
      </c>
      <c r="BK26" s="145">
        <f t="shared" si="17"/>
        <v>0.21710258004666</v>
      </c>
      <c r="BL26" s="145">
        <f t="shared" si="18"/>
        <v>0.1700818210586689</v>
      </c>
      <c r="BO26">
        <f>IF(BP26&lt;=Presentation!$F$34,1,0)</f>
        <v>1</v>
      </c>
      <c r="BP26" s="146">
        <v>14</v>
      </c>
      <c r="BQ26" s="144"/>
      <c r="BR26" s="144">
        <f t="shared" si="45"/>
        <v>0.19059586169236983</v>
      </c>
      <c r="BS26" s="144">
        <f t="shared" si="46"/>
        <v>0.80940413830763003</v>
      </c>
      <c r="BT26" s="144" t="str">
        <f t="shared" si="51"/>
        <v>ok</v>
      </c>
      <c r="BU26" s="145">
        <f t="shared" si="19"/>
        <v>0.10107705480010135</v>
      </c>
      <c r="BV26" s="145">
        <f t="shared" si="20"/>
        <v>7.7829332196078044E-2</v>
      </c>
      <c r="BZ26" s="136"/>
    </row>
    <row r="27" spans="1:78" x14ac:dyDescent="0.3">
      <c r="A27" s="136"/>
      <c r="B27">
        <f>IF(C27&lt;=Presentation!$F$34,1,0)</f>
        <v>1</v>
      </c>
      <c r="C27" s="146">
        <v>15</v>
      </c>
      <c r="D27" s="144">
        <f t="shared" si="32"/>
        <v>0.95862920261262141</v>
      </c>
      <c r="E27" s="144"/>
      <c r="F27" s="144">
        <f t="shared" si="33"/>
        <v>4.1370797387378651E-2</v>
      </c>
      <c r="G27" s="144" t="str">
        <f t="shared" si="21"/>
        <v>ok</v>
      </c>
      <c r="H27" s="145">
        <f t="shared" si="8"/>
        <v>0.48417288904528322</v>
      </c>
      <c r="I27" s="145">
        <f t="shared" si="22"/>
        <v>0.40186349790758508</v>
      </c>
      <c r="L27" s="80">
        <v>15</v>
      </c>
      <c r="M27" s="145">
        <f t="shared" si="23"/>
        <v>0.99502225629147212</v>
      </c>
      <c r="N27" s="145">
        <f>INDEX('Table of Life'!$E$8:$E$108,MATCH(MIN(idade_entrada+Markov!C27,100),'Table of Life'!$D$8:$D$108))</f>
        <v>4.9777437085279019E-3</v>
      </c>
      <c r="Q27">
        <f>IF(R27&lt;=Presentation!$F$34,1,0)</f>
        <v>1</v>
      </c>
      <c r="R27" s="146">
        <v>15</v>
      </c>
      <c r="S27" s="144">
        <f t="shared" si="34"/>
        <v>0.91667709563315269</v>
      </c>
      <c r="T27" s="144"/>
      <c r="U27" s="144">
        <f t="shared" si="35"/>
        <v>8.3322904366847236E-2</v>
      </c>
      <c r="V27" s="144" t="str">
        <f t="shared" si="47"/>
        <v>ok</v>
      </c>
      <c r="W27" s="145">
        <f t="shared" si="9"/>
        <v>0.4629842242493139</v>
      </c>
      <c r="X27" s="145">
        <f t="shared" si="10"/>
        <v>0.37501722164194429</v>
      </c>
      <c r="AA27">
        <f>IF(AB27&lt;=Presentation!$F$34,1,0)</f>
        <v>1</v>
      </c>
      <c r="AB27" s="146">
        <v>15</v>
      </c>
      <c r="AC27" s="144">
        <f t="shared" si="25"/>
        <v>0.76912636436857107</v>
      </c>
      <c r="AD27" s="144"/>
      <c r="AE27" s="144">
        <f t="shared" si="26"/>
        <v>0.23087363563142896</v>
      </c>
      <c r="AF27" s="144" t="str">
        <f t="shared" si="48"/>
        <v>ok</v>
      </c>
      <c r="AG27" s="145">
        <f t="shared" si="11"/>
        <v>0.38846107844651978</v>
      </c>
      <c r="AH27" s="145">
        <f t="shared" si="12"/>
        <v>0.31076886275721582</v>
      </c>
      <c r="AK27">
        <f>IF(AL27&lt;=Presentation!$F$34,1,0)</f>
        <v>1</v>
      </c>
      <c r="AL27" s="146">
        <v>15</v>
      </c>
      <c r="AM27" s="144">
        <f t="shared" si="36"/>
        <v>0.96138917714047067</v>
      </c>
      <c r="AN27" s="144">
        <f t="shared" si="37"/>
        <v>1.8160574173585583E-4</v>
      </c>
      <c r="AO27" s="144">
        <f t="shared" si="38"/>
        <v>3.8429217117792576E-2</v>
      </c>
      <c r="AP27" s="144" t="str">
        <f t="shared" si="28"/>
        <v>checar</v>
      </c>
      <c r="AQ27" s="145">
        <f t="shared" si="13"/>
        <v>0.48565858697061459</v>
      </c>
      <c r="AR27" s="145">
        <f t="shared" si="14"/>
        <v>0.39337978651658856</v>
      </c>
      <c r="AU27">
        <f>IF(AV27&lt;=Presentation!$F$34,1,0)</f>
        <v>1</v>
      </c>
      <c r="AV27" s="146">
        <v>15</v>
      </c>
      <c r="AW27" s="144">
        <f t="shared" si="39"/>
        <v>0.15126350109186279</v>
      </c>
      <c r="AX27" s="144">
        <f t="shared" si="40"/>
        <v>0.28495447522933348</v>
      </c>
      <c r="AY27" s="144">
        <f t="shared" si="41"/>
        <v>0.56378202367880359</v>
      </c>
      <c r="AZ27" s="144" t="str">
        <f t="shared" si="49"/>
        <v>ok</v>
      </c>
      <c r="BA27" s="145">
        <f t="shared" si="15"/>
        <v>0.22031972036039435</v>
      </c>
      <c r="BB27" s="145">
        <f t="shared" si="16"/>
        <v>0.17270211855187972</v>
      </c>
      <c r="BE27">
        <f>IF(BF27&lt;=Presentation!$F$34,1,0)</f>
        <v>1</v>
      </c>
      <c r="BF27" s="146">
        <v>15</v>
      </c>
      <c r="BG27" s="144">
        <f t="shared" si="42"/>
        <v>0.11915850072665306</v>
      </c>
      <c r="BH27" s="144">
        <f t="shared" si="43"/>
        <v>0.25610416397099661</v>
      </c>
      <c r="BI27" s="144">
        <f t="shared" si="44"/>
        <v>0.62473733530235032</v>
      </c>
      <c r="BJ27" s="144" t="str">
        <f t="shared" si="50"/>
        <v>ok</v>
      </c>
      <c r="BK27" s="145">
        <f t="shared" si="17"/>
        <v>0.18953314589448569</v>
      </c>
      <c r="BL27" s="145">
        <f t="shared" si="18"/>
        <v>0.14834784794051503</v>
      </c>
      <c r="BO27">
        <f>IF(BP27&lt;=Presentation!$F$34,1,0)</f>
        <v>1</v>
      </c>
      <c r="BP27" s="146">
        <v>15</v>
      </c>
      <c r="BQ27" s="144"/>
      <c r="BR27" s="144">
        <f t="shared" si="45"/>
        <v>0.16931405076345499</v>
      </c>
      <c r="BS27" s="144">
        <f t="shared" si="46"/>
        <v>0.83068594923654493</v>
      </c>
      <c r="BT27" s="144" t="str">
        <f t="shared" si="51"/>
        <v>ok</v>
      </c>
      <c r="BU27" s="145">
        <f t="shared" si="19"/>
        <v>8.5515101032477586E-2</v>
      </c>
      <c r="BV27" s="145">
        <f t="shared" si="20"/>
        <v>6.5846627795007745E-2</v>
      </c>
      <c r="BZ27" s="136"/>
    </row>
    <row r="28" spans="1:78" x14ac:dyDescent="0.3">
      <c r="A28" s="136"/>
      <c r="B28">
        <f>IF(C28&lt;=Presentation!$F$34,1,0)</f>
        <v>1</v>
      </c>
      <c r="C28" s="146">
        <v>16</v>
      </c>
      <c r="D28" s="144">
        <f t="shared" si="32"/>
        <v>0.95385739213050535</v>
      </c>
      <c r="E28" s="144"/>
      <c r="F28" s="144">
        <f t="shared" si="33"/>
        <v>4.6142607869494749E-2</v>
      </c>
      <c r="G28" s="144" t="str">
        <f t="shared" si="21"/>
        <v>ok</v>
      </c>
      <c r="H28" s="145">
        <f t="shared" si="8"/>
        <v>0.45882171475523631</v>
      </c>
      <c r="I28" s="145">
        <f t="shared" si="22"/>
        <v>0.38082202324684611</v>
      </c>
      <c r="L28" s="80">
        <v>16</v>
      </c>
      <c r="M28" s="145">
        <f t="shared" si="23"/>
        <v>0.99462261798303819</v>
      </c>
      <c r="N28" s="145">
        <f>INDEX('Table of Life'!$E$8:$E$108,MATCH(MIN(idade_entrada+Markov!C28,100),'Table of Life'!$D$8:$D$108))</f>
        <v>5.3773820169618217E-3</v>
      </c>
      <c r="Q28">
        <f>IF(R28&lt;=Presentation!$F$34,1,0)</f>
        <v>1</v>
      </c>
      <c r="R28" s="146">
        <v>16</v>
      </c>
      <c r="S28" s="144">
        <f t="shared" si="34"/>
        <v>0.91137575722128517</v>
      </c>
      <c r="T28" s="144"/>
      <c r="U28" s="144">
        <f t="shared" si="35"/>
        <v>8.8624242778714724E-2</v>
      </c>
      <c r="V28" s="144" t="str">
        <f t="shared" si="47"/>
        <v>ok</v>
      </c>
      <c r="W28" s="145">
        <f t="shared" si="9"/>
        <v>0.43838732200904318</v>
      </c>
      <c r="X28" s="145">
        <f t="shared" si="10"/>
        <v>0.35509373082732498</v>
      </c>
      <c r="AA28">
        <f>IF(AB28&lt;=Presentation!$F$34,1,0)</f>
        <v>1</v>
      </c>
      <c r="AB28" s="146">
        <v>16</v>
      </c>
      <c r="AC28" s="144">
        <f t="shared" si="25"/>
        <v>0.75578374145572602</v>
      </c>
      <c r="AD28" s="144"/>
      <c r="AE28" s="144">
        <f t="shared" si="26"/>
        <v>0.24421625854427398</v>
      </c>
      <c r="AF28" s="144" t="str">
        <f t="shared" si="48"/>
        <v>ok</v>
      </c>
      <c r="AG28" s="145">
        <f t="shared" si="11"/>
        <v>0.3635449020993694</v>
      </c>
      <c r="AH28" s="145">
        <f t="shared" si="12"/>
        <v>0.29083592167949551</v>
      </c>
      <c r="AK28">
        <f>IF(AL28&lt;=Presentation!$F$34,1,0)</f>
        <v>1</v>
      </c>
      <c r="AL28" s="146">
        <v>16</v>
      </c>
      <c r="AM28" s="144">
        <f t="shared" si="36"/>
        <v>0.95886877723149588</v>
      </c>
      <c r="AN28" s="144">
        <f t="shared" si="37"/>
        <v>1.8536249122865449E-4</v>
      </c>
      <c r="AO28" s="144">
        <f t="shared" si="38"/>
        <v>4.0945860277274523E-2</v>
      </c>
      <c r="AP28" s="144" t="str">
        <f t="shared" si="28"/>
        <v>checar</v>
      </c>
      <c r="AQ28" s="145">
        <f t="shared" si="13"/>
        <v>0.46132143920155683</v>
      </c>
      <c r="AR28" s="145">
        <f t="shared" si="14"/>
        <v>0.37366679925215607</v>
      </c>
      <c r="AU28">
        <f>IF(AV28&lt;=Presentation!$F$34,1,0)</f>
        <v>1</v>
      </c>
      <c r="AV28" s="146">
        <v>16</v>
      </c>
      <c r="AW28" s="144">
        <f t="shared" si="39"/>
        <v>0.13336742254309364</v>
      </c>
      <c r="AX28" s="144">
        <f t="shared" si="40"/>
        <v>0.26901931001523194</v>
      </c>
      <c r="AY28" s="144">
        <f t="shared" si="41"/>
        <v>0.5976132674416742</v>
      </c>
      <c r="AZ28" s="144" t="str">
        <f t="shared" si="49"/>
        <v>ok</v>
      </c>
      <c r="BA28" s="145">
        <f t="shared" si="15"/>
        <v>0.1935548984055131</v>
      </c>
      <c r="BB28" s="145">
        <f t="shared" si="16"/>
        <v>0.15160335219510712</v>
      </c>
      <c r="BE28">
        <f>IF(BF28&lt;=Presentation!$F$34,1,0)</f>
        <v>1</v>
      </c>
      <c r="BF28" s="146">
        <v>16</v>
      </c>
      <c r="BG28" s="144">
        <f t="shared" si="42"/>
        <v>0.10340305394244487</v>
      </c>
      <c r="BH28" s="144">
        <f t="shared" si="43"/>
        <v>0.24001938085713156</v>
      </c>
      <c r="BI28" s="144">
        <f t="shared" si="44"/>
        <v>0.65657756520042354</v>
      </c>
      <c r="BJ28" s="144" t="str">
        <f t="shared" si="50"/>
        <v>ok</v>
      </c>
      <c r="BK28" s="145">
        <f t="shared" si="17"/>
        <v>0.1651920630066277</v>
      </c>
      <c r="BL28" s="145">
        <f t="shared" si="18"/>
        <v>0.12918743399274887</v>
      </c>
      <c r="BO28">
        <f>IF(BP28&lt;=Presentation!$F$34,1,0)</f>
        <v>1</v>
      </c>
      <c r="BP28" s="146">
        <v>16</v>
      </c>
      <c r="BQ28" s="144"/>
      <c r="BR28" s="144">
        <f t="shared" si="45"/>
        <v>0.15040855311014056</v>
      </c>
      <c r="BS28" s="144">
        <f t="shared" si="46"/>
        <v>0.84959144688985933</v>
      </c>
      <c r="BT28" s="144" t="str">
        <f t="shared" si="51"/>
        <v>ok</v>
      </c>
      <c r="BU28" s="145">
        <f t="shared" si="19"/>
        <v>7.2349085745101391E-2</v>
      </c>
      <c r="BV28" s="145">
        <f t="shared" si="20"/>
        <v>5.5708796023728073E-2</v>
      </c>
      <c r="BZ28" s="136"/>
    </row>
    <row r="29" spans="1:78" x14ac:dyDescent="0.3">
      <c r="A29" s="136"/>
      <c r="B29">
        <f>IF(C29&lt;=Presentation!$F$34,1,0)</f>
        <v>1</v>
      </c>
      <c r="C29" s="146">
        <v>17</v>
      </c>
      <c r="D29" s="144">
        <f t="shared" si="32"/>
        <v>0.94872813654331667</v>
      </c>
      <c r="E29" s="144"/>
      <c r="F29" s="144">
        <f t="shared" si="33"/>
        <v>5.1271863456683428E-2</v>
      </c>
      <c r="G29" s="144" t="str">
        <f t="shared" si="21"/>
        <v>ok</v>
      </c>
      <c r="H29" s="145">
        <f t="shared" si="8"/>
        <v>0.43462329058792376</v>
      </c>
      <c r="I29" s="145">
        <f t="shared" si="22"/>
        <v>0.36073733118797668</v>
      </c>
      <c r="L29" s="80">
        <v>17</v>
      </c>
      <c r="M29" s="145">
        <f t="shared" si="23"/>
        <v>0.99419152928193055</v>
      </c>
      <c r="N29" s="145">
        <f>INDEX('Table of Life'!$E$8:$E$108,MATCH(MIN(idade_entrada+Markov!C29,100),'Table of Life'!$D$8:$D$108))</f>
        <v>5.8084707180694264E-3</v>
      </c>
      <c r="Q29">
        <f>IF(R29&lt;=Presentation!$F$34,1,0)</f>
        <v>1</v>
      </c>
      <c r="R29" s="146">
        <v>17</v>
      </c>
      <c r="S29" s="144">
        <f t="shared" si="34"/>
        <v>0.90610507757583725</v>
      </c>
      <c r="T29" s="144"/>
      <c r="U29" s="144">
        <f t="shared" si="35"/>
        <v>9.3894922424162697E-2</v>
      </c>
      <c r="V29" s="144" t="str">
        <f t="shared" si="47"/>
        <v>ok</v>
      </c>
      <c r="W29" s="145">
        <f t="shared" si="9"/>
        <v>0.41509717617240255</v>
      </c>
      <c r="X29" s="145">
        <f t="shared" si="10"/>
        <v>0.3362287126996461</v>
      </c>
      <c r="AA29">
        <f>IF(AB29&lt;=Presentation!$F$34,1,0)</f>
        <v>1</v>
      </c>
      <c r="AB29" s="146">
        <v>17</v>
      </c>
      <c r="AC29" s="144">
        <f t="shared" si="25"/>
        <v>0.74267258322078289</v>
      </c>
      <c r="AD29" s="144"/>
      <c r="AE29" s="144">
        <f t="shared" si="26"/>
        <v>0.25732741677921717</v>
      </c>
      <c r="AF29" s="144" t="str">
        <f t="shared" si="48"/>
        <v>ok</v>
      </c>
      <c r="AG29" s="145">
        <f t="shared" si="11"/>
        <v>0.34022686744055769</v>
      </c>
      <c r="AH29" s="145">
        <f t="shared" si="12"/>
        <v>0.27218149395244617</v>
      </c>
      <c r="AK29">
        <f>IF(AL29&lt;=Presentation!$F$34,1,0)</f>
        <v>1</v>
      </c>
      <c r="AL29" s="146">
        <v>17</v>
      </c>
      <c r="AM29" s="144">
        <f t="shared" si="36"/>
        <v>0.9563549848607088</v>
      </c>
      <c r="AN29" s="144">
        <f t="shared" si="37"/>
        <v>1.8863675449951736E-4</v>
      </c>
      <c r="AO29" s="144">
        <f t="shared" si="38"/>
        <v>4.3456378384790745E-2</v>
      </c>
      <c r="AP29" s="144" t="str">
        <f t="shared" si="28"/>
        <v>checar</v>
      </c>
      <c r="AQ29" s="145">
        <f t="shared" si="13"/>
        <v>0.43820365434930914</v>
      </c>
      <c r="AR29" s="145">
        <f t="shared" si="14"/>
        <v>0.35494150335611213</v>
      </c>
      <c r="AU29">
        <f>IF(AV29&lt;=Presentation!$F$34,1,0)</f>
        <v>1</v>
      </c>
      <c r="AV29" s="146">
        <v>17</v>
      </c>
      <c r="AW29" s="144">
        <f t="shared" si="39"/>
        <v>0.1175886401372269</v>
      </c>
      <c r="AX29" s="144">
        <f t="shared" si="40"/>
        <v>0.25298436681867642</v>
      </c>
      <c r="AY29" s="144">
        <f t="shared" si="41"/>
        <v>0.62942699304409644</v>
      </c>
      <c r="AZ29" s="144" t="str">
        <f t="shared" si="49"/>
        <v>ok</v>
      </c>
      <c r="BA29" s="145">
        <f t="shared" si="15"/>
        <v>0.1697637642254986</v>
      </c>
      <c r="BB29" s="145">
        <f t="shared" si="16"/>
        <v>0.13287284688972048</v>
      </c>
      <c r="BE29">
        <f>IF(BF29&lt;=Presentation!$F$34,1,0)</f>
        <v>1</v>
      </c>
      <c r="BF29" s="146">
        <v>17</v>
      </c>
      <c r="BG29" s="144">
        <f t="shared" si="42"/>
        <v>8.973083329700339E-2</v>
      </c>
      <c r="BH29" s="144">
        <f t="shared" si="43"/>
        <v>0.22407629233423354</v>
      </c>
      <c r="BI29" s="144">
        <f t="shared" si="44"/>
        <v>0.68619287436876297</v>
      </c>
      <c r="BJ29" s="144" t="str">
        <f t="shared" si="50"/>
        <v>ok</v>
      </c>
      <c r="BK29" s="145">
        <f t="shared" si="17"/>
        <v>0.14375865993467249</v>
      </c>
      <c r="BL29" s="145">
        <f t="shared" si="18"/>
        <v>0.11233843729414769</v>
      </c>
      <c r="BO29">
        <f>IF(BP29&lt;=Presentation!$F$34,1,0)</f>
        <v>1</v>
      </c>
      <c r="BP29" s="146">
        <v>17</v>
      </c>
      <c r="BQ29" s="144"/>
      <c r="BR29" s="144">
        <f t="shared" si="45"/>
        <v>0.13361403112545991</v>
      </c>
      <c r="BS29" s="144">
        <f t="shared" si="46"/>
        <v>0.86638596887454</v>
      </c>
      <c r="BT29" s="144" t="str">
        <f t="shared" si="51"/>
        <v>ok</v>
      </c>
      <c r="BU29" s="145">
        <f t="shared" si="19"/>
        <v>6.1210127158290759E-2</v>
      </c>
      <c r="BV29" s="145">
        <f t="shared" si="20"/>
        <v>4.7131797911883884E-2</v>
      </c>
      <c r="BZ29" s="136"/>
    </row>
    <row r="30" spans="1:78" x14ac:dyDescent="0.3">
      <c r="A30" s="136"/>
      <c r="B30">
        <f>IF(C30&lt;=Presentation!$F$34,1,0)</f>
        <v>1</v>
      </c>
      <c r="C30" s="146">
        <v>18</v>
      </c>
      <c r="D30" s="144">
        <f t="shared" si="32"/>
        <v>0.94321747694279623</v>
      </c>
      <c r="E30" s="144"/>
      <c r="F30" s="144">
        <f t="shared" si="33"/>
        <v>5.6782523057203854E-2</v>
      </c>
      <c r="G30" s="144" t="str">
        <f t="shared" si="21"/>
        <v>ok</v>
      </c>
      <c r="H30" s="145">
        <f t="shared" si="8"/>
        <v>0.41152266088681216</v>
      </c>
      <c r="I30" s="145">
        <f t="shared" si="22"/>
        <v>0.34156380853605406</v>
      </c>
      <c r="L30" s="80">
        <v>18</v>
      </c>
      <c r="M30" s="145">
        <f t="shared" si="23"/>
        <v>0.9937271040137502</v>
      </c>
      <c r="N30" s="145">
        <f>INDEX('Table of Life'!$E$8:$E$108,MATCH(MIN(idade_entrada+Markov!C30,100),'Table of Life'!$D$8:$D$108))</f>
        <v>6.2728959862498115E-3</v>
      </c>
      <c r="Q30">
        <f>IF(R30&lt;=Presentation!$F$34,1,0)</f>
        <v>1</v>
      </c>
      <c r="R30" s="146">
        <v>18</v>
      </c>
      <c r="S30" s="144">
        <f t="shared" si="34"/>
        <v>0.90086487939064852</v>
      </c>
      <c r="T30" s="144"/>
      <c r="U30" s="144">
        <f t="shared" si="35"/>
        <v>9.9135120609351465E-2</v>
      </c>
      <c r="V30" s="144" t="str">
        <f t="shared" si="47"/>
        <v>ok</v>
      </c>
      <c r="W30" s="145">
        <f t="shared" si="9"/>
        <v>0.39304436286309441</v>
      </c>
      <c r="X30" s="145">
        <f t="shared" si="10"/>
        <v>0.3183659339191065</v>
      </c>
      <c r="AA30">
        <f>IF(AB30&lt;=Presentation!$F$34,1,0)</f>
        <v>1</v>
      </c>
      <c r="AB30" s="146">
        <v>18</v>
      </c>
      <c r="AC30" s="144">
        <f t="shared" si="25"/>
        <v>0.72978887426905747</v>
      </c>
      <c r="AD30" s="144"/>
      <c r="AE30" s="144">
        <f t="shared" si="26"/>
        <v>0.27021112573094264</v>
      </c>
      <c r="AF30" s="144" t="str">
        <f t="shared" si="48"/>
        <v>ok</v>
      </c>
      <c r="AG30" s="145">
        <f t="shared" si="11"/>
        <v>0.31840446849884618</v>
      </c>
      <c r="AH30" s="145">
        <f t="shared" si="12"/>
        <v>0.25472357479907698</v>
      </c>
      <c r="AK30">
        <f>IF(AL30&lt;=Presentation!$F$34,1,0)</f>
        <v>1</v>
      </c>
      <c r="AL30" s="146">
        <v>18</v>
      </c>
      <c r="AM30" s="144">
        <f t="shared" si="36"/>
        <v>0.95384778270563575</v>
      </c>
      <c r="AN30" s="144">
        <f t="shared" si="37"/>
        <v>1.9148257083710191E-4</v>
      </c>
      <c r="AO30" s="144">
        <f t="shared" si="38"/>
        <v>4.5960734723526193E-2</v>
      </c>
      <c r="AP30" s="144" t="str">
        <f t="shared" si="28"/>
        <v>checar</v>
      </c>
      <c r="AQ30" s="145">
        <f t="shared" si="13"/>
        <v>0.41624417129082109</v>
      </c>
      <c r="AR30" s="145">
        <f t="shared" si="14"/>
        <v>0.33715443701710945</v>
      </c>
      <c r="AU30">
        <f>IF(AV30&lt;=Presentation!$F$34,1,0)</f>
        <v>1</v>
      </c>
      <c r="AV30" s="146">
        <v>18</v>
      </c>
      <c r="AW30" s="144">
        <f t="shared" si="39"/>
        <v>0.10367665525555497</v>
      </c>
      <c r="AX30" s="144">
        <f t="shared" si="40"/>
        <v>0.23708310287980772</v>
      </c>
      <c r="AY30" s="144">
        <f t="shared" si="41"/>
        <v>0.65924024186463714</v>
      </c>
      <c r="AZ30" s="144" t="str">
        <f t="shared" si="49"/>
        <v>ok</v>
      </c>
      <c r="BA30" s="145">
        <f t="shared" si="15"/>
        <v>0.14867235374553561</v>
      </c>
      <c r="BB30" s="145">
        <f t="shared" si="16"/>
        <v>0.11628706363488528</v>
      </c>
      <c r="BE30">
        <f>IF(BF30&lt;=Presentation!$F$34,1,0)</f>
        <v>1</v>
      </c>
      <c r="BF30" s="146">
        <v>18</v>
      </c>
      <c r="BG30" s="144">
        <f t="shared" si="42"/>
        <v>7.786638921376754E-2</v>
      </c>
      <c r="BH30" s="144">
        <f t="shared" si="43"/>
        <v>0.20847781562027837</v>
      </c>
      <c r="BI30" s="144">
        <f t="shared" si="44"/>
        <v>0.71365579516595401</v>
      </c>
      <c r="BJ30" s="144" t="str">
        <f t="shared" si="50"/>
        <v>ok</v>
      </c>
      <c r="BK30" s="145">
        <f t="shared" si="17"/>
        <v>0.12493102808565903</v>
      </c>
      <c r="BL30" s="145">
        <f t="shared" si="18"/>
        <v>9.7555805533564854E-2</v>
      </c>
      <c r="BO30">
        <f>IF(BP30&lt;=Presentation!$F$34,1,0)</f>
        <v>1</v>
      </c>
      <c r="BP30" s="146">
        <v>18</v>
      </c>
      <c r="BQ30" s="144"/>
      <c r="BR30" s="144">
        <f t="shared" si="45"/>
        <v>0.11869477462842329</v>
      </c>
      <c r="BS30" s="144">
        <f t="shared" si="46"/>
        <v>0.88130522537157663</v>
      </c>
      <c r="BT30" s="144" t="str">
        <f t="shared" si="51"/>
        <v>ok</v>
      </c>
      <c r="BU30" s="145">
        <f t="shared" si="19"/>
        <v>5.1786137007098304E-2</v>
      </c>
      <c r="BV30" s="145">
        <f t="shared" si="20"/>
        <v>3.9875325495465692E-2</v>
      </c>
      <c r="BZ30" s="136"/>
    </row>
    <row r="31" spans="1:78" x14ac:dyDescent="0.3">
      <c r="A31" s="136"/>
      <c r="B31">
        <f>IF(C31&lt;=Presentation!$F$34,1,0)</f>
        <v>1</v>
      </c>
      <c r="C31" s="146">
        <v>19</v>
      </c>
      <c r="D31" s="144">
        <f t="shared" si="32"/>
        <v>0.93730077181752114</v>
      </c>
      <c r="E31" s="144"/>
      <c r="F31" s="144">
        <f t="shared" si="33"/>
        <v>6.2699228182479E-2</v>
      </c>
      <c r="G31" s="144" t="str">
        <f t="shared" si="21"/>
        <v>ok</v>
      </c>
      <c r="H31" s="145">
        <f t="shared" si="8"/>
        <v>0.38946783051341377</v>
      </c>
      <c r="I31" s="145">
        <f t="shared" si="22"/>
        <v>0.32325829932613342</v>
      </c>
      <c r="L31" s="80">
        <v>19</v>
      </c>
      <c r="M31" s="145">
        <f t="shared" si="23"/>
        <v>0.99322110950644227</v>
      </c>
      <c r="N31" s="145">
        <f>INDEX('Table of Life'!$E$8:$E$108,MATCH(MIN(idade_entrada+Markov!C31,100),'Table of Life'!$D$8:$D$108))</f>
        <v>6.7788904935577703E-3</v>
      </c>
      <c r="Q31">
        <f>IF(R31&lt;=Presentation!$F$34,1,0)</f>
        <v>1</v>
      </c>
      <c r="R31" s="146">
        <v>19</v>
      </c>
      <c r="S31" s="144">
        <f t="shared" si="34"/>
        <v>0.89565498638495789</v>
      </c>
      <c r="T31" s="144"/>
      <c r="U31" s="144">
        <f t="shared" si="35"/>
        <v>0.10434501361504216</v>
      </c>
      <c r="V31" s="144" t="str">
        <f t="shared" si="47"/>
        <v>ok</v>
      </c>
      <c r="W31" s="145">
        <f t="shared" si="9"/>
        <v>0.37216314647800441</v>
      </c>
      <c r="X31" s="145">
        <f t="shared" si="10"/>
        <v>0.30145214864718362</v>
      </c>
      <c r="AA31">
        <f>IF(AB31&lt;=Presentation!$F$34,1,0)</f>
        <v>1</v>
      </c>
      <c r="AB31" s="146">
        <v>19</v>
      </c>
      <c r="AC31" s="144">
        <f t="shared" si="25"/>
        <v>0.7171286688639863</v>
      </c>
      <c r="AD31" s="144"/>
      <c r="AE31" s="144">
        <f t="shared" si="26"/>
        <v>0.28287133113601376</v>
      </c>
      <c r="AF31" s="144" t="str">
        <f t="shared" si="48"/>
        <v>ok</v>
      </c>
      <c r="AG31" s="145">
        <f t="shared" si="11"/>
        <v>0.29798177411061005</v>
      </c>
      <c r="AH31" s="145">
        <f t="shared" si="12"/>
        <v>0.23838541928848805</v>
      </c>
      <c r="AK31">
        <f>IF(AL31&lt;=Presentation!$F$34,1,0)</f>
        <v>1</v>
      </c>
      <c r="AL31" s="146">
        <v>19</v>
      </c>
      <c r="AM31" s="144">
        <f t="shared" si="36"/>
        <v>0.95134715348921606</v>
      </c>
      <c r="AN31" s="144">
        <f t="shared" si="37"/>
        <v>1.9394794510490266E-4</v>
      </c>
      <c r="AO31" s="144">
        <f t="shared" si="38"/>
        <v>4.8458898565677984E-2</v>
      </c>
      <c r="AP31" s="144" t="str">
        <f t="shared" si="28"/>
        <v>checar</v>
      </c>
      <c r="AQ31" s="145">
        <f t="shared" si="13"/>
        <v>0.39538498160131524</v>
      </c>
      <c r="AR31" s="145">
        <f t="shared" si="14"/>
        <v>0.32025861152197899</v>
      </c>
      <c r="AU31">
        <f>IF(AV31&lt;=Presentation!$F$34,1,0)</f>
        <v>1</v>
      </c>
      <c r="AV31" s="146">
        <v>19</v>
      </c>
      <c r="AW31" s="144">
        <f t="shared" si="39"/>
        <v>9.1410605926177904E-2</v>
      </c>
      <c r="AX31" s="144">
        <f t="shared" si="40"/>
        <v>0.22149660539901347</v>
      </c>
      <c r="AY31" s="144">
        <f t="shared" si="41"/>
        <v>0.6870927886748085</v>
      </c>
      <c r="AZ31" s="144" t="str">
        <f t="shared" si="49"/>
        <v>ok</v>
      </c>
      <c r="BA31" s="145">
        <f t="shared" si="15"/>
        <v>0.13001940936260145</v>
      </c>
      <c r="BB31" s="145">
        <f t="shared" si="16"/>
        <v>0.10163426500265428</v>
      </c>
      <c r="BE31">
        <f>IF(BF31&lt;=Presentation!$F$34,1,0)</f>
        <v>1</v>
      </c>
      <c r="BF31" s="146">
        <v>19</v>
      </c>
      <c r="BG31" s="144">
        <f t="shared" si="42"/>
        <v>6.7570692775371977E-2</v>
      </c>
      <c r="BH31" s="144">
        <f t="shared" si="43"/>
        <v>0.1933752881220821</v>
      </c>
      <c r="BI31" s="144">
        <f t="shared" si="44"/>
        <v>0.73905401910254587</v>
      </c>
      <c r="BJ31" s="144" t="str">
        <f t="shared" si="50"/>
        <v>ok</v>
      </c>
      <c r="BK31" s="145">
        <f t="shared" si="17"/>
        <v>0.10842844486754787</v>
      </c>
      <c r="BL31" s="145">
        <f t="shared" si="18"/>
        <v>8.4612983288486737E-2</v>
      </c>
      <c r="BO31">
        <f>IF(BP31&lt;=Presentation!$F$34,1,0)</f>
        <v>1</v>
      </c>
      <c r="BP31" s="146">
        <v>19</v>
      </c>
      <c r="BQ31" s="144"/>
      <c r="BR31" s="144">
        <f t="shared" si="45"/>
        <v>0.10544139268475126</v>
      </c>
      <c r="BS31" s="144">
        <f t="shared" si="46"/>
        <v>0.89455860731524861</v>
      </c>
      <c r="BT31" s="144" t="str">
        <f t="shared" si="51"/>
        <v>ok</v>
      </c>
      <c r="BU31" s="145">
        <f t="shared" si="19"/>
        <v>4.3813076538507294E-2</v>
      </c>
      <c r="BV31" s="145">
        <f t="shared" si="20"/>
        <v>3.3736068934650615E-2</v>
      </c>
      <c r="BZ31" s="136"/>
    </row>
    <row r="32" spans="1:78" x14ac:dyDescent="0.3">
      <c r="A32" s="136"/>
      <c r="B32">
        <f>IF(C32&lt;=Presentation!$F$34,1,0)</f>
        <v>1</v>
      </c>
      <c r="C32" s="146">
        <v>20</v>
      </c>
      <c r="D32" s="144">
        <f t="shared" si="32"/>
        <v>0.93094691252584305</v>
      </c>
      <c r="E32" s="144"/>
      <c r="F32" s="144">
        <f t="shared" si="33"/>
        <v>6.9053087474157157E-2</v>
      </c>
      <c r="G32" s="144" t="str">
        <f t="shared" si="21"/>
        <v>ok</v>
      </c>
      <c r="H32" s="145">
        <f t="shared" si="8"/>
        <v>0.36840730546628553</v>
      </c>
      <c r="I32" s="145">
        <f t="shared" si="22"/>
        <v>0.30577806353701698</v>
      </c>
      <c r="L32" s="80">
        <v>20</v>
      </c>
      <c r="M32" s="145">
        <f t="shared" si="23"/>
        <v>0.99266470095671777</v>
      </c>
      <c r="N32" s="145">
        <f>INDEX('Table of Life'!$E$8:$E$108,MATCH(MIN(idade_entrada+Markov!C32,100),'Table of Life'!$D$8:$D$108))</f>
        <v>7.3352990432822051E-3</v>
      </c>
      <c r="Q32">
        <f>IF(R32&lt;=Presentation!$F$34,1,0)</f>
        <v>1</v>
      </c>
      <c r="R32" s="146">
        <v>20</v>
      </c>
      <c r="S32" s="144">
        <f t="shared" si="34"/>
        <v>0.8904752232974732</v>
      </c>
      <c r="T32" s="144"/>
      <c r="U32" s="144">
        <f t="shared" si="35"/>
        <v>0.10952477670252679</v>
      </c>
      <c r="V32" s="144" t="str">
        <f t="shared" si="47"/>
        <v>ok</v>
      </c>
      <c r="W32" s="145">
        <f t="shared" si="9"/>
        <v>0.35239128374079459</v>
      </c>
      <c r="X32" s="145">
        <f t="shared" si="10"/>
        <v>0.28543693983004365</v>
      </c>
      <c r="AA32">
        <f>IF(AB32&lt;=Presentation!$F$34,1,0)</f>
        <v>1</v>
      </c>
      <c r="AB32" s="146">
        <v>20</v>
      </c>
      <c r="AC32" s="144">
        <f t="shared" si="25"/>
        <v>0.70468808971871411</v>
      </c>
      <c r="AD32" s="144"/>
      <c r="AE32" s="144">
        <f t="shared" si="26"/>
        <v>0.29531191028128595</v>
      </c>
      <c r="AF32" s="144" t="str">
        <f t="shared" si="48"/>
        <v>ok</v>
      </c>
      <c r="AG32" s="145">
        <f t="shared" si="11"/>
        <v>0.2788690062068912</v>
      </c>
      <c r="AH32" s="145">
        <f t="shared" si="12"/>
        <v>0.22309520496551297</v>
      </c>
      <c r="AK32">
        <f>IF(AL32&lt;=Presentation!$F$34,1,0)</f>
        <v>1</v>
      </c>
      <c r="AL32" s="146">
        <v>20</v>
      </c>
      <c r="AM32" s="144">
        <f t="shared" si="36"/>
        <v>0.94885307997968316</v>
      </c>
      <c r="AN32" s="144">
        <f t="shared" si="37"/>
        <v>1.9607552154240641E-4</v>
      </c>
      <c r="AO32" s="144">
        <f t="shared" si="38"/>
        <v>5.0950844498773303E-2</v>
      </c>
      <c r="AP32" s="144" t="str">
        <f t="shared" si="28"/>
        <v>checar</v>
      </c>
      <c r="AQ32" s="145">
        <f t="shared" si="13"/>
        <v>0.37557097770981057</v>
      </c>
      <c r="AR32" s="145">
        <f t="shared" si="14"/>
        <v>0.304209388195266</v>
      </c>
      <c r="AU32">
        <f>IF(AV32&lt;=Presentation!$F$34,1,0)</f>
        <v>1</v>
      </c>
      <c r="AV32" s="146">
        <v>20</v>
      </c>
      <c r="AW32" s="144">
        <f t="shared" si="39"/>
        <v>8.0595760493954435E-2</v>
      </c>
      <c r="AX32" s="144">
        <f t="shared" si="40"/>
        <v>0.2063625509896885</v>
      </c>
      <c r="AY32" s="144">
        <f t="shared" si="41"/>
        <v>0.71304168851635696</v>
      </c>
      <c r="AZ32" s="144" t="str">
        <f t="shared" si="49"/>
        <v>ok</v>
      </c>
      <c r="BA32" s="145">
        <f t="shared" si="15"/>
        <v>0.11355914810223858</v>
      </c>
      <c r="BB32" s="145">
        <f t="shared" si="16"/>
        <v>8.8716323207485265E-2</v>
      </c>
      <c r="BE32">
        <f>IF(BF32&lt;=Presentation!$F$34,1,0)</f>
        <v>1</v>
      </c>
      <c r="BF32" s="146">
        <v>20</v>
      </c>
      <c r="BG32" s="144">
        <f t="shared" si="42"/>
        <v>5.8636320089392673E-2</v>
      </c>
      <c r="BH32" s="144">
        <f t="shared" si="43"/>
        <v>0.17887805097294729</v>
      </c>
      <c r="BI32" s="144">
        <f t="shared" si="44"/>
        <v>0.76248562893765992</v>
      </c>
      <c r="BJ32" s="144" t="str">
        <f t="shared" si="50"/>
        <v>ok</v>
      </c>
      <c r="BK32" s="145">
        <f t="shared" si="17"/>
        <v>9.3992501908820844E-2</v>
      </c>
      <c r="BL32" s="145">
        <f t="shared" si="18"/>
        <v>7.3302401788746863E-2</v>
      </c>
      <c r="BO32">
        <f>IF(BP32&lt;=Presentation!$F$34,1,0)</f>
        <v>1</v>
      </c>
      <c r="BP32" s="146">
        <v>20</v>
      </c>
      <c r="BQ32" s="144"/>
      <c r="BR32" s="144">
        <f t="shared" si="45"/>
        <v>9.3667874816770316E-2</v>
      </c>
      <c r="BS32" s="144">
        <f t="shared" si="46"/>
        <v>0.90633212518322959</v>
      </c>
      <c r="BT32" s="144" t="str">
        <f t="shared" si="51"/>
        <v>ok</v>
      </c>
      <c r="BU32" s="145">
        <f t="shared" si="19"/>
        <v>3.7067558746580791E-2</v>
      </c>
      <c r="BV32" s="145">
        <f t="shared" si="20"/>
        <v>2.854202023486721E-2</v>
      </c>
      <c r="BZ32" s="136"/>
    </row>
    <row r="33" spans="1:78" x14ac:dyDescent="0.3">
      <c r="A33" s="136"/>
      <c r="B33">
        <f>IF(C33&lt;=Presentation!$F$34,1,0)</f>
        <v>1</v>
      </c>
      <c r="C33" s="146">
        <v>21</v>
      </c>
      <c r="D33" s="144">
        <f t="shared" si="32"/>
        <v>0.92411813852904567</v>
      </c>
      <c r="E33" s="144"/>
      <c r="F33" s="144">
        <f t="shared" si="33"/>
        <v>7.5881861470954493E-2</v>
      </c>
      <c r="G33" s="144" t="str">
        <f t="shared" si="21"/>
        <v>ok</v>
      </c>
      <c r="H33" s="145">
        <f t="shared" si="8"/>
        <v>0.34829040734377198</v>
      </c>
      <c r="I33" s="145">
        <f t="shared" si="22"/>
        <v>0.28908103809533076</v>
      </c>
      <c r="L33" s="80">
        <v>21</v>
      </c>
      <c r="M33" s="145">
        <f t="shared" si="23"/>
        <v>0.99204526507162172</v>
      </c>
      <c r="N33" s="145">
        <f>INDEX('Table of Life'!$E$8:$E$108,MATCH(MIN(idade_entrada+Markov!C33,100),'Table of Life'!$D$8:$D$108))</f>
        <v>7.9547349283782976E-3</v>
      </c>
      <c r="Q33">
        <f>IF(R33&lt;=Presentation!$F$34,1,0)</f>
        <v>1</v>
      </c>
      <c r="R33" s="146">
        <v>21</v>
      </c>
      <c r="S33" s="144">
        <f t="shared" si="34"/>
        <v>0.88532541588047586</v>
      </c>
      <c r="T33" s="144"/>
      <c r="U33" s="144">
        <f t="shared" si="35"/>
        <v>0.11467458411952411</v>
      </c>
      <c r="V33" s="144" t="str">
        <f t="shared" si="47"/>
        <v>ok</v>
      </c>
      <c r="W33" s="145">
        <f t="shared" si="9"/>
        <v>0.33366983816551676</v>
      </c>
      <c r="X33" s="145">
        <f t="shared" si="10"/>
        <v>0.27027256891406859</v>
      </c>
      <c r="AA33">
        <f>IF(AB33&lt;=Presentation!$F$34,1,0)</f>
        <v>1</v>
      </c>
      <c r="AB33" s="146">
        <v>21</v>
      </c>
      <c r="AC33" s="144">
        <f t="shared" si="25"/>
        <v>0.69246332680864409</v>
      </c>
      <c r="AD33" s="144"/>
      <c r="AE33" s="144">
        <f t="shared" si="26"/>
        <v>0.30753667319135597</v>
      </c>
      <c r="AF33" s="144" t="str">
        <f t="shared" si="48"/>
        <v>ok</v>
      </c>
      <c r="AG33" s="145">
        <f t="shared" si="11"/>
        <v>0.26098214514942747</v>
      </c>
      <c r="AH33" s="145">
        <f t="shared" si="12"/>
        <v>0.208785716119542</v>
      </c>
      <c r="AK33">
        <f>IF(AL33&lt;=Presentation!$F$34,1,0)</f>
        <v>1</v>
      </c>
      <c r="AL33" s="146">
        <v>21</v>
      </c>
      <c r="AM33" s="144">
        <f t="shared" si="36"/>
        <v>0.94636554499044556</v>
      </c>
      <c r="AN33" s="144">
        <f t="shared" si="37"/>
        <v>1.9790318233004224E-4</v>
      </c>
      <c r="AO33" s="144">
        <f t="shared" si="38"/>
        <v>5.3436551827223198E-2</v>
      </c>
      <c r="AP33" s="144" t="str">
        <f t="shared" si="28"/>
        <v>checar</v>
      </c>
      <c r="AQ33" s="145">
        <f t="shared" si="13"/>
        <v>0.35674980848832172</v>
      </c>
      <c r="AR33" s="145">
        <f t="shared" si="14"/>
        <v>0.28896436137041875</v>
      </c>
      <c r="AU33">
        <f>IF(AV33&lt;=Presentation!$F$34,1,0)</f>
        <v>1</v>
      </c>
      <c r="AV33" s="146">
        <v>21</v>
      </c>
      <c r="AW33" s="144">
        <f t="shared" si="39"/>
        <v>7.1060426126533904E-2</v>
      </c>
      <c r="AX33" s="144">
        <f t="shared" si="40"/>
        <v>0.19178279655962605</v>
      </c>
      <c r="AY33" s="144">
        <f t="shared" si="41"/>
        <v>0.73715677731383999</v>
      </c>
      <c r="AZ33" s="144" t="str">
        <f t="shared" si="49"/>
        <v>ok</v>
      </c>
      <c r="BA33" s="145">
        <f t="shared" si="15"/>
        <v>9.906284627485977E-2</v>
      </c>
      <c r="BB33" s="145">
        <f t="shared" si="16"/>
        <v>7.7349668721864606E-2</v>
      </c>
      <c r="BE33">
        <f>IF(BF33&lt;=Presentation!$F$34,1,0)</f>
        <v>1</v>
      </c>
      <c r="BF33" s="146">
        <v>21</v>
      </c>
      <c r="BG33" s="144">
        <f t="shared" si="42"/>
        <v>5.0883273389774525E-2</v>
      </c>
      <c r="BH33" s="144">
        <f t="shared" si="43"/>
        <v>0.16506145683708309</v>
      </c>
      <c r="BI33" s="144">
        <f t="shared" si="44"/>
        <v>0.78405526977314222</v>
      </c>
      <c r="BJ33" s="144" t="str">
        <f t="shared" si="50"/>
        <v>ok</v>
      </c>
      <c r="BK33" s="145">
        <f t="shared" si="17"/>
        <v>8.1387297704349992E-2</v>
      </c>
      <c r="BL33" s="145">
        <f t="shared" si="18"/>
        <v>6.3435314056139808E-2</v>
      </c>
      <c r="BO33">
        <f>IF(BP33&lt;=Presentation!$F$34,1,0)</f>
        <v>1</v>
      </c>
      <c r="BP33" s="146">
        <v>21</v>
      </c>
      <c r="BQ33" s="144"/>
      <c r="BR33" s="144">
        <f t="shared" si="45"/>
        <v>8.3208980356715131E-2</v>
      </c>
      <c r="BS33" s="144">
        <f t="shared" si="46"/>
        <v>0.9167910196432848</v>
      </c>
      <c r="BT33" s="144" t="str">
        <f t="shared" si="51"/>
        <v>ok</v>
      </c>
      <c r="BU33" s="145">
        <f t="shared" si="19"/>
        <v>3.1360589577032034E-2</v>
      </c>
      <c r="BV33" s="145">
        <f t="shared" si="20"/>
        <v>2.4147653974314669E-2</v>
      </c>
      <c r="BZ33" s="136"/>
    </row>
    <row r="34" spans="1:78" x14ac:dyDescent="0.3">
      <c r="A34" s="136"/>
      <c r="B34">
        <f>IF(C34&lt;=Presentation!$F$34,1,0)</f>
        <v>1</v>
      </c>
      <c r="C34" s="146">
        <v>22</v>
      </c>
      <c r="D34" s="144">
        <f t="shared" si="32"/>
        <v>0.91676702369454077</v>
      </c>
      <c r="E34" s="144"/>
      <c r="F34" s="144">
        <f t="shared" si="33"/>
        <v>8.3232976305459422E-2</v>
      </c>
      <c r="G34" s="144" t="str">
        <f t="shared" si="21"/>
        <v>ok</v>
      </c>
      <c r="H34" s="145">
        <f t="shared" si="8"/>
        <v>0.32906652330976705</v>
      </c>
      <c r="I34" s="145">
        <f t="shared" si="22"/>
        <v>0.27312521434710663</v>
      </c>
      <c r="L34" s="80">
        <v>22</v>
      </c>
      <c r="M34" s="145">
        <f t="shared" si="23"/>
        <v>0.99135151936124632</v>
      </c>
      <c r="N34" s="145">
        <f>INDEX('Table of Life'!$E$8:$E$108,MATCH(MIN(idade_entrada+Markov!C34,100),'Table of Life'!$D$8:$D$108))</f>
        <v>8.6484806387537097E-3</v>
      </c>
      <c r="Q34">
        <f>IF(R34&lt;=Presentation!$F$34,1,0)</f>
        <v>1</v>
      </c>
      <c r="R34" s="146">
        <v>22</v>
      </c>
      <c r="S34" s="144">
        <f t="shared" si="34"/>
        <v>0.88020539089395866</v>
      </c>
      <c r="T34" s="144"/>
      <c r="U34" s="144">
        <f t="shared" si="35"/>
        <v>0.11979460910604127</v>
      </c>
      <c r="V34" s="144" t="str">
        <f t="shared" si="47"/>
        <v>ok</v>
      </c>
      <c r="W34" s="145">
        <f t="shared" si="9"/>
        <v>0.31594300437719186</v>
      </c>
      <c r="X34" s="145">
        <f t="shared" si="10"/>
        <v>0.25591383354552544</v>
      </c>
      <c r="AA34">
        <f>IF(AB34&lt;=Presentation!$F$34,1,0)</f>
        <v>1</v>
      </c>
      <c r="AB34" s="146">
        <v>22</v>
      </c>
      <c r="AC34" s="144">
        <f t="shared" si="25"/>
        <v>0.68045063620458834</v>
      </c>
      <c r="AD34" s="144"/>
      <c r="AE34" s="144">
        <f t="shared" si="26"/>
        <v>0.31954936379541171</v>
      </c>
      <c r="AF34" s="144" t="str">
        <f t="shared" si="48"/>
        <v>ok</v>
      </c>
      <c r="AG34" s="145">
        <f t="shared" si="11"/>
        <v>0.24424256038071579</v>
      </c>
      <c r="AH34" s="145">
        <f t="shared" si="12"/>
        <v>0.19539404830457263</v>
      </c>
      <c r="AK34">
        <f>IF(AL34&lt;=Presentation!$F$34,1,0)</f>
        <v>1</v>
      </c>
      <c r="AL34" s="146">
        <v>22</v>
      </c>
      <c r="AM34" s="144">
        <f t="shared" si="36"/>
        <v>0.94388453137996853</v>
      </c>
      <c r="AN34" s="144">
        <f t="shared" si="37"/>
        <v>1.9946457931875226E-4</v>
      </c>
      <c r="AO34" s="144">
        <f t="shared" si="38"/>
        <v>5.5916004040711453E-2</v>
      </c>
      <c r="AP34" s="144" t="str">
        <f t="shared" si="28"/>
        <v>checar</v>
      </c>
      <c r="AQ34" s="145">
        <f t="shared" si="13"/>
        <v>0.33887174192930647</v>
      </c>
      <c r="AR34" s="145">
        <f t="shared" si="14"/>
        <v>0.27448324711122774</v>
      </c>
      <c r="AU34">
        <f>IF(AV34&lt;=Presentation!$F$34,1,0)</f>
        <v>1</v>
      </c>
      <c r="AV34" s="146">
        <v>22</v>
      </c>
      <c r="AW34" s="144">
        <f t="shared" si="39"/>
        <v>6.2653223076955214E-2</v>
      </c>
      <c r="AX34" s="144">
        <f t="shared" si="40"/>
        <v>0.17782979799262449</v>
      </c>
      <c r="AY34" s="144">
        <f t="shared" si="41"/>
        <v>0.75951697893042025</v>
      </c>
      <c r="AZ34" s="144" t="str">
        <f t="shared" si="49"/>
        <v>ok</v>
      </c>
      <c r="BA34" s="145">
        <f t="shared" si="15"/>
        <v>8.6319544238715046E-2</v>
      </c>
      <c r="BB34" s="145">
        <f t="shared" si="16"/>
        <v>6.7365604905555376E-2</v>
      </c>
      <c r="BE34">
        <f>IF(BF34&lt;=Presentation!$F$34,1,0)</f>
        <v>1</v>
      </c>
      <c r="BF34" s="146">
        <v>22</v>
      </c>
      <c r="BG34" s="144">
        <f t="shared" si="42"/>
        <v>4.4155354683093534E-2</v>
      </c>
      <c r="BH34" s="144">
        <f t="shared" si="43"/>
        <v>0.1519735447834008</v>
      </c>
      <c r="BI34" s="144">
        <f t="shared" si="44"/>
        <v>0.80387110053350552</v>
      </c>
      <c r="BJ34" s="144" t="str">
        <f t="shared" si="50"/>
        <v>ok</v>
      </c>
      <c r="BK34" s="145">
        <f t="shared" si="17"/>
        <v>7.0398970948931217E-2</v>
      </c>
      <c r="BL34" s="145">
        <f t="shared" si="18"/>
        <v>5.4841176727537425E-2</v>
      </c>
      <c r="BO34">
        <f>IF(BP34&lt;=Presentation!$F$34,1,0)</f>
        <v>1</v>
      </c>
      <c r="BP34" s="146">
        <v>22</v>
      </c>
      <c r="BQ34" s="144"/>
      <c r="BR34" s="144">
        <f t="shared" si="45"/>
        <v>7.3917919303156623E-2</v>
      </c>
      <c r="BS34" s="144">
        <f t="shared" si="46"/>
        <v>0.92608208069684328</v>
      </c>
      <c r="BT34" s="144" t="str">
        <f t="shared" si="51"/>
        <v>ok</v>
      </c>
      <c r="BU34" s="145">
        <f t="shared" si="19"/>
        <v>2.6532272744014183E-2</v>
      </c>
      <c r="BV34" s="145">
        <f t="shared" si="20"/>
        <v>2.042985001289092E-2</v>
      </c>
      <c r="BZ34" s="136"/>
    </row>
    <row r="35" spans="1:78" x14ac:dyDescent="0.3">
      <c r="A35" s="136"/>
      <c r="B35">
        <f>IF(C35&lt;=Presentation!$F$34,1,0)</f>
        <v>1</v>
      </c>
      <c r="C35" s="146">
        <v>23</v>
      </c>
      <c r="D35" s="144">
        <f t="shared" si="32"/>
        <v>0.90883838183987076</v>
      </c>
      <c r="E35" s="144"/>
      <c r="F35" s="144">
        <f t="shared" si="33"/>
        <v>9.1161618160129521E-2</v>
      </c>
      <c r="G35" s="144" t="str">
        <f t="shared" si="21"/>
        <v>ok</v>
      </c>
      <c r="H35" s="145">
        <f t="shared" si="8"/>
        <v>0.31068628367053386</v>
      </c>
      <c r="I35" s="145">
        <f t="shared" si="22"/>
        <v>0.25786961544654308</v>
      </c>
      <c r="L35" s="80">
        <v>23</v>
      </c>
      <c r="M35" s="145">
        <f t="shared" si="23"/>
        <v>0.99057250416024767</v>
      </c>
      <c r="N35" s="145">
        <f>INDEX('Table of Life'!$E$8:$E$108,MATCH(MIN(idade_entrada+Markov!C35,100),'Table of Life'!$D$8:$D$108))</f>
        <v>9.4274958397523798E-3</v>
      </c>
      <c r="Q35">
        <f>IF(R35&lt;=Presentation!$F$34,1,0)</f>
        <v>1</v>
      </c>
      <c r="R35" s="146">
        <v>23</v>
      </c>
      <c r="S35" s="144">
        <f t="shared" si="34"/>
        <v>0.87511497609979827</v>
      </c>
      <c r="T35" s="144"/>
      <c r="U35" s="144">
        <f t="shared" si="35"/>
        <v>0.12488502390020166</v>
      </c>
      <c r="V35" s="144" t="str">
        <f t="shared" si="47"/>
        <v>ok</v>
      </c>
      <c r="W35" s="145">
        <f t="shared" si="9"/>
        <v>0.29915794176568827</v>
      </c>
      <c r="X35" s="145">
        <f t="shared" si="10"/>
        <v>0.24231793283020753</v>
      </c>
      <c r="AA35">
        <f>IF(AB35&lt;=Presentation!$F$34,1,0)</f>
        <v>1</v>
      </c>
      <c r="AB35" s="146">
        <v>23</v>
      </c>
      <c r="AC35" s="144">
        <f t="shared" si="25"/>
        <v>0.6686463389261601</v>
      </c>
      <c r="AD35" s="144"/>
      <c r="AE35" s="144">
        <f t="shared" si="26"/>
        <v>0.3313536610738399</v>
      </c>
      <c r="AF35" s="144" t="str">
        <f t="shared" si="48"/>
        <v>ok</v>
      </c>
      <c r="AG35" s="145">
        <f t="shared" si="11"/>
        <v>0.22857666476444952</v>
      </c>
      <c r="AH35" s="145">
        <f t="shared" si="12"/>
        <v>0.18286133181155961</v>
      </c>
      <c r="AK35">
        <f>IF(AL35&lt;=Presentation!$F$34,1,0)</f>
        <v>1</v>
      </c>
      <c r="AL35" s="146">
        <v>23</v>
      </c>
      <c r="AM35" s="144">
        <f t="shared" si="36"/>
        <v>0.94141002205165603</v>
      </c>
      <c r="AN35" s="144">
        <f t="shared" si="37"/>
        <v>2.007896063869789E-4</v>
      </c>
      <c r="AO35" s="144">
        <f t="shared" si="38"/>
        <v>5.8389188341955695E-2</v>
      </c>
      <c r="AP35" s="144" t="str">
        <f t="shared" si="28"/>
        <v>checar</v>
      </c>
      <c r="AQ35" s="145">
        <f t="shared" si="13"/>
        <v>0.32188953457907143</v>
      </c>
      <c r="AR35" s="145">
        <f t="shared" si="14"/>
        <v>0.26072777741300551</v>
      </c>
      <c r="AU35">
        <f>IF(AV35&lt;=Presentation!$F$34,1,0)</f>
        <v>1</v>
      </c>
      <c r="AV35" s="146">
        <v>23</v>
      </c>
      <c r="AW35" s="144">
        <f t="shared" si="39"/>
        <v>5.5240681429926899E-2</v>
      </c>
      <c r="AX35" s="144">
        <f t="shared" si="40"/>
        <v>0.16455202592182075</v>
      </c>
      <c r="AY35" s="144">
        <f t="shared" si="41"/>
        <v>0.78020729264825228</v>
      </c>
      <c r="AZ35" s="144" t="str">
        <f t="shared" si="49"/>
        <v>ok</v>
      </c>
      <c r="BA35" s="145">
        <f t="shared" si="15"/>
        <v>7.513610867397455E-2</v>
      </c>
      <c r="BB35" s="145">
        <f t="shared" si="16"/>
        <v>5.8610164471982709E-2</v>
      </c>
      <c r="BE35">
        <f>IF(BF35&lt;=Presentation!$F$34,1,0)</f>
        <v>1</v>
      </c>
      <c r="BF35" s="146">
        <v>23</v>
      </c>
      <c r="BG35" s="144">
        <f t="shared" si="42"/>
        <v>3.8317018880738907E-2</v>
      </c>
      <c r="BH35" s="144">
        <f t="shared" si="43"/>
        <v>0.13964058908006619</v>
      </c>
      <c r="BI35" s="144">
        <f t="shared" si="44"/>
        <v>0.82204239203919471</v>
      </c>
      <c r="BJ35" s="144" t="str">
        <f t="shared" si="50"/>
        <v>ok</v>
      </c>
      <c r="BK35" s="145">
        <f t="shared" si="17"/>
        <v>6.0834785340284823E-2</v>
      </c>
      <c r="BL35" s="145">
        <f t="shared" si="18"/>
        <v>4.7366731430611479E-2</v>
      </c>
      <c r="BO35">
        <f>IF(BP35&lt;=Presentation!$F$34,1,0)</f>
        <v>1</v>
      </c>
      <c r="BP35" s="146">
        <v>23</v>
      </c>
      <c r="BQ35" s="144"/>
      <c r="BR35" s="144">
        <f t="shared" si="45"/>
        <v>6.5664292131504653E-2</v>
      </c>
      <c r="BS35" s="144">
        <f t="shared" si="46"/>
        <v>0.93433570786849529</v>
      </c>
      <c r="BT35" s="144" t="str">
        <f t="shared" si="51"/>
        <v>ok</v>
      </c>
      <c r="BU35" s="145">
        <f t="shared" si="19"/>
        <v>2.2447329800149147E-2</v>
      </c>
      <c r="BV35" s="145">
        <f t="shared" si="20"/>
        <v>1.7284443946114843E-2</v>
      </c>
      <c r="BZ35" s="136"/>
    </row>
    <row r="36" spans="1:78" x14ac:dyDescent="0.3">
      <c r="A36" s="136"/>
      <c r="B36">
        <f>IF(C36&lt;=Presentation!$F$34,1,0)</f>
        <v>1</v>
      </c>
      <c r="C36" s="146">
        <v>24</v>
      </c>
      <c r="D36" s="144">
        <f t="shared" si="32"/>
        <v>0.90027031177606809</v>
      </c>
      <c r="E36" s="144"/>
      <c r="F36" s="144">
        <f t="shared" si="33"/>
        <v>9.9729688223932189E-2</v>
      </c>
      <c r="G36" s="144" t="str">
        <f t="shared" si="21"/>
        <v>ok</v>
      </c>
      <c r="H36" s="145">
        <f t="shared" si="8"/>
        <v>0.29310218097501112</v>
      </c>
      <c r="I36" s="145">
        <f t="shared" si="22"/>
        <v>0.24327481020925923</v>
      </c>
      <c r="L36" s="80">
        <v>24</v>
      </c>
      <c r="M36" s="145">
        <f t="shared" si="23"/>
        <v>0.98970353595780791</v>
      </c>
      <c r="N36" s="145">
        <f>INDEX('Table of Life'!$E$8:$E$108,MATCH(MIN(idade_entrada+Markov!C36,100),'Table of Life'!$D$8:$D$108))</f>
        <v>1.0296464042192095E-2</v>
      </c>
      <c r="Q36">
        <f>IF(R36&lt;=Presentation!$F$34,1,0)</f>
        <v>1</v>
      </c>
      <c r="R36" s="146">
        <v>24</v>
      </c>
      <c r="S36" s="144">
        <f t="shared" si="34"/>
        <v>0.87005400025596091</v>
      </c>
      <c r="T36" s="144"/>
      <c r="U36" s="144">
        <f t="shared" si="35"/>
        <v>0.129945999744039</v>
      </c>
      <c r="V36" s="144" t="str">
        <f t="shared" si="47"/>
        <v>ok</v>
      </c>
      <c r="W36" s="145">
        <f t="shared" si="9"/>
        <v>0.28326461697704747</v>
      </c>
      <c r="X36" s="145">
        <f t="shared" si="10"/>
        <v>0.22944433975140846</v>
      </c>
      <c r="AA36">
        <f>IF(AB36&lt;=Presentation!$F$34,1,0)</f>
        <v>1</v>
      </c>
      <c r="AB36" s="146">
        <v>24</v>
      </c>
      <c r="AC36" s="144">
        <f t="shared" si="25"/>
        <v>0.65704681981505753</v>
      </c>
      <c r="AD36" s="144"/>
      <c r="AE36" s="144">
        <f t="shared" si="26"/>
        <v>0.34295318018494253</v>
      </c>
      <c r="AF36" s="144" t="str">
        <f t="shared" si="48"/>
        <v>ok</v>
      </c>
      <c r="AG36" s="145">
        <f t="shared" si="11"/>
        <v>0.21391559109681166</v>
      </c>
      <c r="AH36" s="145">
        <f t="shared" si="12"/>
        <v>0.17113247287744934</v>
      </c>
      <c r="AK36">
        <f>IF(AL36&lt;=Presentation!$F$34,1,0)</f>
        <v>1</v>
      </c>
      <c r="AL36" s="146">
        <v>24</v>
      </c>
      <c r="AM36" s="144">
        <f t="shared" si="36"/>
        <v>0.93894199995373273</v>
      </c>
      <c r="AN36" s="144">
        <f t="shared" si="37"/>
        <v>2.0190481905457271E-4</v>
      </c>
      <c r="AO36" s="144">
        <f t="shared" si="38"/>
        <v>6.0856095227211325E-2</v>
      </c>
      <c r="AP36" s="144" t="str">
        <f t="shared" si="28"/>
        <v>checar</v>
      </c>
      <c r="AQ36" s="145">
        <f t="shared" si="13"/>
        <v>0.30575830740796567</v>
      </c>
      <c r="AR36" s="145">
        <f t="shared" si="14"/>
        <v>0.2476615996238288</v>
      </c>
      <c r="AU36">
        <f>IF(AV36&lt;=Presentation!$F$34,1,0)</f>
        <v>1</v>
      </c>
      <c r="AV36" s="146">
        <v>24</v>
      </c>
      <c r="AW36" s="144">
        <f t="shared" si="39"/>
        <v>4.8705122178543912E-2</v>
      </c>
      <c r="AX36" s="144">
        <f t="shared" si="40"/>
        <v>0.15197852443962717</v>
      </c>
      <c r="AY36" s="144">
        <f t="shared" si="41"/>
        <v>0.79931635338182883</v>
      </c>
      <c r="AZ36" s="144" t="str">
        <f t="shared" si="49"/>
        <v>ok</v>
      </c>
      <c r="BA36" s="145">
        <f t="shared" si="15"/>
        <v>6.5336836881538046E-2</v>
      </c>
      <c r="BB36" s="145">
        <f t="shared" si="16"/>
        <v>5.0943644007850709E-2</v>
      </c>
      <c r="BE36">
        <f>IF(BF36&lt;=Presentation!$F$34,1,0)</f>
        <v>1</v>
      </c>
      <c r="BF36" s="146">
        <v>24</v>
      </c>
      <c r="BG36" s="144">
        <f t="shared" si="42"/>
        <v>3.3250643018140055E-2</v>
      </c>
      <c r="BH36" s="144">
        <f t="shared" si="43"/>
        <v>0.12807169799311177</v>
      </c>
      <c r="BI36" s="144">
        <f t="shared" si="44"/>
        <v>0.83867765898874791</v>
      </c>
      <c r="BJ36" s="144" t="str">
        <f t="shared" si="50"/>
        <v>ok</v>
      </c>
      <c r="BK36" s="145">
        <f t="shared" si="17"/>
        <v>5.2521925217227115E-2</v>
      </c>
      <c r="BL36" s="145">
        <f t="shared" si="18"/>
        <v>4.0874900627904831E-2</v>
      </c>
      <c r="BO36">
        <f>IF(BP36&lt;=Presentation!$F$34,1,0)</f>
        <v>1</v>
      </c>
      <c r="BP36" s="146">
        <v>24</v>
      </c>
      <c r="BQ36" s="144"/>
      <c r="BR36" s="144">
        <f t="shared" si="45"/>
        <v>5.8332259643940641E-2</v>
      </c>
      <c r="BS36" s="144">
        <f t="shared" si="46"/>
        <v>0.94166774035605927</v>
      </c>
      <c r="BT36" s="144" t="str">
        <f t="shared" si="51"/>
        <v>ok</v>
      </c>
      <c r="BU36" s="145">
        <f t="shared" si="19"/>
        <v>1.8991309942354723E-2</v>
      </c>
      <c r="BV36" s="145">
        <f t="shared" si="20"/>
        <v>1.4623308655613136E-2</v>
      </c>
      <c r="BZ36" s="136"/>
    </row>
    <row r="37" spans="1:78" x14ac:dyDescent="0.3">
      <c r="A37" s="136"/>
      <c r="B37">
        <f>IF(C37&lt;=Presentation!$F$34,1,0)</f>
        <v>1</v>
      </c>
      <c r="C37" s="146">
        <v>25</v>
      </c>
      <c r="D37" s="144">
        <f t="shared" si="32"/>
        <v>0.89100071088261279</v>
      </c>
      <c r="E37" s="144"/>
      <c r="F37" s="144">
        <f t="shared" si="33"/>
        <v>0.10899928911738754</v>
      </c>
      <c r="G37" s="144" t="str">
        <f t="shared" si="21"/>
        <v>ok</v>
      </c>
      <c r="H37" s="145">
        <f t="shared" si="8"/>
        <v>0.27627072848372758</v>
      </c>
      <c r="I37" s="145">
        <f t="shared" si="22"/>
        <v>0.22930470464149388</v>
      </c>
      <c r="L37" s="80">
        <v>25</v>
      </c>
      <c r="M37" s="145">
        <f t="shared" si="23"/>
        <v>0.98875277291709684</v>
      </c>
      <c r="N37" s="145">
        <f>INDEX('Table of Life'!$E$8:$E$108,MATCH(MIN(idade_entrada+Markov!C37,100),'Table of Life'!$D$8:$D$108))</f>
        <v>1.1247227082903139E-2</v>
      </c>
      <c r="Q37">
        <f>IF(R37&lt;=Presentation!$F$34,1,0)</f>
        <v>1</v>
      </c>
      <c r="R37" s="146">
        <v>25</v>
      </c>
      <c r="S37" s="144">
        <f t="shared" si="34"/>
        <v>0.86502229311074197</v>
      </c>
      <c r="T37" s="144"/>
      <c r="U37" s="144">
        <f t="shared" si="35"/>
        <v>0.13497770688925795</v>
      </c>
      <c r="V37" s="144" t="str">
        <f t="shared" si="47"/>
        <v>ok</v>
      </c>
      <c r="W37" s="145">
        <f t="shared" si="9"/>
        <v>0.26821565477275394</v>
      </c>
      <c r="X37" s="145">
        <f t="shared" si="10"/>
        <v>0.21725468036593071</v>
      </c>
      <c r="AA37">
        <f>IF(AB37&lt;=Presentation!$F$34,1,0)</f>
        <v>1</v>
      </c>
      <c r="AB37" s="146">
        <v>25</v>
      </c>
      <c r="AC37" s="144">
        <f t="shared" si="25"/>
        <v>0.64564852642789283</v>
      </c>
      <c r="AD37" s="144"/>
      <c r="AE37" s="144">
        <f t="shared" si="26"/>
        <v>0.35435147357210728</v>
      </c>
      <c r="AF37" s="144" t="str">
        <f t="shared" si="48"/>
        <v>ok</v>
      </c>
      <c r="AG37" s="145">
        <f t="shared" si="11"/>
        <v>0.20019488936656921</v>
      </c>
      <c r="AH37" s="145">
        <f t="shared" si="12"/>
        <v>0.16015591149325537</v>
      </c>
      <c r="AK37">
        <f>IF(AL37&lt;=Presentation!$F$34,1,0)</f>
        <v>1</v>
      </c>
      <c r="AL37" s="146">
        <v>25</v>
      </c>
      <c r="AM37" s="144">
        <f t="shared" si="36"/>
        <v>0.93648044807912678</v>
      </c>
      <c r="AN37" s="144">
        <f t="shared" si="37"/>
        <v>2.028338072428791E-4</v>
      </c>
      <c r="AO37" s="144">
        <f t="shared" si="38"/>
        <v>6.331671811362892E-2</v>
      </c>
      <c r="AP37" s="144" t="str">
        <f t="shared" si="28"/>
        <v>checar</v>
      </c>
      <c r="AQ37" s="145">
        <f t="shared" si="13"/>
        <v>0.29043542781120124</v>
      </c>
      <c r="AR37" s="145">
        <f t="shared" si="14"/>
        <v>0.23525018083688315</v>
      </c>
      <c r="AU37">
        <f>IF(AV37&lt;=Presentation!$F$34,1,0)</f>
        <v>1</v>
      </c>
      <c r="AV37" s="146">
        <v>25</v>
      </c>
      <c r="AW37" s="144">
        <f t="shared" si="39"/>
        <v>4.2942788992131178E-2</v>
      </c>
      <c r="AX37" s="144">
        <f t="shared" si="40"/>
        <v>0.14012273829811389</v>
      </c>
      <c r="AY37" s="144">
        <f t="shared" si="41"/>
        <v>0.81693447270975483</v>
      </c>
      <c r="AZ37" s="144" t="str">
        <f t="shared" si="49"/>
        <v>ok</v>
      </c>
      <c r="BA37" s="145">
        <f t="shared" si="15"/>
        <v>5.6762745491677764E-2</v>
      </c>
      <c r="BB37" s="145">
        <f t="shared" si="16"/>
        <v>4.4239921262371834E-2</v>
      </c>
      <c r="BE37">
        <f>IF(BF37&lt;=Presentation!$F$34,1,0)</f>
        <v>1</v>
      </c>
      <c r="BF37" s="146">
        <v>25</v>
      </c>
      <c r="BG37" s="144">
        <f t="shared" si="42"/>
        <v>2.8854156544927578E-2</v>
      </c>
      <c r="BH37" s="144">
        <f t="shared" si="43"/>
        <v>0.11726261235418237</v>
      </c>
      <c r="BI37" s="144">
        <f t="shared" si="44"/>
        <v>0.85388323110088982</v>
      </c>
      <c r="BJ37" s="144" t="str">
        <f t="shared" si="50"/>
        <v>ok</v>
      </c>
      <c r="BK37" s="145">
        <f t="shared" si="17"/>
        <v>4.5306121189799958E-2</v>
      </c>
      <c r="BL37" s="145">
        <f t="shared" si="18"/>
        <v>3.5243583237060137E-2</v>
      </c>
      <c r="BO37">
        <f>IF(BP37&lt;=Presentation!$F$34,1,0)</f>
        <v>1</v>
      </c>
      <c r="BP37" s="146">
        <v>25</v>
      </c>
      <c r="BQ37" s="144"/>
      <c r="BR37" s="144">
        <f t="shared" si="45"/>
        <v>5.1818917172725736E-2</v>
      </c>
      <c r="BS37" s="144">
        <f t="shared" si="46"/>
        <v>0.9481810828272742</v>
      </c>
      <c r="BT37" s="144" t="str">
        <f t="shared" si="51"/>
        <v>ok</v>
      </c>
      <c r="BU37" s="145">
        <f t="shared" si="19"/>
        <v>1.6067383360856807E-2</v>
      </c>
      <c r="BV37" s="145">
        <f t="shared" si="20"/>
        <v>1.2371885187859743E-2</v>
      </c>
      <c r="BZ37" s="136"/>
    </row>
    <row r="38" spans="1:78" x14ac:dyDescent="0.3">
      <c r="A38" s="136"/>
      <c r="B38">
        <f>IF(C38&lt;=Presentation!$F$34,1,0)</f>
        <v>1</v>
      </c>
      <c r="C38" s="146">
        <v>26</v>
      </c>
      <c r="D38" s="144">
        <f t="shared" si="32"/>
        <v>0.88097942355628789</v>
      </c>
      <c r="E38" s="144"/>
      <c r="F38" s="144">
        <f t="shared" si="33"/>
        <v>0.11902057644371242</v>
      </c>
      <c r="G38" s="144" t="str">
        <f t="shared" si="21"/>
        <v>ok</v>
      </c>
      <c r="H38" s="145">
        <f t="shared" si="8"/>
        <v>0.26015566558486852</v>
      </c>
      <c r="I38" s="145">
        <f t="shared" si="22"/>
        <v>0.21592920243544086</v>
      </c>
      <c r="L38" s="80">
        <v>26</v>
      </c>
      <c r="M38" s="145">
        <f t="shared" si="23"/>
        <v>0.98770798057355236</v>
      </c>
      <c r="N38" s="145">
        <f>INDEX('Table of Life'!$E$8:$E$108,MATCH(MIN(idade_entrada+Markov!C38,100),'Table of Life'!$D$8:$D$108))</f>
        <v>1.2292019426447606E-2</v>
      </c>
      <c r="Q38">
        <f>IF(R38&lt;=Presentation!$F$34,1,0)</f>
        <v>1</v>
      </c>
      <c r="R38" s="146">
        <v>26</v>
      </c>
      <c r="S38" s="144">
        <f t="shared" si="34"/>
        <v>0.86001968539703855</v>
      </c>
      <c r="T38" s="144"/>
      <c r="U38" s="144">
        <f t="shared" si="35"/>
        <v>0.1399803146029614</v>
      </c>
      <c r="V38" s="144" t="str">
        <f t="shared" si="47"/>
        <v>ok</v>
      </c>
      <c r="W38" s="145">
        <f t="shared" si="9"/>
        <v>0.25396619681238286</v>
      </c>
      <c r="X38" s="145">
        <f t="shared" si="10"/>
        <v>0.20571261941803012</v>
      </c>
      <c r="AA38">
        <f>IF(AB38&lt;=Presentation!$F$34,1,0)</f>
        <v>1</v>
      </c>
      <c r="AB38" s="146">
        <v>26</v>
      </c>
      <c r="AC38" s="144">
        <f t="shared" si="25"/>
        <v>0.634447967948229</v>
      </c>
      <c r="AD38" s="144"/>
      <c r="AE38" s="144">
        <f t="shared" si="26"/>
        <v>0.36555203205177111</v>
      </c>
      <c r="AF38" s="144" t="str">
        <f t="shared" si="48"/>
        <v>ok</v>
      </c>
      <c r="AG38" s="145">
        <f t="shared" si="11"/>
        <v>0.18735424343312496</v>
      </c>
      <c r="AH38" s="145">
        <f t="shared" si="12"/>
        <v>0.14988339474649998</v>
      </c>
      <c r="AK38">
        <f>IF(AL38&lt;=Presentation!$F$34,1,0)</f>
        <v>1</v>
      </c>
      <c r="AL38" s="146">
        <v>26</v>
      </c>
      <c r="AM38" s="144">
        <f t="shared" si="36"/>
        <v>0.93402534946535232</v>
      </c>
      <c r="AN38" s="144">
        <f t="shared" si="37"/>
        <v>2.0359752641267134E-4</v>
      </c>
      <c r="AO38" s="144">
        <f t="shared" si="38"/>
        <v>6.5771053008233507E-2</v>
      </c>
      <c r="AP38" s="144" t="str">
        <f>IF(SUM(AM38:AO38)=$D$12,"ok",IF(SUM(AM38:AO38)=0,"ok","check"))</f>
        <v>check</v>
      </c>
      <c r="AQ38" s="145">
        <f t="shared" si="13"/>
        <v>0.27588039744694987</v>
      </c>
      <c r="AR38" s="145">
        <f t="shared" si="14"/>
        <v>0.22346071701547496</v>
      </c>
      <c r="AU38">
        <f>IF(AV38&lt;=Presentation!$F$34,1,0)</f>
        <v>1</v>
      </c>
      <c r="AV38" s="146">
        <v>26</v>
      </c>
      <c r="AW38" s="144">
        <f t="shared" si="39"/>
        <v>3.7862201015791262E-2</v>
      </c>
      <c r="AX38" s="144">
        <f t="shared" si="40"/>
        <v>0.12898571660228961</v>
      </c>
      <c r="AY38" s="144">
        <f t="shared" si="41"/>
        <v>0.83315208238191907</v>
      </c>
      <c r="AZ38" s="144" t="str">
        <f t="shared" si="49"/>
        <v>ok</v>
      </c>
      <c r="BA38" s="145">
        <f t="shared" si="15"/>
        <v>4.9270652524619152E-2</v>
      </c>
      <c r="BB38" s="145">
        <f t="shared" si="16"/>
        <v>3.8385634960058389E-2</v>
      </c>
      <c r="BE38">
        <f>IF(BF38&lt;=Presentation!$F$34,1,0)</f>
        <v>1</v>
      </c>
      <c r="BF38" s="146">
        <v>26</v>
      </c>
      <c r="BG38" s="144">
        <f t="shared" si="42"/>
        <v>2.5038984944290504E-2</v>
      </c>
      <c r="BH38" s="144">
        <f t="shared" si="43"/>
        <v>0.10719883116312412</v>
      </c>
      <c r="BI38" s="144">
        <f t="shared" si="44"/>
        <v>0.86776218389258508</v>
      </c>
      <c r="BJ38" s="144" t="str">
        <f t="shared" si="50"/>
        <v>ok</v>
      </c>
      <c r="BK38" s="145">
        <f t="shared" si="17"/>
        <v>3.9050193619778503E-2</v>
      </c>
      <c r="BL38" s="145">
        <f t="shared" si="18"/>
        <v>3.0364412353411356E-2</v>
      </c>
      <c r="BO38">
        <f>IF(BP38&lt;=Presentation!$F$34,1,0)</f>
        <v>1</v>
      </c>
      <c r="BP38" s="146">
        <v>26</v>
      </c>
      <c r="BQ38" s="144"/>
      <c r="BR38" s="144">
        <f t="shared" si="45"/>
        <v>4.603285031891851E-2</v>
      </c>
      <c r="BS38" s="144">
        <f t="shared" si="46"/>
        <v>0.95396714968108143</v>
      </c>
      <c r="BT38" s="144" t="str">
        <f t="shared" si="51"/>
        <v>ok</v>
      </c>
      <c r="BU38" s="145">
        <f t="shared" si="19"/>
        <v>1.3593628288324848E-2</v>
      </c>
      <c r="BV38" s="145">
        <f t="shared" si="20"/>
        <v>1.0467093782010134E-2</v>
      </c>
      <c r="BZ38" s="136"/>
    </row>
    <row r="39" spans="1:78" x14ac:dyDescent="0.3">
      <c r="A39" s="136"/>
      <c r="B39">
        <f>IF(C39&lt;=Presentation!$F$34,1,0)</f>
        <v>1</v>
      </c>
      <c r="C39" s="146">
        <v>27</v>
      </c>
      <c r="D39" s="144">
        <f t="shared" si="32"/>
        <v>0.87015040736763338</v>
      </c>
      <c r="E39" s="144"/>
      <c r="F39" s="144">
        <f t="shared" si="33"/>
        <v>0.12984959263236692</v>
      </c>
      <c r="G39" s="144" t="str">
        <f t="shared" si="21"/>
        <v>ok</v>
      </c>
      <c r="H39" s="145">
        <f t="shared" si="8"/>
        <v>0.24472174008533229</v>
      </c>
      <c r="I39" s="145">
        <f t="shared" si="22"/>
        <v>0.20311904427082578</v>
      </c>
      <c r="L39" s="80">
        <v>27</v>
      </c>
      <c r="M39" s="145">
        <f t="shared" si="23"/>
        <v>0.9865388758689847</v>
      </c>
      <c r="N39" s="145">
        <f>INDEX('Table of Life'!$E$8:$E$108,MATCH(MIN(idade_entrada+Markov!C39,100),'Table of Life'!$D$8:$D$108))</f>
        <v>1.3461124131015263E-2</v>
      </c>
      <c r="Q39">
        <f>IF(R39&lt;=Presentation!$F$34,1,0)</f>
        <v>1</v>
      </c>
      <c r="R39" s="146">
        <v>27</v>
      </c>
      <c r="S39" s="144">
        <f t="shared" si="34"/>
        <v>0.85504600882665538</v>
      </c>
      <c r="T39" s="144"/>
      <c r="U39" s="144">
        <f t="shared" si="35"/>
        <v>0.14495399117334457</v>
      </c>
      <c r="V39" s="144" t="str">
        <f t="shared" si="47"/>
        <v>ok</v>
      </c>
      <c r="W39" s="145">
        <f t="shared" si="9"/>
        <v>0.24047376793868616</v>
      </c>
      <c r="X39" s="145">
        <f t="shared" si="10"/>
        <v>0.19478375203033579</v>
      </c>
      <c r="AA39">
        <f>IF(AB39&lt;=Presentation!$F$34,1,0)</f>
        <v>1</v>
      </c>
      <c r="AB39" s="146">
        <v>27</v>
      </c>
      <c r="AC39" s="144">
        <f t="shared" si="25"/>
        <v>0.62344171411748994</v>
      </c>
      <c r="AD39" s="144"/>
      <c r="AE39" s="144">
        <f t="shared" si="26"/>
        <v>0.37655828588251017</v>
      </c>
      <c r="AF39" s="144" t="str">
        <f t="shared" si="48"/>
        <v>ok</v>
      </c>
      <c r="AG39" s="145">
        <f t="shared" si="11"/>
        <v>0.17533720587704626</v>
      </c>
      <c r="AH39" s="145">
        <f t="shared" si="12"/>
        <v>0.14026976470163702</v>
      </c>
      <c r="AK39">
        <f>IF(AL39&lt;=Presentation!$F$34,1,0)</f>
        <v>1</v>
      </c>
      <c r="AL39" s="146">
        <v>27</v>
      </c>
      <c r="AM39" s="144">
        <f t="shared" si="36"/>
        <v>0.93157668719439291</v>
      </c>
      <c r="AN39" s="144">
        <f t="shared" si="37"/>
        <v>2.0421459172743274E-4</v>
      </c>
      <c r="AO39" s="144">
        <f t="shared" si="38"/>
        <v>6.8219098213878157E-2</v>
      </c>
      <c r="AP39" s="144" t="str">
        <f t="shared" si="28"/>
        <v>checar</v>
      </c>
      <c r="AQ39" s="145">
        <f t="shared" si="13"/>
        <v>0.26205474563093484</v>
      </c>
      <c r="AR39" s="145">
        <f t="shared" si="14"/>
        <v>0.21226204662258261</v>
      </c>
      <c r="AU39">
        <f>IF(AV39&lt;=Presentation!$F$34,1,0)</f>
        <v>1</v>
      </c>
      <c r="AV39" s="146">
        <v>27</v>
      </c>
      <c r="AW39" s="144">
        <f t="shared" si="39"/>
        <v>3.3382700551258263E-2</v>
      </c>
      <c r="AX39" s="144">
        <f t="shared" si="40"/>
        <v>0.1185587858250105</v>
      </c>
      <c r="AY39" s="144">
        <f t="shared" si="41"/>
        <v>0.84805851362373119</v>
      </c>
      <c r="AZ39" s="144" t="str">
        <f t="shared" si="49"/>
        <v>ok</v>
      </c>
      <c r="BA39" s="145">
        <f t="shared" si="15"/>
        <v>4.2732135297895157E-2</v>
      </c>
      <c r="BB39" s="145">
        <f t="shared" si="16"/>
        <v>3.3279287188885676E-2</v>
      </c>
      <c r="BE39">
        <f>IF(BF39&lt;=Presentation!$F$34,1,0)</f>
        <v>1</v>
      </c>
      <c r="BF39" s="146">
        <v>27</v>
      </c>
      <c r="BG39" s="144">
        <f t="shared" si="42"/>
        <v>2.1728265252328835E-2</v>
      </c>
      <c r="BH39" s="144">
        <f t="shared" si="43"/>
        <v>9.7858172267838078E-2</v>
      </c>
      <c r="BI39" s="144">
        <f t="shared" si="44"/>
        <v>0.88041356247983282</v>
      </c>
      <c r="BJ39" s="144" t="str">
        <f t="shared" si="50"/>
        <v>ok</v>
      </c>
      <c r="BK39" s="145">
        <f t="shared" si="17"/>
        <v>3.3632577578253844E-2</v>
      </c>
      <c r="BL39" s="145">
        <f t="shared" si="18"/>
        <v>2.6141519666805821E-2</v>
      </c>
      <c r="BO39">
        <f>IF(BP39&lt;=Presentation!$F$34,1,0)</f>
        <v>1</v>
      </c>
      <c r="BP39" s="146">
        <v>27</v>
      </c>
      <c r="BQ39" s="144"/>
      <c r="BR39" s="144">
        <f t="shared" si="45"/>
        <v>4.0892851956375466E-2</v>
      </c>
      <c r="BS39" s="144">
        <f t="shared" si="46"/>
        <v>0.95910714804362451</v>
      </c>
      <c r="BT39" s="144" t="str">
        <f t="shared" si="51"/>
        <v>ok</v>
      </c>
      <c r="BU39" s="145">
        <f t="shared" si="19"/>
        <v>1.1500735738422788E-2</v>
      </c>
      <c r="BV39" s="145">
        <f t="shared" si="20"/>
        <v>8.8555665185855465E-3</v>
      </c>
      <c r="BZ39" s="136"/>
    </row>
    <row r="40" spans="1:78" x14ac:dyDescent="0.3">
      <c r="A40" s="136"/>
      <c r="B40">
        <f>IF(C40&lt;=Presentation!$F$34,1,0)</f>
        <v>1</v>
      </c>
      <c r="C40" s="146">
        <v>28</v>
      </c>
      <c r="D40" s="144">
        <f t="shared" si="32"/>
        <v>0.85843720472140417</v>
      </c>
      <c r="E40" s="144"/>
      <c r="F40" s="144">
        <f t="shared" si="33"/>
        <v>0.14156279527859614</v>
      </c>
      <c r="G40" s="144" t="str">
        <f t="shared" si="21"/>
        <v>ok</v>
      </c>
      <c r="H40" s="145">
        <f t="shared" si="8"/>
        <v>0.22993096225189102</v>
      </c>
      <c r="I40" s="145">
        <f t="shared" si="22"/>
        <v>0.19084269866906955</v>
      </c>
      <c r="L40" s="80">
        <v>28</v>
      </c>
      <c r="M40" s="145">
        <f t="shared" si="23"/>
        <v>0.98522747270245326</v>
      </c>
      <c r="N40" s="145">
        <f>INDEX('Table of Life'!$E$8:$E$108,MATCH(MIN(idade_entrada+Markov!C40,100),'Table of Life'!$D$8:$D$108))</f>
        <v>1.4772527297546783E-2</v>
      </c>
      <c r="Q40">
        <f>IF(R40&lt;=Presentation!$F$34,1,0)</f>
        <v>1</v>
      </c>
      <c r="R40" s="146">
        <v>28</v>
      </c>
      <c r="S40" s="144">
        <f t="shared" si="34"/>
        <v>0.85010109608464357</v>
      </c>
      <c r="T40" s="144"/>
      <c r="U40" s="144">
        <f t="shared" si="35"/>
        <v>0.14989890391535635</v>
      </c>
      <c r="V40" s="144" t="str">
        <f t="shared" si="47"/>
        <v>ok</v>
      </c>
      <c r="W40" s="145">
        <f t="shared" si="9"/>
        <v>0.22769814956653134</v>
      </c>
      <c r="X40" s="145">
        <f t="shared" si="10"/>
        <v>0.1844355011488904</v>
      </c>
      <c r="AA40">
        <f>IF(AB40&lt;=Presentation!$F$34,1,0)</f>
        <v>1</v>
      </c>
      <c r="AB40" s="146">
        <v>28</v>
      </c>
      <c r="AC40" s="144">
        <f t="shared" si="25"/>
        <v>0.61262639418441689</v>
      </c>
      <c r="AD40" s="144"/>
      <c r="AE40" s="144">
        <f t="shared" si="26"/>
        <v>0.38737360581558317</v>
      </c>
      <c r="AF40" s="144" t="str">
        <f t="shared" si="48"/>
        <v>ok</v>
      </c>
      <c r="AG40" s="145">
        <f t="shared" si="11"/>
        <v>0.16409094985747305</v>
      </c>
      <c r="AH40" s="145">
        <f t="shared" si="12"/>
        <v>0.13127275988597845</v>
      </c>
      <c r="AK40">
        <f>IF(AL40&lt;=Presentation!$F$34,1,0)</f>
        <v>1</v>
      </c>
      <c r="AL40" s="146">
        <v>28</v>
      </c>
      <c r="AM40" s="144">
        <f t="shared" si="36"/>
        <v>0.92913444439258452</v>
      </c>
      <c r="AN40" s="144">
        <f t="shared" si="37"/>
        <v>2.0470153937055368E-4</v>
      </c>
      <c r="AO40" s="144">
        <f t="shared" si="38"/>
        <v>7.0660854068043358E-2</v>
      </c>
      <c r="AP40" s="144" t="str">
        <f t="shared" si="28"/>
        <v>checar</v>
      </c>
      <c r="AQ40" s="145">
        <f t="shared" si="13"/>
        <v>0.24892192801899077</v>
      </c>
      <c r="AR40" s="145">
        <f t="shared" si="14"/>
        <v>0.20162456853685387</v>
      </c>
      <c r="AU40">
        <f>IF(AV40&lt;=Presentation!$F$34,1,0)</f>
        <v>1</v>
      </c>
      <c r="AV40" s="146">
        <v>28</v>
      </c>
      <c r="AW40" s="144">
        <f t="shared" si="39"/>
        <v>2.9433172562529891E-2</v>
      </c>
      <c r="AX40" s="144">
        <f t="shared" si="40"/>
        <v>0.10882577186125886</v>
      </c>
      <c r="AY40" s="144">
        <f t="shared" si="41"/>
        <v>0.86174105557621117</v>
      </c>
      <c r="AZ40" s="144" t="str">
        <f t="shared" si="49"/>
        <v>ok</v>
      </c>
      <c r="BA40" s="145">
        <f t="shared" si="15"/>
        <v>3.7032425850659106E-2</v>
      </c>
      <c r="BB40" s="145">
        <f t="shared" si="16"/>
        <v>2.8830312936756215E-2</v>
      </c>
      <c r="BE40">
        <f>IF(BF40&lt;=Presentation!$F$34,1,0)</f>
        <v>1</v>
      </c>
      <c r="BF40" s="146">
        <v>28</v>
      </c>
      <c r="BG40" s="144">
        <f t="shared" si="42"/>
        <v>1.8855297526077026E-2</v>
      </c>
      <c r="BH40" s="144">
        <f t="shared" si="43"/>
        <v>8.9212859749805404E-2</v>
      </c>
      <c r="BI40" s="144">
        <f t="shared" si="44"/>
        <v>0.8919318427241173</v>
      </c>
      <c r="BJ40" s="144" t="str">
        <f t="shared" si="50"/>
        <v>ok</v>
      </c>
      <c r="BK40" s="145">
        <f t="shared" si="17"/>
        <v>2.8945874263798414E-2</v>
      </c>
      <c r="BL40" s="145">
        <f t="shared" si="18"/>
        <v>2.2490337572989145E-2</v>
      </c>
      <c r="BO40">
        <f>IF(BP40&lt;=Presentation!$F$34,1,0)</f>
        <v>1</v>
      </c>
      <c r="BP40" s="146">
        <v>28</v>
      </c>
      <c r="BQ40" s="144"/>
      <c r="BR40" s="144">
        <f t="shared" si="45"/>
        <v>3.6326782494256978E-2</v>
      </c>
      <c r="BS40" s="144">
        <f t="shared" si="46"/>
        <v>0.96367321750574297</v>
      </c>
      <c r="BT40" s="144" t="str">
        <f t="shared" si="51"/>
        <v>ok</v>
      </c>
      <c r="BU40" s="145">
        <f t="shared" si="19"/>
        <v>9.7300676257739936E-3</v>
      </c>
      <c r="BV40" s="145">
        <f t="shared" si="20"/>
        <v>7.4921520718459755E-3</v>
      </c>
      <c r="BZ40" s="136"/>
    </row>
    <row r="41" spans="1:78" x14ac:dyDescent="0.3">
      <c r="A41" s="136"/>
      <c r="B41">
        <f>IF(C41&lt;=Presentation!$F$34,1,0)</f>
        <v>1</v>
      </c>
      <c r="C41" s="146">
        <v>29</v>
      </c>
      <c r="D41" s="144">
        <f t="shared" si="32"/>
        <v>0.84575591768142755</v>
      </c>
      <c r="E41" s="144"/>
      <c r="F41" s="144">
        <f t="shared" si="33"/>
        <v>0.15424408231857284</v>
      </c>
      <c r="G41" s="144" t="str">
        <f t="shared" si="21"/>
        <v>ok</v>
      </c>
      <c r="H41" s="145">
        <f t="shared" si="8"/>
        <v>0.21574695317664175</v>
      </c>
      <c r="I41" s="145">
        <f t="shared" si="22"/>
        <v>0.17906997113661263</v>
      </c>
      <c r="L41" s="80">
        <v>29</v>
      </c>
      <c r="M41" s="145">
        <f t="shared" si="23"/>
        <v>0.98377081130749411</v>
      </c>
      <c r="N41" s="145">
        <f>INDEX('Table of Life'!$E$8:$E$108,MATCH(MIN(idade_entrada+Markov!C41,100),'Table of Life'!$D$8:$D$108))</f>
        <v>1.6229188692505867E-2</v>
      </c>
      <c r="Q41">
        <f>IF(R41&lt;=Presentation!$F$34,1,0)</f>
        <v>1</v>
      </c>
      <c r="R41" s="146">
        <v>29</v>
      </c>
      <c r="S41" s="144">
        <f t="shared" si="34"/>
        <v>0.84518478082367221</v>
      </c>
      <c r="T41" s="144"/>
      <c r="U41" s="144">
        <f t="shared" si="35"/>
        <v>0.15481521917632771</v>
      </c>
      <c r="V41" s="144" t="str">
        <f t="shared" si="47"/>
        <v>ok</v>
      </c>
      <c r="W41" s="145">
        <f t="shared" si="9"/>
        <v>0.21560125979829048</v>
      </c>
      <c r="X41" s="145">
        <f t="shared" si="10"/>
        <v>0.1746370204366153</v>
      </c>
      <c r="AA41">
        <f>IF(AB41&lt;=Presentation!$F$34,1,0)</f>
        <v>1</v>
      </c>
      <c r="AB41" s="146">
        <v>29</v>
      </c>
      <c r="AC41" s="144">
        <f t="shared" si="25"/>
        <v>0.60199869587274968</v>
      </c>
      <c r="AD41" s="144"/>
      <c r="AE41" s="144">
        <f t="shared" si="26"/>
        <v>0.39800130412725038</v>
      </c>
      <c r="AF41" s="144" t="str">
        <f t="shared" si="48"/>
        <v>ok</v>
      </c>
      <c r="AG41" s="145">
        <f t="shared" si="11"/>
        <v>0.15356603688557274</v>
      </c>
      <c r="AH41" s="145">
        <f t="shared" si="12"/>
        <v>0.1228528295084582</v>
      </c>
      <c r="AK41">
        <f>IF(AL41&lt;=Presentation!$F$34,1,0)</f>
        <v>1</v>
      </c>
      <c r="AL41" s="146">
        <v>29</v>
      </c>
      <c r="AM41" s="144">
        <f t="shared" si="36"/>
        <v>0.92669860423049977</v>
      </c>
      <c r="AN41" s="144">
        <f t="shared" si="37"/>
        <v>2.0507305868401599E-4</v>
      </c>
      <c r="AO41" s="144">
        <f t="shared" si="38"/>
        <v>7.3096322710814648E-2</v>
      </c>
      <c r="AP41" s="144" t="str">
        <f t="shared" si="28"/>
        <v>checar</v>
      </c>
      <c r="AQ41" s="145">
        <f t="shared" si="13"/>
        <v>0.23644723032099688</v>
      </c>
      <c r="AR41" s="145">
        <f t="shared" si="14"/>
        <v>0.19152016404671071</v>
      </c>
      <c r="AU41">
        <f>IF(AV41&lt;=Presentation!$F$34,1,0)</f>
        <v>1</v>
      </c>
      <c r="AV41" s="146">
        <v>29</v>
      </c>
      <c r="AW41" s="144">
        <f t="shared" si="39"/>
        <v>2.5950915677581673E-2</v>
      </c>
      <c r="AX41" s="144">
        <f t="shared" si="40"/>
        <v>9.9764839517366144E-2</v>
      </c>
      <c r="AY41" s="144">
        <f t="shared" si="41"/>
        <v>0.87428424480505207</v>
      </c>
      <c r="AZ41" s="144" t="str">
        <f t="shared" si="49"/>
        <v>ok</v>
      </c>
      <c r="BA41" s="145">
        <f t="shared" si="15"/>
        <v>3.2069289238868745E-2</v>
      </c>
      <c r="BB41" s="145">
        <f t="shared" si="16"/>
        <v>2.4958149252624445E-2</v>
      </c>
      <c r="BE41">
        <f>IF(BF41&lt;=Presentation!$F$34,1,0)</f>
        <v>1</v>
      </c>
      <c r="BF41" s="146">
        <v>29</v>
      </c>
      <c r="BG41" s="144">
        <f t="shared" si="42"/>
        <v>1.6362201062451662E-2</v>
      </c>
      <c r="BH41" s="144">
        <f t="shared" si="43"/>
        <v>8.1231215637634482E-2</v>
      </c>
      <c r="BI41" s="144">
        <f t="shared" si="44"/>
        <v>0.90240658329991363</v>
      </c>
      <c r="BJ41" s="144" t="str">
        <f t="shared" si="50"/>
        <v>ok</v>
      </c>
      <c r="BK41" s="145">
        <f t="shared" si="17"/>
        <v>2.4895459627245528E-2</v>
      </c>
      <c r="BL41" s="145">
        <f t="shared" si="18"/>
        <v>1.9336459648206548E-2</v>
      </c>
      <c r="BO41">
        <f>IF(BP41&lt;=Presentation!$F$34,1,0)</f>
        <v>1</v>
      </c>
      <c r="BP41" s="146">
        <v>29</v>
      </c>
      <c r="BQ41" s="144"/>
      <c r="BR41" s="144">
        <f t="shared" si="45"/>
        <v>3.2270557401886356E-2</v>
      </c>
      <c r="BS41" s="144">
        <f t="shared" si="46"/>
        <v>0.96772944259811355</v>
      </c>
      <c r="BT41" s="144" t="str">
        <f t="shared" si="51"/>
        <v>ok</v>
      </c>
      <c r="BU41" s="145">
        <f t="shared" si="19"/>
        <v>8.2320138602818491E-3</v>
      </c>
      <c r="BV41" s="145">
        <f t="shared" si="20"/>
        <v>6.3386506724170243E-3</v>
      </c>
      <c r="BZ41" s="136"/>
    </row>
    <row r="42" spans="1:78" x14ac:dyDescent="0.3">
      <c r="A42" s="136"/>
      <c r="B42">
        <f>IF(C42&lt;=Presentation!$F$34,1,0)</f>
        <v>1</v>
      </c>
      <c r="C42" s="146">
        <v>30</v>
      </c>
      <c r="D42" s="144">
        <f t="shared" si="32"/>
        <v>0.83202998530557215</v>
      </c>
      <c r="E42" s="144"/>
      <c r="F42" s="144">
        <f t="shared" si="33"/>
        <v>0.16797001469442818</v>
      </c>
      <c r="G42" s="144" t="str">
        <f t="shared" si="21"/>
        <v>ok</v>
      </c>
      <c r="H42" s="145">
        <f t="shared" si="8"/>
        <v>0.20213862396543308</v>
      </c>
      <c r="I42" s="145">
        <f t="shared" si="22"/>
        <v>0.16777505789130945</v>
      </c>
      <c r="L42" s="80">
        <v>30</v>
      </c>
      <c r="M42" s="145">
        <f t="shared" si="23"/>
        <v>0.98219409732519769</v>
      </c>
      <c r="N42" s="145">
        <f>INDEX('Table of Life'!$E$8:$E$108,MATCH(MIN(idade_entrada+Markov!C42,100),'Table of Life'!$D$8:$D$108))</f>
        <v>1.7805902674802261E-2</v>
      </c>
      <c r="Q42">
        <f>IF(R42&lt;=Presentation!$F$34,1,0)</f>
        <v>1</v>
      </c>
      <c r="R42" s="146">
        <v>30</v>
      </c>
      <c r="S42" s="144">
        <f t="shared" si="34"/>
        <v>0.8402968976584323</v>
      </c>
      <c r="T42" s="144"/>
      <c r="U42" s="144">
        <f t="shared" si="35"/>
        <v>0.15970310234156765</v>
      </c>
      <c r="V42" s="144" t="str">
        <f t="shared" si="47"/>
        <v>ok</v>
      </c>
      <c r="W42" s="145">
        <f t="shared" si="9"/>
        <v>0.20414703990832278</v>
      </c>
      <c r="X42" s="145">
        <f t="shared" si="10"/>
        <v>0.16535910232574147</v>
      </c>
      <c r="AA42">
        <f>IF(AB42&lt;=Presentation!$F$34,1,0)</f>
        <v>1</v>
      </c>
      <c r="AB42" s="146">
        <v>30</v>
      </c>
      <c r="AC42" s="144">
        <f t="shared" si="25"/>
        <v>0.59155536436681599</v>
      </c>
      <c r="AD42" s="144"/>
      <c r="AE42" s="144">
        <f t="shared" si="26"/>
        <v>0.40844463563318412</v>
      </c>
      <c r="AF42" s="144" t="str">
        <f t="shared" si="48"/>
        <v>ok</v>
      </c>
      <c r="AG42" s="145">
        <f t="shared" si="11"/>
        <v>0.14371619949317441</v>
      </c>
      <c r="AH42" s="145">
        <f t="shared" si="12"/>
        <v>0.11497295959453953</v>
      </c>
      <c r="AK42">
        <f>IF(AL42&lt;=Presentation!$F$34,1,0)</f>
        <v>1</v>
      </c>
      <c r="AL42" s="146">
        <v>30</v>
      </c>
      <c r="AM42" s="144">
        <f t="shared" si="36"/>
        <v>0.92426914992283149</v>
      </c>
      <c r="AN42" s="144">
        <f t="shared" si="37"/>
        <v>2.0534219838661886E-4</v>
      </c>
      <c r="AO42" s="144">
        <f t="shared" si="38"/>
        <v>7.5525507878780318E-2</v>
      </c>
      <c r="AP42" s="144" t="str">
        <f t="shared" si="28"/>
        <v>checar</v>
      </c>
      <c r="AQ42" s="145">
        <f t="shared" si="13"/>
        <v>0.22459767680114898</v>
      </c>
      <c r="AR42" s="145">
        <f t="shared" si="14"/>
        <v>0.18192212272366418</v>
      </c>
      <c r="AU42">
        <f>IF(AV42&lt;=Presentation!$F$34,1,0)</f>
        <v>1</v>
      </c>
      <c r="AV42" s="146">
        <v>30</v>
      </c>
      <c r="AW42" s="144">
        <f t="shared" si="39"/>
        <v>2.2880646762567979E-2</v>
      </c>
      <c r="AX42" s="144">
        <f t="shared" si="40"/>
        <v>9.1350008059236529E-2</v>
      </c>
      <c r="AY42" s="144">
        <f t="shared" si="41"/>
        <v>0.88576934517819539</v>
      </c>
      <c r="AZ42" s="144" t="str">
        <f t="shared" si="49"/>
        <v>ok</v>
      </c>
      <c r="BA42" s="145">
        <f t="shared" si="15"/>
        <v>2.7751917344504971E-2</v>
      </c>
      <c r="BB42" s="145">
        <f t="shared" si="16"/>
        <v>2.1591327113472628E-2</v>
      </c>
      <c r="BE42">
        <f>IF(BF42&lt;=Presentation!$F$34,1,0)</f>
        <v>1</v>
      </c>
      <c r="BF42" s="146">
        <v>30</v>
      </c>
      <c r="BG42" s="144">
        <f t="shared" si="42"/>
        <v>1.4198748295423776E-2</v>
      </c>
      <c r="BH42" s="144">
        <f t="shared" si="43"/>
        <v>7.3879021627954372E-2</v>
      </c>
      <c r="BI42" s="144">
        <f t="shared" si="44"/>
        <v>0.91192223007662165</v>
      </c>
      <c r="BJ42" s="144" t="str">
        <f t="shared" si="50"/>
        <v>ok</v>
      </c>
      <c r="BK42" s="145">
        <f t="shared" si="17"/>
        <v>2.1398170172577353E-2</v>
      </c>
      <c r="BL42" s="145">
        <f t="shared" si="18"/>
        <v>1.6614572379382041E-2</v>
      </c>
      <c r="BO42">
        <f>IF(BP42&lt;=Presentation!$F$34,1,0)</f>
        <v>1</v>
      </c>
      <c r="BP42" s="146">
        <v>30</v>
      </c>
      <c r="BQ42" s="144"/>
      <c r="BR42" s="144">
        <f t="shared" si="45"/>
        <v>2.8667247785929814E-2</v>
      </c>
      <c r="BS42" s="144">
        <f t="shared" si="46"/>
        <v>0.97133275221407012</v>
      </c>
      <c r="BT42" s="144" t="str">
        <f t="shared" si="51"/>
        <v>ok</v>
      </c>
      <c r="BU42" s="145">
        <f t="shared" si="19"/>
        <v>6.9646023853284231E-3</v>
      </c>
      <c r="BV42" s="145">
        <f t="shared" si="20"/>
        <v>5.3627438367028863E-3</v>
      </c>
      <c r="BZ42" s="136"/>
    </row>
    <row r="43" spans="1:78" x14ac:dyDescent="0.3">
      <c r="A43" s="136"/>
      <c r="B43">
        <f>IF(C43&lt;=Presentation!$F$34,1,0)</f>
        <v>0</v>
      </c>
      <c r="C43" s="146">
        <v>31</v>
      </c>
      <c r="D43" s="144">
        <f t="shared" si="32"/>
        <v>0</v>
      </c>
      <c r="E43" s="144"/>
      <c r="F43" s="144">
        <f t="shared" si="33"/>
        <v>0</v>
      </c>
      <c r="G43" s="144" t="str">
        <f t="shared" si="21"/>
        <v>ok</v>
      </c>
      <c r="H43" s="145">
        <f t="shared" si="8"/>
        <v>0</v>
      </c>
      <c r="I43" s="145">
        <f t="shared" si="22"/>
        <v>0</v>
      </c>
      <c r="L43" s="80">
        <v>31</v>
      </c>
      <c r="M43" s="145">
        <f t="shared" si="23"/>
        <v>0.98048003754807933</v>
      </c>
      <c r="N43" s="145">
        <f>INDEX('Table of Life'!$E$8:$E$108,MATCH(MIN(idade_entrada+Markov!C43,100),'Table of Life'!$D$8:$D$108))</f>
        <v>1.9519962451920669E-2</v>
      </c>
      <c r="Q43">
        <f>IF(R43&lt;=Presentation!$F$34,1,0)</f>
        <v>0</v>
      </c>
      <c r="R43" s="146">
        <v>31</v>
      </c>
      <c r="S43" s="144">
        <f t="shared" si="34"/>
        <v>0</v>
      </c>
      <c r="T43" s="144"/>
      <c r="U43" s="144">
        <f t="shared" si="35"/>
        <v>0</v>
      </c>
      <c r="V43" s="144" t="str">
        <f t="shared" si="47"/>
        <v>ok</v>
      </c>
      <c r="W43" s="145">
        <f t="shared" si="9"/>
        <v>0</v>
      </c>
      <c r="X43" s="145">
        <f t="shared" si="10"/>
        <v>0</v>
      </c>
      <c r="AA43">
        <f>IF(AB43&lt;=Presentation!$F$34,1,0)</f>
        <v>0</v>
      </c>
      <c r="AB43" s="146">
        <v>31</v>
      </c>
      <c r="AC43" s="144">
        <f t="shared" si="25"/>
        <v>0</v>
      </c>
      <c r="AD43" s="144"/>
      <c r="AE43" s="144">
        <f t="shared" si="26"/>
        <v>0</v>
      </c>
      <c r="AF43" s="144" t="str">
        <f t="shared" si="48"/>
        <v>ok</v>
      </c>
      <c r="AG43" s="145">
        <f t="shared" si="11"/>
        <v>0</v>
      </c>
      <c r="AH43" s="145">
        <f t="shared" si="12"/>
        <v>0</v>
      </c>
      <c r="AK43">
        <f>IF(AL43&lt;=Presentation!$F$34,1,0)</f>
        <v>0</v>
      </c>
      <c r="AL43" s="146">
        <v>31</v>
      </c>
      <c r="AM43" s="144">
        <f t="shared" si="36"/>
        <v>0</v>
      </c>
      <c r="AN43" s="144">
        <f t="shared" si="37"/>
        <v>0</v>
      </c>
      <c r="AO43" s="144">
        <f t="shared" si="38"/>
        <v>0</v>
      </c>
      <c r="AP43" s="144" t="str">
        <f t="shared" si="28"/>
        <v>ok</v>
      </c>
      <c r="AQ43" s="145">
        <f t="shared" si="13"/>
        <v>0</v>
      </c>
      <c r="AR43" s="145">
        <f t="shared" si="14"/>
        <v>0</v>
      </c>
      <c r="AU43">
        <f>IF(AV43&lt;=Presentation!$F$34,1,0)</f>
        <v>0</v>
      </c>
      <c r="AV43" s="146">
        <v>31</v>
      </c>
      <c r="AW43" s="144">
        <f t="shared" si="39"/>
        <v>0</v>
      </c>
      <c r="AX43" s="144">
        <f t="shared" si="40"/>
        <v>0</v>
      </c>
      <c r="AY43" s="144">
        <f t="shared" si="41"/>
        <v>0</v>
      </c>
      <c r="AZ43" s="144" t="str">
        <f t="shared" si="49"/>
        <v>ok</v>
      </c>
      <c r="BA43" s="145">
        <f t="shared" si="15"/>
        <v>0</v>
      </c>
      <c r="BB43" s="145">
        <f t="shared" si="16"/>
        <v>0</v>
      </c>
      <c r="BE43">
        <f>IF(BF43&lt;=Presentation!$F$34,1,0)</f>
        <v>0</v>
      </c>
      <c r="BF43" s="146">
        <v>31</v>
      </c>
      <c r="BG43" s="144">
        <f t="shared" si="42"/>
        <v>0</v>
      </c>
      <c r="BH43" s="144">
        <f t="shared" si="43"/>
        <v>0</v>
      </c>
      <c r="BI43" s="144">
        <f t="shared" si="44"/>
        <v>0</v>
      </c>
      <c r="BJ43" s="144" t="str">
        <f t="shared" si="50"/>
        <v>ok</v>
      </c>
      <c r="BK43" s="145">
        <f t="shared" si="17"/>
        <v>0</v>
      </c>
      <c r="BL43" s="145">
        <f t="shared" si="18"/>
        <v>0</v>
      </c>
      <c r="BO43">
        <f>IF(BP43&lt;=Presentation!$F$34,1,0)</f>
        <v>0</v>
      </c>
      <c r="BP43" s="146">
        <v>31</v>
      </c>
      <c r="BQ43" s="144"/>
      <c r="BR43" s="144">
        <f t="shared" si="45"/>
        <v>0</v>
      </c>
      <c r="BS43" s="144">
        <f t="shared" si="46"/>
        <v>0</v>
      </c>
      <c r="BT43" s="144" t="str">
        <f t="shared" si="51"/>
        <v>ok</v>
      </c>
      <c r="BU43" s="145">
        <f t="shared" si="19"/>
        <v>0</v>
      </c>
      <c r="BV43" s="145">
        <f t="shared" si="20"/>
        <v>0</v>
      </c>
      <c r="BZ43" s="136"/>
    </row>
    <row r="44" spans="1:78" ht="15" thickBot="1" x14ac:dyDescent="0.35">
      <c r="A44" s="136"/>
      <c r="C44" s="63"/>
      <c r="G44" s="101"/>
      <c r="H44" s="147">
        <f>SUM(H12:H43)</f>
        <v>16.502042260491297</v>
      </c>
      <c r="I44" s="147">
        <f>SUM(I12:I43)</f>
        <v>13.754098905638889</v>
      </c>
      <c r="R44" s="63"/>
      <c r="V44" s="101"/>
      <c r="W44" s="147">
        <f>SUM(W12:W43)</f>
        <v>16.075524973259121</v>
      </c>
      <c r="X44" s="147">
        <f>SUM(X12:X43)</f>
        <v>13.021175228339882</v>
      </c>
      <c r="AB44" s="63"/>
      <c r="AF44" s="101"/>
      <c r="AG44" s="147">
        <f>SUM(AG12:AG43)</f>
        <v>14.223331338605737</v>
      </c>
      <c r="AH44" s="147">
        <f>SUM(AH12:AH43)</f>
        <v>11.378665070884589</v>
      </c>
      <c r="AL44" s="63"/>
      <c r="AP44" s="101"/>
      <c r="AQ44" s="147">
        <f>SUM(AQ12:AQ43)</f>
        <v>16.647708113831477</v>
      </c>
      <c r="AR44" s="147">
        <f>SUM(AR12:AR43)</f>
        <v>13.484552651287368</v>
      </c>
      <c r="AV44" s="63"/>
      <c r="AZ44" s="101"/>
      <c r="BA44" s="147">
        <f>SUM(BA12:BA43)</f>
        <v>10.581359654314978</v>
      </c>
      <c r="BB44" s="147">
        <f>SUM(BB12:BB43)</f>
        <v>8.4064977095008881</v>
      </c>
      <c r="BF44" s="63"/>
      <c r="BJ44" s="101"/>
      <c r="BK44" s="147">
        <f>SUM(BK12:BK43)</f>
        <v>9.8020735258090834</v>
      </c>
      <c r="BL44" s="147">
        <f>SUM(BL12:BL43)</f>
        <v>7.786951215749534</v>
      </c>
      <c r="BP44" s="63"/>
      <c r="BT44" s="101"/>
      <c r="BU44" s="147">
        <f>SUM(BU12:BU43)</f>
        <v>6.7316246237048531</v>
      </c>
      <c r="BV44" s="147">
        <f>SUM(BV12:BV43)</f>
        <v>5.183350960252735</v>
      </c>
      <c r="BZ44" s="136"/>
    </row>
    <row r="45" spans="1:78" ht="15" thickBot="1" x14ac:dyDescent="0.35">
      <c r="A45" s="136"/>
      <c r="C45" s="148"/>
      <c r="F45" s="129" t="s">
        <v>428</v>
      </c>
      <c r="G45" s="179">
        <f>Model!N69+Model!N73+Model!N86+Model!N96</f>
        <v>0.98699189673915377</v>
      </c>
      <c r="H45" s="93">
        <f>$G$45*H44</f>
        <v>16.287381990751978</v>
      </c>
      <c r="I45" s="93">
        <f>$G$45*I44</f>
        <v>13.575184166814447</v>
      </c>
      <c r="R45" s="148"/>
      <c r="U45" s="129" t="s">
        <v>428</v>
      </c>
      <c r="V45" s="179">
        <f>Model!N65+Model!N82</f>
        <v>2.0775143456341055E-3</v>
      </c>
      <c r="W45" s="93">
        <f>$V$45*W44</f>
        <v>3.3397133745545142E-2</v>
      </c>
      <c r="X45" s="93">
        <f>$V$45*X44</f>
        <v>2.7051678333891552E-2</v>
      </c>
      <c r="AB45" s="148"/>
      <c r="AE45" s="129" t="s">
        <v>428</v>
      </c>
      <c r="AF45" s="179">
        <f>Model!J91</f>
        <v>1.3233921434671221E-3</v>
      </c>
      <c r="AG45" s="93">
        <f>AF45*AG44</f>
        <v>1.882304494744054E-2</v>
      </c>
      <c r="AH45" s="93">
        <f>AF45*AH44</f>
        <v>1.5058435957952429E-2</v>
      </c>
      <c r="AL45" s="148" t="s">
        <v>446</v>
      </c>
      <c r="AO45" s="129" t="s">
        <v>428</v>
      </c>
      <c r="AP45" s="179">
        <f>(Model!$N$60+Model!$N$77)*Parameters!D27</f>
        <v>7.3901513628808384E-3</v>
      </c>
      <c r="AQ45" s="93">
        <f>AP45*AQ44</f>
        <v>0.12302908280627409</v>
      </c>
      <c r="AR45" s="93">
        <f>AP45*AR44</f>
        <v>9.965288515374976E-2</v>
      </c>
      <c r="AV45" s="148"/>
      <c r="AY45" s="129" t="s">
        <v>428</v>
      </c>
      <c r="AZ45" s="179">
        <f>(Model!$N$60+Model!$N$77)*Parameters!D28</f>
        <v>1.4780302725761678E-3</v>
      </c>
      <c r="BA45" s="93">
        <f>AZ45*BA44</f>
        <v>1.5639569894093631E-2</v>
      </c>
      <c r="BB45" s="93">
        <f>AZ45*BB44</f>
        <v>1.2425058100984527E-2</v>
      </c>
      <c r="BF45" s="148"/>
      <c r="BI45" s="129" t="s">
        <v>428</v>
      </c>
      <c r="BJ45" s="179">
        <f>(Model!$N$60+Model!$N$77)*Parameters!D29</f>
        <v>7.3901513628808388E-4</v>
      </c>
      <c r="BK45" s="93">
        <f>BJ45*BK44</f>
        <v>7.243880702581619E-3</v>
      </c>
      <c r="BL45" s="93">
        <f>BJ45*BL44</f>
        <v>5.7546748139758021E-3</v>
      </c>
      <c r="BP45" s="148"/>
      <c r="BS45" s="129" t="s">
        <v>428</v>
      </c>
      <c r="BT45" s="179">
        <f>(Model!$N$60+Model!$N$77)*0</f>
        <v>0</v>
      </c>
      <c r="BU45" s="289">
        <f>BT45*BU44</f>
        <v>0</v>
      </c>
      <c r="BV45" s="289">
        <f>BT45*BV44</f>
        <v>0</v>
      </c>
      <c r="BZ45" s="136"/>
    </row>
    <row r="46" spans="1:78" x14ac:dyDescent="0.3">
      <c r="A46" s="136"/>
      <c r="C46" s="63"/>
      <c r="E46" s="39"/>
      <c r="R46" s="63"/>
      <c r="T46" s="39"/>
      <c r="AB46" s="63"/>
      <c r="AD46" s="39"/>
      <c r="AL46" s="63"/>
      <c r="AN46" s="39"/>
      <c r="AV46" s="63"/>
      <c r="AX46" s="39"/>
      <c r="BF46" s="63"/>
      <c r="BH46" s="39"/>
      <c r="BP46" s="63"/>
      <c r="BR46" s="39"/>
      <c r="BZ46" s="136"/>
    </row>
    <row r="47" spans="1:78" x14ac:dyDescent="0.3">
      <c r="A47" s="136"/>
      <c r="C47" s="149" t="s">
        <v>424</v>
      </c>
      <c r="D47" s="138" t="str">
        <f>D11</f>
        <v xml:space="preserve"> (1) Healthy</v>
      </c>
      <c r="E47" s="138" t="str">
        <f>E11</f>
        <v xml:space="preserve"> (2) NA</v>
      </c>
      <c r="F47" s="138" t="str">
        <f>F11</f>
        <v xml:space="preserve"> (3) Death</v>
      </c>
      <c r="G47" s="138" t="s">
        <v>429</v>
      </c>
      <c r="H47" s="138" t="s">
        <v>430</v>
      </c>
      <c r="K47" s="145"/>
      <c r="L47" s="145"/>
      <c r="M47" s="145"/>
      <c r="N47" s="145"/>
      <c r="R47" s="149" t="s">
        <v>424</v>
      </c>
      <c r="S47" s="138" t="str">
        <f>S11</f>
        <v xml:space="preserve"> (1) DCIS</v>
      </c>
      <c r="T47" s="138" t="str">
        <f>T11</f>
        <v xml:space="preserve"> (2) NA</v>
      </c>
      <c r="U47" s="138" t="str">
        <f>U11</f>
        <v xml:space="preserve"> (3) Death</v>
      </c>
      <c r="V47" s="138" t="s">
        <v>429</v>
      </c>
      <c r="W47" s="138" t="s">
        <v>430</v>
      </c>
      <c r="AB47" s="149" t="s">
        <v>424</v>
      </c>
      <c r="AC47" s="138" t="str">
        <f>AC11</f>
        <v>(1) Local/regional</v>
      </c>
      <c r="AD47" s="138" t="str">
        <f>AD11</f>
        <v>(2) Distant metastasis</v>
      </c>
      <c r="AE47" s="138" t="str">
        <f>AE11</f>
        <v>(3) Death</v>
      </c>
      <c r="AF47" s="138" t="s">
        <v>429</v>
      </c>
      <c r="AG47" s="138" t="s">
        <v>430</v>
      </c>
      <c r="AJ47" s="145"/>
      <c r="AL47" s="149" t="s">
        <v>424</v>
      </c>
      <c r="AM47" s="138" t="str">
        <f>AM11</f>
        <v>(1) Local/regional</v>
      </c>
      <c r="AN47" s="138" t="str">
        <f>AN11</f>
        <v>(2) Distant metastasis</v>
      </c>
      <c r="AO47" s="138" t="str">
        <f>AO11</f>
        <v>(3) Death</v>
      </c>
      <c r="AP47" s="138" t="s">
        <v>429</v>
      </c>
      <c r="AQ47" s="138" t="s">
        <v>430</v>
      </c>
      <c r="AT47" s="145"/>
      <c r="AV47" s="149" t="s">
        <v>424</v>
      </c>
      <c r="AW47" s="138" t="str">
        <f>AW11</f>
        <v>(1) Local/regional</v>
      </c>
      <c r="AX47" s="138" t="str">
        <f>AX11</f>
        <v xml:space="preserve">(2) Distant metastasis </v>
      </c>
      <c r="AY47" s="138" t="str">
        <f>AY11</f>
        <v>(3) Death</v>
      </c>
      <c r="AZ47" s="138" t="s">
        <v>429</v>
      </c>
      <c r="BA47" s="138" t="s">
        <v>430</v>
      </c>
      <c r="BF47" s="149" t="s">
        <v>424</v>
      </c>
      <c r="BG47" s="138" t="str">
        <f>BG11</f>
        <v>(1) Local/regional</v>
      </c>
      <c r="BH47" s="138" t="str">
        <f>BH11</f>
        <v>(2) Distant metastasis</v>
      </c>
      <c r="BI47" s="138" t="str">
        <f>BI11</f>
        <v>(3) Death</v>
      </c>
      <c r="BJ47" s="138" t="s">
        <v>429</v>
      </c>
      <c r="BK47" s="138" t="s">
        <v>430</v>
      </c>
      <c r="BP47" s="149" t="s">
        <v>424</v>
      </c>
      <c r="BQ47" s="138" t="str">
        <f>BQ11</f>
        <v>(1) Local/regional</v>
      </c>
      <c r="BR47" s="138" t="str">
        <f>BR11</f>
        <v>(2) Distant metastasis</v>
      </c>
      <c r="BS47" s="138" t="str">
        <f>BS11</f>
        <v>(3) Death</v>
      </c>
      <c r="BT47" s="138" t="s">
        <v>429</v>
      </c>
      <c r="BU47" s="138" t="s">
        <v>430</v>
      </c>
      <c r="BZ47" s="136"/>
    </row>
    <row r="48" spans="1:78" x14ac:dyDescent="0.3">
      <c r="A48" s="136"/>
      <c r="B48">
        <f>IF(C48&lt;=Presentation!$F$34,1,0)</f>
        <v>1</v>
      </c>
      <c r="C48" s="141">
        <v>0</v>
      </c>
      <c r="D48" s="150"/>
      <c r="E48" s="150"/>
      <c r="F48" s="150"/>
      <c r="G48" s="151"/>
      <c r="H48" s="152">
        <v>1</v>
      </c>
      <c r="K48" s="145"/>
      <c r="L48" s="145"/>
      <c r="M48" s="145"/>
      <c r="N48" s="145"/>
      <c r="Q48">
        <f>IF(R48&lt;=Presentation!$F$34,1,0)</f>
        <v>1</v>
      </c>
      <c r="R48" s="141">
        <v>0</v>
      </c>
      <c r="S48" s="150">
        <f>($V$45*S12*c_tto_DCIS)*W48</f>
        <v>10.982966816012299</v>
      </c>
      <c r="T48" s="150"/>
      <c r="U48" s="150"/>
      <c r="V48" s="151"/>
      <c r="W48" s="152">
        <v>1</v>
      </c>
      <c r="AA48">
        <f>IF(AB48&lt;=Presentation!$F$34,1,0)</f>
        <v>1</v>
      </c>
      <c r="AB48" s="141">
        <v>0</v>
      </c>
      <c r="AC48" s="150">
        <f>($AF$45*AC12*c_tto_local_1ano)*AG48</f>
        <v>84.989646720597591</v>
      </c>
      <c r="AD48" s="150"/>
      <c r="AE48" s="150"/>
      <c r="AF48" s="151"/>
      <c r="AG48" s="152">
        <v>1</v>
      </c>
      <c r="AJ48" s="145"/>
      <c r="AK48">
        <f>IF(AL48&lt;=Presentation!$F$34,1,0)</f>
        <v>1</v>
      </c>
      <c r="AL48" s="141">
        <v>0</v>
      </c>
      <c r="AM48" s="150">
        <f>($AP$45*AM12*c_tto_tnm1_1ano)*AQ48</f>
        <v>96.836462332497817</v>
      </c>
      <c r="AN48" s="150">
        <f t="shared" ref="AN48:AN79" si="52">($AP$45*AN12*c_tto_metast)*AQ48</f>
        <v>0</v>
      </c>
      <c r="AO48" s="150"/>
      <c r="AP48" s="151"/>
      <c r="AQ48" s="152">
        <v>1</v>
      </c>
      <c r="AT48" s="145"/>
      <c r="AU48">
        <f>IF(AV48&lt;=Presentation!$F$34,1,0)</f>
        <v>1</v>
      </c>
      <c r="AV48" s="141">
        <v>0</v>
      </c>
      <c r="AW48" s="150">
        <f>($AZ$45*AW12*c_tto_tnm2_1ano)*BA48</f>
        <v>52.570367438689964</v>
      </c>
      <c r="AX48" s="150">
        <f t="shared" ref="AX48:AX79" si="53">($AZ$45*AX12*c_tto_metast)*BA48</f>
        <v>0</v>
      </c>
      <c r="AY48" s="150"/>
      <c r="AZ48" s="151"/>
      <c r="BA48" s="152">
        <v>1</v>
      </c>
      <c r="BE48">
        <f>IF(BF48&lt;=Presentation!$F$34,1,0)</f>
        <v>1</v>
      </c>
      <c r="BF48" s="141">
        <v>0</v>
      </c>
      <c r="BG48" s="150">
        <f>($BJ$45*BG12*c_tto_tnm3_1ano)*BK48</f>
        <v>50.493160705323668</v>
      </c>
      <c r="BH48" s="150">
        <f t="shared" ref="BH48:BH79" si="54">($BJ$45*BH12*c_tto_metast)*BK48</f>
        <v>0</v>
      </c>
      <c r="BI48" s="150"/>
      <c r="BJ48" s="151"/>
      <c r="BK48" s="152">
        <v>1</v>
      </c>
      <c r="BO48">
        <f>IF(BP48&lt;=Presentation!$F$34,1,0)</f>
        <v>1</v>
      </c>
      <c r="BP48" s="141">
        <v>0</v>
      </c>
      <c r="BQ48" s="150"/>
      <c r="BR48" s="150"/>
      <c r="BS48" s="150"/>
      <c r="BT48" s="151"/>
      <c r="BU48" s="152">
        <v>1</v>
      </c>
      <c r="BZ48" s="136"/>
    </row>
    <row r="49" spans="1:78" x14ac:dyDescent="0.3">
      <c r="A49" s="136"/>
      <c r="B49">
        <f>IF(C49&lt;=Presentation!$F$34,1,0)</f>
        <v>1</v>
      </c>
      <c r="C49" s="146">
        <v>1</v>
      </c>
      <c r="D49" s="150"/>
      <c r="E49" s="150"/>
      <c r="F49" s="150"/>
      <c r="G49" s="151"/>
      <c r="H49" s="152">
        <f t="shared" ref="H49:H79" si="55">(1/(1+taxa_desconto)^ROUNDDOWN((C49-1),0))</f>
        <v>1</v>
      </c>
      <c r="K49" s="145"/>
      <c r="L49" s="145"/>
      <c r="M49" s="145"/>
      <c r="N49" s="145"/>
      <c r="Q49">
        <f>IF(R49&lt;=Presentation!$F$34,1,0)</f>
        <v>1</v>
      </c>
      <c r="R49" s="146">
        <v>1</v>
      </c>
      <c r="S49" s="150">
        <f t="shared" ref="S49:S79" si="56">($V$45*S13*c_tto_DCIS_2)*W49</f>
        <v>0.39967400399322678</v>
      </c>
      <c r="T49" s="150"/>
      <c r="U49" s="150"/>
      <c r="V49" s="151"/>
      <c r="W49" s="152">
        <f t="shared" ref="W49:W79" si="57">(1/(1+taxa_desconto)^ROUNDDOWN((R49-1),0))</f>
        <v>1</v>
      </c>
      <c r="AA49">
        <f>IF(AB49&lt;=Presentation!$F$34,1,0)</f>
        <v>1</v>
      </c>
      <c r="AB49" s="146">
        <v>1</v>
      </c>
      <c r="AC49" s="150">
        <f t="shared" ref="AC49:AC79" si="58">($AF$45*AC13*c_tto_local_anoseg)*AG49</f>
        <v>38.463582424955391</v>
      </c>
      <c r="AD49" s="150"/>
      <c r="AE49" s="150"/>
      <c r="AF49" s="151"/>
      <c r="AG49" s="152">
        <f t="shared" ref="AG49:AG79" si="59">(1/(1+taxa_desconto)^ROUNDDOWN((AB49-1),0))</f>
        <v>1</v>
      </c>
      <c r="AJ49" s="145"/>
      <c r="AK49">
        <f>IF(AL49&lt;=Presentation!$F$34,1,0)</f>
        <v>1</v>
      </c>
      <c r="AL49" s="146">
        <v>1</v>
      </c>
      <c r="AM49" s="150">
        <f t="shared" ref="AM49:AM79" si="60">($AP$45*AM13*c_tto_tnm1_segano)*AQ49</f>
        <v>5.6493166414655658</v>
      </c>
      <c r="AN49" s="150">
        <f t="shared" si="52"/>
        <v>1.4932971862236643E-2</v>
      </c>
      <c r="AO49" s="150"/>
      <c r="AP49" s="151"/>
      <c r="AQ49" s="152">
        <f t="shared" ref="AQ49:AQ79" si="61">(1/(1+taxa_desconto)^ROUNDDOWN((AL49-1),0))</f>
        <v>1</v>
      </c>
      <c r="AT49" s="145"/>
      <c r="AU49">
        <f>IF(AV49&lt;=Presentation!$F$34,1,0)</f>
        <v>1</v>
      </c>
      <c r="AV49" s="146">
        <v>1</v>
      </c>
      <c r="AW49" s="150">
        <f t="shared" ref="AW49:AW79" si="62">($AZ$45*AW13*c_tto_tnm2_segano)*BA49</f>
        <v>0.99880699308500209</v>
      </c>
      <c r="AX49" s="150">
        <f t="shared" si="53"/>
        <v>12.54369636427878</v>
      </c>
      <c r="AY49" s="150"/>
      <c r="AZ49" s="151"/>
      <c r="BA49" s="152">
        <f t="shared" ref="BA49:BA79" si="63">(1/(1+taxa_desconto)^ROUNDDOWN((AV49-1),0))</f>
        <v>1</v>
      </c>
      <c r="BE49">
        <f>IF(BF49&lt;=Presentation!$F$34,1,0)</f>
        <v>1</v>
      </c>
      <c r="BF49" s="146">
        <v>1</v>
      </c>
      <c r="BG49" s="150">
        <f t="shared" ref="BG49:BG79" si="64">($BJ$45*BG13*c_tto_tnm3_segano)*BK49</f>
        <v>18.96806378720683</v>
      </c>
      <c r="BH49" s="150">
        <f t="shared" si="54"/>
        <v>6.2718481821393901</v>
      </c>
      <c r="BI49" s="150"/>
      <c r="BJ49" s="151"/>
      <c r="BK49" s="152">
        <f t="shared" ref="BK49:BK79" si="65">(1/(1+taxa_desconto)^ROUNDDOWN((BF49-1),0))</f>
        <v>1</v>
      </c>
      <c r="BO49">
        <f>IF(BP49&lt;=Presentation!$F$34,1,0)</f>
        <v>1</v>
      </c>
      <c r="BP49" s="146">
        <v>1</v>
      </c>
      <c r="BQ49" s="150"/>
      <c r="BR49" s="150"/>
      <c r="BS49" s="150"/>
      <c r="BT49" s="151"/>
      <c r="BU49" s="152">
        <f t="shared" ref="BU49:BU79" si="66">(1/(1+taxa_desconto)^ROUNDDOWN((BP49-1),0))</f>
        <v>1</v>
      </c>
      <c r="BZ49" s="136"/>
    </row>
    <row r="50" spans="1:78" x14ac:dyDescent="0.3">
      <c r="A50" s="136"/>
      <c r="B50">
        <f>IF(C50&lt;=Presentation!$F$34,1,0)</f>
        <v>1</v>
      </c>
      <c r="C50" s="146">
        <v>2</v>
      </c>
      <c r="D50" s="150"/>
      <c r="E50" s="150"/>
      <c r="F50" s="150"/>
      <c r="G50" s="151"/>
      <c r="H50" s="152">
        <f t="shared" si="55"/>
        <v>0.95238095238095233</v>
      </c>
      <c r="K50" s="145"/>
      <c r="L50" s="145"/>
      <c r="M50" s="145"/>
      <c r="N50" s="145"/>
      <c r="Q50">
        <f>IF(R50&lt;=Presentation!$F$34,1,0)</f>
        <v>1</v>
      </c>
      <c r="R50" s="146">
        <v>2</v>
      </c>
      <c r="S50" s="150">
        <f t="shared" si="56"/>
        <v>0.37844057553216304</v>
      </c>
      <c r="T50" s="150"/>
      <c r="U50" s="150"/>
      <c r="V50" s="151"/>
      <c r="W50" s="152">
        <f t="shared" si="57"/>
        <v>0.95238095238095233</v>
      </c>
      <c r="AA50">
        <f>IF(AB50&lt;=Presentation!$F$34,1,0)</f>
        <v>1</v>
      </c>
      <c r="AB50" s="146">
        <v>2</v>
      </c>
      <c r="AC50" s="150">
        <f t="shared" si="58"/>
        <v>35.996500249114511</v>
      </c>
      <c r="AD50" s="150"/>
      <c r="AE50" s="150"/>
      <c r="AF50" s="151"/>
      <c r="AG50" s="152">
        <f t="shared" si="59"/>
        <v>0.95238095238095233</v>
      </c>
      <c r="AJ50" s="145"/>
      <c r="AK50">
        <f>IF(AL50&lt;=Presentation!$F$34,1,0)</f>
        <v>1</v>
      </c>
      <c r="AL50" s="146">
        <v>2</v>
      </c>
      <c r="AM50" s="150">
        <f t="shared" si="60"/>
        <v>5.3661964413657008</v>
      </c>
      <c r="AN50" s="150">
        <f t="shared" si="52"/>
        <v>2.681846581035428E-2</v>
      </c>
      <c r="AO50" s="150"/>
      <c r="AP50" s="151"/>
      <c r="AQ50" s="152">
        <f t="shared" si="61"/>
        <v>0.95238095238095233</v>
      </c>
      <c r="AT50" s="145"/>
      <c r="AU50">
        <f>IF(AV50&lt;=Presentation!$F$34,1,0)</f>
        <v>1</v>
      </c>
      <c r="AV50" s="146">
        <v>2</v>
      </c>
      <c r="AW50" s="150">
        <f t="shared" si="62"/>
        <v>0.83870239885226405</v>
      </c>
      <c r="AX50" s="150">
        <f t="shared" si="53"/>
        <v>21.145446854106037</v>
      </c>
      <c r="AY50" s="150"/>
      <c r="AZ50" s="151"/>
      <c r="BA50" s="152">
        <f t="shared" si="63"/>
        <v>0.95238095238095233</v>
      </c>
      <c r="BE50">
        <f>IF(BF50&lt;=Presentation!$F$34,1,0)</f>
        <v>1</v>
      </c>
      <c r="BF50" s="146">
        <v>2</v>
      </c>
      <c r="BG50" s="150">
        <f t="shared" si="64"/>
        <v>15.676244833654192</v>
      </c>
      <c r="BH50" s="150">
        <f t="shared" si="54"/>
        <v>10.489624542469388</v>
      </c>
      <c r="BI50" s="150"/>
      <c r="BJ50" s="151"/>
      <c r="BK50" s="152">
        <f t="shared" si="65"/>
        <v>0.95238095238095233</v>
      </c>
      <c r="BO50">
        <f>IF(BP50&lt;=Presentation!$F$34,1,0)</f>
        <v>1</v>
      </c>
      <c r="BP50" s="146">
        <v>2</v>
      </c>
      <c r="BQ50" s="150"/>
      <c r="BR50" s="150"/>
      <c r="BS50" s="150"/>
      <c r="BT50" s="151"/>
      <c r="BU50" s="152">
        <f t="shared" si="66"/>
        <v>0.95238095238095233</v>
      </c>
      <c r="BZ50" s="136"/>
    </row>
    <row r="51" spans="1:78" x14ac:dyDescent="0.3">
      <c r="A51" s="136"/>
      <c r="B51">
        <f>IF(C51&lt;=Presentation!$F$34,1,0)</f>
        <v>1</v>
      </c>
      <c r="C51" s="146">
        <v>3</v>
      </c>
      <c r="D51" s="150"/>
      <c r="E51" s="150"/>
      <c r="F51" s="150"/>
      <c r="G51" s="151"/>
      <c r="H51" s="152">
        <f t="shared" si="55"/>
        <v>0.90702947845804982</v>
      </c>
      <c r="K51" s="145"/>
      <c r="L51" s="145"/>
      <c r="M51" s="145"/>
      <c r="N51" s="145"/>
      <c r="Q51">
        <f>IF(R51&lt;=Presentation!$F$34,1,0)</f>
        <v>1</v>
      </c>
      <c r="R51" s="146">
        <v>3</v>
      </c>
      <c r="S51" s="150">
        <f t="shared" si="56"/>
        <v>0.35833521264380719</v>
      </c>
      <c r="T51" s="150"/>
      <c r="U51" s="150"/>
      <c r="V51" s="151"/>
      <c r="W51" s="152">
        <f t="shared" si="57"/>
        <v>0.90702947845804982</v>
      </c>
      <c r="AA51">
        <f>IF(AB51&lt;=Presentation!$F$34,1,0)</f>
        <v>1</v>
      </c>
      <c r="AB51" s="146">
        <v>3</v>
      </c>
      <c r="AC51" s="150">
        <f t="shared" si="58"/>
        <v>33.687658519914983</v>
      </c>
      <c r="AD51" s="150"/>
      <c r="AE51" s="150"/>
      <c r="AF51" s="151"/>
      <c r="AG51" s="152">
        <f t="shared" si="59"/>
        <v>0.90702947845804982</v>
      </c>
      <c r="AJ51" s="145"/>
      <c r="AK51">
        <f>IF(AL51&lt;=Presentation!$F$34,1,0)</f>
        <v>1</v>
      </c>
      <c r="AL51" s="146">
        <v>3</v>
      </c>
      <c r="AM51" s="150">
        <f t="shared" si="60"/>
        <v>5.0972650454684967</v>
      </c>
      <c r="AN51" s="150">
        <f t="shared" si="52"/>
        <v>3.6163181076549325E-2</v>
      </c>
      <c r="AO51" s="150"/>
      <c r="AP51" s="151"/>
      <c r="AQ51" s="152">
        <f t="shared" si="61"/>
        <v>0.90702947845804982</v>
      </c>
      <c r="AT51" s="145"/>
      <c r="AU51">
        <f>IF(AV51&lt;=Presentation!$F$34,1,0)</f>
        <v>1</v>
      </c>
      <c r="AV51" s="146">
        <v>3</v>
      </c>
      <c r="AW51" s="150">
        <f t="shared" si="62"/>
        <v>0.70426190316098303</v>
      </c>
      <c r="AX51" s="150">
        <f t="shared" si="53"/>
        <v>26.73446571650388</v>
      </c>
      <c r="AY51" s="150"/>
      <c r="AZ51" s="151"/>
      <c r="BA51" s="152">
        <f t="shared" si="63"/>
        <v>0.90702947845804982</v>
      </c>
      <c r="BE51">
        <f>IF(BF51&lt;=Presentation!$F$34,1,0)</f>
        <v>1</v>
      </c>
      <c r="BF51" s="146">
        <v>3</v>
      </c>
      <c r="BG51" s="150">
        <f t="shared" si="64"/>
        <v>12.955705697827435</v>
      </c>
      <c r="BH51" s="150">
        <f t="shared" si="54"/>
        <v>13.158472044147404</v>
      </c>
      <c r="BI51" s="150"/>
      <c r="BJ51" s="151"/>
      <c r="BK51" s="152">
        <f t="shared" si="65"/>
        <v>0.90702947845804982</v>
      </c>
      <c r="BO51">
        <f>IF(BP51&lt;=Presentation!$F$34,1,0)</f>
        <v>1</v>
      </c>
      <c r="BP51" s="146">
        <v>3</v>
      </c>
      <c r="BQ51" s="150"/>
      <c r="BR51" s="150"/>
      <c r="BS51" s="150"/>
      <c r="BT51" s="151"/>
      <c r="BU51" s="152">
        <f t="shared" si="66"/>
        <v>0.90702947845804982</v>
      </c>
      <c r="BZ51" s="136"/>
    </row>
    <row r="52" spans="1:78" x14ac:dyDescent="0.3">
      <c r="A52" s="136"/>
      <c r="B52">
        <f>IF(C52&lt;=Presentation!$F$34,1,0)</f>
        <v>1</v>
      </c>
      <c r="C52" s="146">
        <v>4</v>
      </c>
      <c r="D52" s="150"/>
      <c r="E52" s="150"/>
      <c r="F52" s="150"/>
      <c r="G52" s="151"/>
      <c r="H52" s="152">
        <f t="shared" si="55"/>
        <v>0.86383759853147601</v>
      </c>
      <c r="K52" s="145"/>
      <c r="L52" s="145"/>
      <c r="M52" s="145"/>
      <c r="N52" s="145"/>
      <c r="Q52">
        <f>IF(R52&lt;=Presentation!$F$34,1,0)</f>
        <v>1</v>
      </c>
      <c r="R52" s="146">
        <v>4</v>
      </c>
      <c r="S52" s="150">
        <f t="shared" si="56"/>
        <v>0.33929798473623152</v>
      </c>
      <c r="T52" s="150"/>
      <c r="U52" s="150"/>
      <c r="V52" s="151"/>
      <c r="W52" s="152">
        <f t="shared" si="57"/>
        <v>0.86383759853147601</v>
      </c>
      <c r="AA52">
        <f>IF(AB52&lt;=Presentation!$F$34,1,0)</f>
        <v>1</v>
      </c>
      <c r="AB52" s="146">
        <v>4</v>
      </c>
      <c r="AC52" s="150">
        <f t="shared" si="58"/>
        <v>31.52690757992001</v>
      </c>
      <c r="AD52" s="150"/>
      <c r="AE52" s="150"/>
      <c r="AF52" s="151"/>
      <c r="AG52" s="152">
        <f t="shared" si="59"/>
        <v>0.86383759853147601</v>
      </c>
      <c r="AJ52" s="145"/>
      <c r="AK52">
        <f>IF(AL52&lt;=Presentation!$F$34,1,0)</f>
        <v>1</v>
      </c>
      <c r="AL52" s="146">
        <v>4</v>
      </c>
      <c r="AM52" s="150">
        <f t="shared" si="60"/>
        <v>4.8418113700553409</v>
      </c>
      <c r="AN52" s="150">
        <f t="shared" si="52"/>
        <v>4.3393925201123611E-2</v>
      </c>
      <c r="AO52" s="150"/>
      <c r="AP52" s="151"/>
      <c r="AQ52" s="152">
        <f t="shared" si="61"/>
        <v>0.86383759853147601</v>
      </c>
      <c r="AT52" s="145"/>
      <c r="AU52">
        <f>IF(AV52&lt;=Presentation!$F$34,1,0)</f>
        <v>1</v>
      </c>
      <c r="AV52" s="146">
        <v>4</v>
      </c>
      <c r="AW52" s="150">
        <f t="shared" si="62"/>
        <v>0.59137165807879943</v>
      </c>
      <c r="AX52" s="150">
        <f t="shared" si="53"/>
        <v>30.045239678688947</v>
      </c>
      <c r="AY52" s="150"/>
      <c r="AZ52" s="151"/>
      <c r="BA52" s="152">
        <f t="shared" si="63"/>
        <v>0.86383759853147601</v>
      </c>
      <c r="BE52">
        <f>IF(BF52&lt;=Presentation!$F$34,1,0)</f>
        <v>1</v>
      </c>
      <c r="BF52" s="146">
        <v>4</v>
      </c>
      <c r="BG52" s="150">
        <f t="shared" si="64"/>
        <v>10.707303433305189</v>
      </c>
      <c r="BH52" s="150">
        <f t="shared" si="54"/>
        <v>14.672979270162333</v>
      </c>
      <c r="BI52" s="150"/>
      <c r="BJ52" s="151"/>
      <c r="BK52" s="152">
        <f t="shared" si="65"/>
        <v>0.86383759853147601</v>
      </c>
      <c r="BO52">
        <f>IF(BP52&lt;=Presentation!$F$34,1,0)</f>
        <v>1</v>
      </c>
      <c r="BP52" s="146">
        <v>4</v>
      </c>
      <c r="BQ52" s="150"/>
      <c r="BR52" s="150"/>
      <c r="BS52" s="150"/>
      <c r="BT52" s="151"/>
      <c r="BU52" s="152">
        <f t="shared" si="66"/>
        <v>0.86383759853147601</v>
      </c>
      <c r="BZ52" s="136"/>
    </row>
    <row r="53" spans="1:78" x14ac:dyDescent="0.3">
      <c r="A53" s="136"/>
      <c r="B53">
        <f>IF(C53&lt;=Presentation!$F$34,1,0)</f>
        <v>1</v>
      </c>
      <c r="C53" s="146">
        <v>5</v>
      </c>
      <c r="D53" s="150"/>
      <c r="E53" s="150"/>
      <c r="F53" s="150"/>
      <c r="G53" s="151"/>
      <c r="H53" s="152">
        <f t="shared" si="55"/>
        <v>0.82270247479188197</v>
      </c>
      <c r="K53" s="145"/>
      <c r="L53" s="145"/>
      <c r="M53" s="145"/>
      <c r="N53" s="145"/>
      <c r="Q53">
        <f>IF(R53&lt;=Presentation!$F$34,1,0)</f>
        <v>1</v>
      </c>
      <c r="R53" s="146">
        <v>5</v>
      </c>
      <c r="S53" s="150">
        <f t="shared" si="56"/>
        <v>0.32127214514221586</v>
      </c>
      <c r="T53" s="150"/>
      <c r="U53" s="150"/>
      <c r="V53" s="151"/>
      <c r="W53" s="152">
        <f t="shared" si="57"/>
        <v>0.82270247479188197</v>
      </c>
      <c r="AA53">
        <f>IF(AB53&lt;=Presentation!$F$34,1,0)</f>
        <v>1</v>
      </c>
      <c r="AB53" s="146">
        <v>5</v>
      </c>
      <c r="AC53" s="150">
        <f t="shared" si="58"/>
        <v>29.504748778109086</v>
      </c>
      <c r="AD53" s="150"/>
      <c r="AE53" s="150"/>
      <c r="AF53" s="151"/>
      <c r="AG53" s="152">
        <f t="shared" si="59"/>
        <v>0.82270247479188197</v>
      </c>
      <c r="AJ53" s="145"/>
      <c r="AK53">
        <f>IF(AL53&lt;=Presentation!$F$34,1,0)</f>
        <v>1</v>
      </c>
      <c r="AL53" s="146">
        <v>5</v>
      </c>
      <c r="AM53" s="150">
        <f t="shared" si="60"/>
        <v>4.5991599679593449</v>
      </c>
      <c r="AN53" s="150">
        <f t="shared" si="52"/>
        <v>4.8870008459382823E-2</v>
      </c>
      <c r="AO53" s="150"/>
      <c r="AP53" s="151"/>
      <c r="AQ53" s="152">
        <f t="shared" si="61"/>
        <v>0.82270247479188197</v>
      </c>
      <c r="AT53" s="145"/>
      <c r="AU53">
        <f>IF(AV53&lt;=Presentation!$F$34,1,0)</f>
        <v>1</v>
      </c>
      <c r="AV53" s="146">
        <v>5</v>
      </c>
      <c r="AW53" s="150">
        <f t="shared" si="62"/>
        <v>0.49657724833502442</v>
      </c>
      <c r="AX53" s="150">
        <f t="shared" si="53"/>
        <v>31.655790051351463</v>
      </c>
      <c r="AY53" s="150"/>
      <c r="AZ53" s="151"/>
      <c r="BA53" s="152">
        <f t="shared" si="63"/>
        <v>0.82270247479188197</v>
      </c>
      <c r="BE53">
        <f>IF(BF53&lt;=Presentation!$F$34,1,0)</f>
        <v>1</v>
      </c>
      <c r="BF53" s="146">
        <v>5</v>
      </c>
      <c r="BG53" s="150">
        <f t="shared" si="64"/>
        <v>8.8491008893552046</v>
      </c>
      <c r="BH53" s="150">
        <f t="shared" si="54"/>
        <v>15.339890667200683</v>
      </c>
      <c r="BI53" s="150"/>
      <c r="BJ53" s="151"/>
      <c r="BK53" s="152">
        <f t="shared" si="65"/>
        <v>0.82270247479188197</v>
      </c>
      <c r="BO53">
        <f>IF(BP53&lt;=Presentation!$F$34,1,0)</f>
        <v>1</v>
      </c>
      <c r="BP53" s="146">
        <v>5</v>
      </c>
      <c r="BQ53" s="150"/>
      <c r="BR53" s="150"/>
      <c r="BS53" s="150"/>
      <c r="BT53" s="151"/>
      <c r="BU53" s="152">
        <f t="shared" si="66"/>
        <v>0.82270247479188197</v>
      </c>
      <c r="BZ53" s="136"/>
    </row>
    <row r="54" spans="1:78" x14ac:dyDescent="0.3">
      <c r="A54" s="136"/>
      <c r="B54">
        <f>IF(C54&lt;=Presentation!$F$34,1,0)</f>
        <v>1</v>
      </c>
      <c r="C54" s="146">
        <v>6</v>
      </c>
      <c r="D54" s="150"/>
      <c r="E54" s="150"/>
      <c r="F54" s="150"/>
      <c r="G54" s="151"/>
      <c r="H54" s="152">
        <f t="shared" si="55"/>
        <v>0.78352616646845896</v>
      </c>
      <c r="K54" s="145"/>
      <c r="L54" s="145"/>
      <c r="M54" s="145"/>
      <c r="N54" s="145"/>
      <c r="Q54">
        <f>IF(R54&lt;=Presentation!$F$34,1,0)</f>
        <v>1</v>
      </c>
      <c r="R54" s="146">
        <v>6</v>
      </c>
      <c r="S54" s="150">
        <f t="shared" si="56"/>
        <v>0.30420396196729677</v>
      </c>
      <c r="T54" s="150"/>
      <c r="U54" s="150"/>
      <c r="V54" s="151"/>
      <c r="W54" s="152">
        <f t="shared" si="57"/>
        <v>0.78352616646845896</v>
      </c>
      <c r="AA54">
        <f>IF(AB54&lt;=Presentation!$F$34,1,0)</f>
        <v>1</v>
      </c>
      <c r="AB54" s="146">
        <v>6</v>
      </c>
      <c r="AC54" s="150">
        <f t="shared" si="58"/>
        <v>27.6122927138526</v>
      </c>
      <c r="AD54" s="150"/>
      <c r="AE54" s="150"/>
      <c r="AF54" s="151"/>
      <c r="AG54" s="152">
        <f t="shared" si="59"/>
        <v>0.78352616646845896</v>
      </c>
      <c r="AJ54" s="145"/>
      <c r="AK54">
        <f>IF(AL54&lt;=Presentation!$F$34,1,0)</f>
        <v>1</v>
      </c>
      <c r="AL54" s="146">
        <v>6</v>
      </c>
      <c r="AM54" s="150">
        <f t="shared" si="60"/>
        <v>4.3686692426099265</v>
      </c>
      <c r="AN54" s="150">
        <f t="shared" si="52"/>
        <v>5.2893725305720132E-2</v>
      </c>
      <c r="AO54" s="150"/>
      <c r="AP54" s="151"/>
      <c r="AQ54" s="152">
        <f t="shared" si="61"/>
        <v>0.78352616646845896</v>
      </c>
      <c r="AT54" s="145"/>
      <c r="AU54">
        <f>IF(AV54&lt;=Presentation!$F$34,1,0)</f>
        <v>1</v>
      </c>
      <c r="AV54" s="146">
        <v>6</v>
      </c>
      <c r="AW54" s="150">
        <f t="shared" si="62"/>
        <v>0.4169779870159534</v>
      </c>
      <c r="AX54" s="150">
        <f t="shared" si="53"/>
        <v>32.018716442720532</v>
      </c>
      <c r="AY54" s="150"/>
      <c r="AZ54" s="151"/>
      <c r="BA54" s="152">
        <f t="shared" si="63"/>
        <v>0.78352616646845896</v>
      </c>
      <c r="BE54">
        <f>IF(BF54&lt;=Presentation!$F$34,1,0)</f>
        <v>1</v>
      </c>
      <c r="BF54" s="146">
        <v>6</v>
      </c>
      <c r="BG54" s="150">
        <f t="shared" si="64"/>
        <v>7.3133807253854011</v>
      </c>
      <c r="BH54" s="150">
        <f t="shared" si="54"/>
        <v>15.39633296583102</v>
      </c>
      <c r="BI54" s="150"/>
      <c r="BJ54" s="151"/>
      <c r="BK54" s="152">
        <f t="shared" si="65"/>
        <v>0.78352616646845896</v>
      </c>
      <c r="BO54">
        <f>IF(BP54&lt;=Presentation!$F$34,1,0)</f>
        <v>1</v>
      </c>
      <c r="BP54" s="146">
        <v>6</v>
      </c>
      <c r="BQ54" s="150"/>
      <c r="BR54" s="150"/>
      <c r="BS54" s="150"/>
      <c r="BT54" s="151"/>
      <c r="BU54" s="152">
        <f t="shared" si="66"/>
        <v>0.78352616646845896</v>
      </c>
      <c r="BZ54" s="136"/>
    </row>
    <row r="55" spans="1:78" x14ac:dyDescent="0.3">
      <c r="A55" s="136"/>
      <c r="B55">
        <f>IF(C55&lt;=Presentation!$F$34,1,0)</f>
        <v>1</v>
      </c>
      <c r="C55" s="146">
        <v>7</v>
      </c>
      <c r="D55" s="150"/>
      <c r="E55" s="150"/>
      <c r="F55" s="150"/>
      <c r="G55" s="151"/>
      <c r="H55" s="152">
        <f t="shared" si="55"/>
        <v>0.74621539663662761</v>
      </c>
      <c r="K55" s="145"/>
      <c r="L55" s="145"/>
      <c r="M55" s="145"/>
      <c r="N55" s="145"/>
      <c r="Q55">
        <f>IF(R55&lt;=Presentation!$F$34,1,0)</f>
        <v>1</v>
      </c>
      <c r="R55" s="146">
        <v>7</v>
      </c>
      <c r="S55" s="150">
        <f t="shared" si="56"/>
        <v>0.28804255792433026</v>
      </c>
      <c r="T55" s="150"/>
      <c r="U55" s="150"/>
      <c r="V55" s="151"/>
      <c r="W55" s="152">
        <f t="shared" si="57"/>
        <v>0.74621539663662761</v>
      </c>
      <c r="AA55">
        <f>IF(AB55&lt;=Presentation!$F$34,1,0)</f>
        <v>1</v>
      </c>
      <c r="AB55" s="146">
        <v>7</v>
      </c>
      <c r="AC55" s="150">
        <f t="shared" si="58"/>
        <v>25.841220159148257</v>
      </c>
      <c r="AD55" s="150"/>
      <c r="AE55" s="150"/>
      <c r="AF55" s="151"/>
      <c r="AG55" s="152">
        <f t="shared" si="59"/>
        <v>0.74621539663662761</v>
      </c>
      <c r="AJ55" s="145"/>
      <c r="AK55">
        <f>IF(AL55&lt;=Presentation!$F$34,1,0)</f>
        <v>1</v>
      </c>
      <c r="AL55" s="146">
        <v>7</v>
      </c>
      <c r="AM55" s="150">
        <f t="shared" si="60"/>
        <v>4.1497297515820391</v>
      </c>
      <c r="AN55" s="150">
        <f t="shared" si="52"/>
        <v>5.5719217596777261E-2</v>
      </c>
      <c r="AO55" s="150"/>
      <c r="AP55" s="151"/>
      <c r="AQ55" s="152">
        <f t="shared" si="61"/>
        <v>0.74621539663662761</v>
      </c>
      <c r="AT55" s="145"/>
      <c r="AU55">
        <f>IF(AV55&lt;=Presentation!$F$34,1,0)</f>
        <v>1</v>
      </c>
      <c r="AV55" s="146">
        <v>7</v>
      </c>
      <c r="AW55" s="150">
        <f t="shared" si="62"/>
        <v>0.35013815521924962</v>
      </c>
      <c r="AX55" s="150">
        <f t="shared" si="53"/>
        <v>31.486346229674538</v>
      </c>
      <c r="AY55" s="150"/>
      <c r="AZ55" s="151"/>
      <c r="BA55" s="152">
        <f t="shared" si="63"/>
        <v>0.74621539663662761</v>
      </c>
      <c r="BE55">
        <f>IF(BF55&lt;=Presentation!$F$34,1,0)</f>
        <v>1</v>
      </c>
      <c r="BF55" s="146">
        <v>7</v>
      </c>
      <c r="BG55" s="150">
        <f t="shared" si="64"/>
        <v>6.0441776292524505</v>
      </c>
      <c r="BH55" s="150">
        <f t="shared" si="54"/>
        <v>15.024419457972943</v>
      </c>
      <c r="BI55" s="150"/>
      <c r="BJ55" s="151"/>
      <c r="BK55" s="152">
        <f t="shared" si="65"/>
        <v>0.74621539663662761</v>
      </c>
      <c r="BO55">
        <f>IF(BP55&lt;=Presentation!$F$34,1,0)</f>
        <v>1</v>
      </c>
      <c r="BP55" s="146">
        <v>7</v>
      </c>
      <c r="BQ55" s="150"/>
      <c r="BR55" s="150"/>
      <c r="BS55" s="150"/>
      <c r="BT55" s="151"/>
      <c r="BU55" s="152">
        <f t="shared" si="66"/>
        <v>0.74621539663662761</v>
      </c>
      <c r="BZ55" s="136"/>
    </row>
    <row r="56" spans="1:78" x14ac:dyDescent="0.3">
      <c r="A56" s="136"/>
      <c r="B56">
        <f>IF(C56&lt;=Presentation!$F$34,1,0)</f>
        <v>1</v>
      </c>
      <c r="C56" s="146">
        <v>8</v>
      </c>
      <c r="D56" s="150"/>
      <c r="E56" s="150"/>
      <c r="F56" s="150"/>
      <c r="G56" s="151"/>
      <c r="H56" s="152">
        <f t="shared" si="55"/>
        <v>0.71068133013012147</v>
      </c>
      <c r="K56" s="145"/>
      <c r="L56" s="145"/>
      <c r="M56" s="145"/>
      <c r="N56" s="145"/>
      <c r="Q56">
        <f>IF(R56&lt;=Presentation!$F$34,1,0)</f>
        <v>1</v>
      </c>
      <c r="R56" s="146">
        <v>8</v>
      </c>
      <c r="S56" s="150">
        <f t="shared" si="56"/>
        <v>0.2727397586771424</v>
      </c>
      <c r="T56" s="150"/>
      <c r="U56" s="150"/>
      <c r="V56" s="151"/>
      <c r="W56" s="152">
        <f t="shared" si="57"/>
        <v>0.71068133013012147</v>
      </c>
      <c r="AA56">
        <f>IF(AB56&lt;=Presentation!$F$34,1,0)</f>
        <v>1</v>
      </c>
      <c r="AB56" s="146">
        <v>8</v>
      </c>
      <c r="AC56" s="150">
        <f t="shared" si="58"/>
        <v>24.183745487333702</v>
      </c>
      <c r="AD56" s="150"/>
      <c r="AE56" s="150"/>
      <c r="AF56" s="151"/>
      <c r="AG56" s="152">
        <f t="shared" si="59"/>
        <v>0.71068133013012147</v>
      </c>
      <c r="AJ56" s="145"/>
      <c r="AK56">
        <f>IF(AL56&lt;=Presentation!$F$34,1,0)</f>
        <v>1</v>
      </c>
      <c r="AL56" s="146">
        <v>8</v>
      </c>
      <c r="AM56" s="150">
        <f t="shared" si="60"/>
        <v>3.9417625951644291</v>
      </c>
      <c r="AN56" s="150">
        <f t="shared" si="52"/>
        <v>5.7559968961796625E-2</v>
      </c>
      <c r="AO56" s="150"/>
      <c r="AP56" s="151"/>
      <c r="AQ56" s="152">
        <f t="shared" si="61"/>
        <v>0.71068133013012147</v>
      </c>
      <c r="AT56" s="145"/>
      <c r="AU56">
        <f>IF(AV56&lt;=Presentation!$F$34,1,0)</f>
        <v>1</v>
      </c>
      <c r="AV56" s="146">
        <v>8</v>
      </c>
      <c r="AW56" s="150">
        <f t="shared" si="62"/>
        <v>0.29401246962144506</v>
      </c>
      <c r="AX56" s="150">
        <f t="shared" si="53"/>
        <v>30.331075954939756</v>
      </c>
      <c r="AY56" s="150"/>
      <c r="AZ56" s="151"/>
      <c r="BA56" s="152">
        <f t="shared" si="63"/>
        <v>0.71068133013012147</v>
      </c>
      <c r="BE56">
        <f>IF(BF56&lt;=Presentation!$F$34,1,0)</f>
        <v>1</v>
      </c>
      <c r="BF56" s="146">
        <v>8</v>
      </c>
      <c r="BG56" s="150">
        <f t="shared" si="64"/>
        <v>4.995238807566742</v>
      </c>
      <c r="BH56" s="150">
        <f t="shared" si="54"/>
        <v>14.362931410859067</v>
      </c>
      <c r="BI56" s="150"/>
      <c r="BJ56" s="151"/>
      <c r="BK56" s="152">
        <f t="shared" si="65"/>
        <v>0.71068133013012147</v>
      </c>
      <c r="BO56">
        <f>IF(BP56&lt;=Presentation!$F$34,1,0)</f>
        <v>1</v>
      </c>
      <c r="BP56" s="146">
        <v>8</v>
      </c>
      <c r="BQ56" s="150"/>
      <c r="BR56" s="150"/>
      <c r="BS56" s="150"/>
      <c r="BT56" s="151"/>
      <c r="BU56" s="152">
        <f t="shared" si="66"/>
        <v>0.71068133013012147</v>
      </c>
      <c r="BZ56" s="136"/>
    </row>
    <row r="57" spans="1:78" x14ac:dyDescent="0.3">
      <c r="A57" s="136"/>
      <c r="B57">
        <f>IF(C57&lt;=Presentation!$F$34,1,0)</f>
        <v>1</v>
      </c>
      <c r="C57" s="146">
        <v>9</v>
      </c>
      <c r="D57" s="150"/>
      <c r="E57" s="150"/>
      <c r="F57" s="150"/>
      <c r="G57" s="151"/>
      <c r="H57" s="152">
        <f t="shared" si="55"/>
        <v>0.67683936202868722</v>
      </c>
      <c r="J57" s="134"/>
      <c r="K57" s="145"/>
      <c r="L57" s="145"/>
      <c r="M57" s="145"/>
      <c r="N57" s="145"/>
      <c r="Q57">
        <f>IF(R57&lt;=Presentation!$F$34,1,0)</f>
        <v>1</v>
      </c>
      <c r="R57" s="146">
        <v>9</v>
      </c>
      <c r="S57" s="150">
        <f t="shared" si="56"/>
        <v>0.25824994924120764</v>
      </c>
      <c r="T57" s="150"/>
      <c r="U57" s="150"/>
      <c r="V57" s="151"/>
      <c r="W57" s="152">
        <f t="shared" si="57"/>
        <v>0.67683936202868722</v>
      </c>
      <c r="Y57" s="134"/>
      <c r="AA57">
        <f>IF(AB57&lt;=Presentation!$F$34,1,0)</f>
        <v>1</v>
      </c>
      <c r="AB57" s="146">
        <v>9</v>
      </c>
      <c r="AC57" s="150">
        <f t="shared" si="58"/>
        <v>22.632582447508181</v>
      </c>
      <c r="AD57" s="150"/>
      <c r="AE57" s="150"/>
      <c r="AF57" s="151"/>
      <c r="AG57" s="152">
        <f t="shared" si="59"/>
        <v>0.67683936202868722</v>
      </c>
      <c r="AI57" s="134"/>
      <c r="AJ57" s="145"/>
      <c r="AK57">
        <f>IF(AL57&lt;=Presentation!$F$34,1,0)</f>
        <v>1</v>
      </c>
      <c r="AL57" s="146">
        <v>9</v>
      </c>
      <c r="AM57" s="150">
        <f t="shared" si="60"/>
        <v>3.7442178856861514</v>
      </c>
      <c r="AN57" s="150">
        <f t="shared" si="52"/>
        <v>5.8595141283979454E-2</v>
      </c>
      <c r="AO57" s="150"/>
      <c r="AP57" s="151"/>
      <c r="AQ57" s="152">
        <f t="shared" si="61"/>
        <v>0.67683936202868722</v>
      </c>
      <c r="AS57" s="134"/>
      <c r="AT57" s="145"/>
      <c r="AU57">
        <f>IF(AV57&lt;=Presentation!$F$34,1,0)</f>
        <v>1</v>
      </c>
      <c r="AV57" s="146">
        <v>9</v>
      </c>
      <c r="AW57" s="150">
        <f t="shared" si="62"/>
        <v>0.2468834972834425</v>
      </c>
      <c r="AX57" s="150">
        <f t="shared" si="53"/>
        <v>28.76179494916661</v>
      </c>
      <c r="AY57" s="150"/>
      <c r="AZ57" s="151"/>
      <c r="BA57" s="152">
        <f t="shared" si="63"/>
        <v>0.67683936202868722</v>
      </c>
      <c r="BE57">
        <f>IF(BF57&lt;=Presentation!$F$34,1,0)</f>
        <v>1</v>
      </c>
      <c r="BF57" s="146">
        <v>9</v>
      </c>
      <c r="BG57" s="150">
        <f t="shared" si="64"/>
        <v>4.1283384233872944</v>
      </c>
      <c r="BH57" s="150">
        <f t="shared" si="54"/>
        <v>13.5166436591114</v>
      </c>
      <c r="BI57" s="150"/>
      <c r="BJ57" s="151"/>
      <c r="BK57" s="152">
        <f t="shared" si="65"/>
        <v>0.67683936202868722</v>
      </c>
      <c r="BO57">
        <f>IF(BP57&lt;=Presentation!$F$34,1,0)</f>
        <v>1</v>
      </c>
      <c r="BP57" s="146">
        <v>9</v>
      </c>
      <c r="BQ57" s="150"/>
      <c r="BR57" s="150"/>
      <c r="BS57" s="150"/>
      <c r="BT57" s="151"/>
      <c r="BU57" s="152">
        <f t="shared" si="66"/>
        <v>0.67683936202868722</v>
      </c>
      <c r="BZ57" s="136"/>
    </row>
    <row r="58" spans="1:78" x14ac:dyDescent="0.3">
      <c r="A58" s="136"/>
      <c r="B58">
        <f>IF(C58&lt;=Presentation!$F$34,1,0)</f>
        <v>1</v>
      </c>
      <c r="C58" s="146">
        <v>10</v>
      </c>
      <c r="D58" s="150"/>
      <c r="E58" s="150"/>
      <c r="F58" s="150"/>
      <c r="G58" s="151"/>
      <c r="H58" s="152">
        <f t="shared" si="55"/>
        <v>0.64460891621779726</v>
      </c>
      <c r="K58" s="145"/>
      <c r="L58" s="145"/>
      <c r="M58" s="145"/>
      <c r="N58" s="145"/>
      <c r="Q58">
        <f>IF(R58&lt;=Presentation!$F$34,1,0)</f>
        <v>1</v>
      </c>
      <c r="R58" s="146">
        <v>10</v>
      </c>
      <c r="S58" s="150">
        <f t="shared" si="56"/>
        <v>0.24452993801330833</v>
      </c>
      <c r="T58" s="150"/>
      <c r="U58" s="150"/>
      <c r="V58" s="151"/>
      <c r="W58" s="152">
        <f t="shared" si="57"/>
        <v>0.64460891621779726</v>
      </c>
      <c r="AA58">
        <f>IF(AB58&lt;=Presentation!$F$34,1,0)</f>
        <v>1</v>
      </c>
      <c r="AB58" s="146">
        <v>10</v>
      </c>
      <c r="AC58" s="150">
        <f t="shared" si="58"/>
        <v>21.180912134207624</v>
      </c>
      <c r="AD58" s="150"/>
      <c r="AE58" s="150"/>
      <c r="AF58" s="151"/>
      <c r="AG58" s="152">
        <f t="shared" si="59"/>
        <v>0.64460891621779726</v>
      </c>
      <c r="AJ58" s="145"/>
      <c r="AK58">
        <f>IF(AL58&lt;=Presentation!$F$34,1,0)</f>
        <v>1</v>
      </c>
      <c r="AL58" s="146">
        <v>10</v>
      </c>
      <c r="AM58" s="150">
        <f t="shared" si="60"/>
        <v>3.5565732935540399</v>
      </c>
      <c r="AN58" s="150">
        <f t="shared" si="52"/>
        <v>5.8974931765705334E-2</v>
      </c>
      <c r="AO58" s="150"/>
      <c r="AP58" s="151"/>
      <c r="AQ58" s="152">
        <f t="shared" si="61"/>
        <v>0.64460891621779726</v>
      </c>
      <c r="AT58" s="145"/>
      <c r="AU58">
        <f>IF(AV58&lt;=Presentation!$F$34,1,0)</f>
        <v>1</v>
      </c>
      <c r="AV58" s="146">
        <v>10</v>
      </c>
      <c r="AW58" s="150">
        <f t="shared" si="62"/>
        <v>0.20730910260160543</v>
      </c>
      <c r="AX58" s="150">
        <f t="shared" si="53"/>
        <v>26.937120354091704</v>
      </c>
      <c r="AY58" s="150"/>
      <c r="AZ58" s="151"/>
      <c r="BA58" s="152">
        <f t="shared" si="63"/>
        <v>0.64460891621779726</v>
      </c>
      <c r="BE58">
        <f>IF(BF58&lt;=Presentation!$F$34,1,0)</f>
        <v>1</v>
      </c>
      <c r="BF58" s="146">
        <v>10</v>
      </c>
      <c r="BG58" s="150">
        <f t="shared" si="64"/>
        <v>3.4118845553888306</v>
      </c>
      <c r="BH58" s="150">
        <f t="shared" si="54"/>
        <v>12.563753803426673</v>
      </c>
      <c r="BI58" s="150"/>
      <c r="BJ58" s="151"/>
      <c r="BK58" s="152">
        <f t="shared" si="65"/>
        <v>0.64460891621779726</v>
      </c>
      <c r="BO58">
        <f>IF(BP58&lt;=Presentation!$F$34,1,0)</f>
        <v>1</v>
      </c>
      <c r="BP58" s="146">
        <v>10</v>
      </c>
      <c r="BQ58" s="150"/>
      <c r="BR58" s="150"/>
      <c r="BS58" s="150"/>
      <c r="BT58" s="151"/>
      <c r="BU58" s="152">
        <f t="shared" si="66"/>
        <v>0.64460891621779726</v>
      </c>
      <c r="BZ58" s="136"/>
    </row>
    <row r="59" spans="1:78" x14ac:dyDescent="0.3">
      <c r="A59" s="136"/>
      <c r="B59">
        <f>IF(C59&lt;=Presentation!$F$34,1,0)</f>
        <v>1</v>
      </c>
      <c r="C59" s="146">
        <v>11</v>
      </c>
      <c r="D59" s="150"/>
      <c r="E59" s="150"/>
      <c r="F59" s="150"/>
      <c r="G59" s="151"/>
      <c r="H59" s="152">
        <f t="shared" si="55"/>
        <v>0.61391325354075932</v>
      </c>
      <c r="J59" s="134"/>
      <c r="K59" s="145"/>
      <c r="L59" s="145"/>
      <c r="M59" s="145"/>
      <c r="N59" s="145"/>
      <c r="Q59">
        <f>IF(R59&lt;=Presentation!$F$34,1,0)</f>
        <v>1</v>
      </c>
      <c r="R59" s="146">
        <v>11</v>
      </c>
      <c r="S59" s="150">
        <f t="shared" si="56"/>
        <v>0.23153882802487402</v>
      </c>
      <c r="T59" s="150"/>
      <c r="U59" s="150"/>
      <c r="V59" s="151"/>
      <c r="W59" s="152">
        <f t="shared" si="57"/>
        <v>0.61391325354075932</v>
      </c>
      <c r="Y59" s="134"/>
      <c r="AA59">
        <f>IF(AB59&lt;=Presentation!$F$34,1,0)</f>
        <v>1</v>
      </c>
      <c r="AB59" s="146">
        <v>11</v>
      </c>
      <c r="AC59" s="150">
        <f t="shared" si="58"/>
        <v>19.82235301152819</v>
      </c>
      <c r="AD59" s="150"/>
      <c r="AE59" s="150"/>
      <c r="AF59" s="151"/>
      <c r="AG59" s="152">
        <f t="shared" si="59"/>
        <v>0.61391325354075932</v>
      </c>
      <c r="AI59" s="134"/>
      <c r="AJ59" s="145"/>
      <c r="AK59">
        <f>IF(AL59&lt;=Presentation!$F$34,1,0)</f>
        <v>1</v>
      </c>
      <c r="AL59" s="146">
        <v>11</v>
      </c>
      <c r="AM59" s="150">
        <f t="shared" si="60"/>
        <v>3.3783326661567363</v>
      </c>
      <c r="AN59" s="150">
        <f t="shared" si="52"/>
        <v>5.882510156239501E-2</v>
      </c>
      <c r="AO59" s="150"/>
      <c r="AP59" s="151"/>
      <c r="AQ59" s="152">
        <f t="shared" si="61"/>
        <v>0.61391325354075932</v>
      </c>
      <c r="AS59" s="134"/>
      <c r="AT59" s="145"/>
      <c r="AU59">
        <f>IF(AV59&lt;=Presentation!$F$34,1,0)</f>
        <v>1</v>
      </c>
      <c r="AV59" s="146">
        <v>11</v>
      </c>
      <c r="AW59" s="150">
        <f t="shared" si="62"/>
        <v>0.17407831829335182</v>
      </c>
      <c r="AX59" s="150">
        <f t="shared" si="53"/>
        <v>24.976040262333417</v>
      </c>
      <c r="AY59" s="150"/>
      <c r="AZ59" s="151"/>
      <c r="BA59" s="152">
        <f t="shared" si="63"/>
        <v>0.61391325354075932</v>
      </c>
      <c r="BE59">
        <f>IF(BF59&lt;=Presentation!$F$34,1,0)</f>
        <v>1</v>
      </c>
      <c r="BF59" s="146">
        <v>11</v>
      </c>
      <c r="BG59" s="150">
        <f t="shared" si="64"/>
        <v>2.8197679127646365</v>
      </c>
      <c r="BH59" s="150">
        <f t="shared" si="54"/>
        <v>11.561786924315742</v>
      </c>
      <c r="BI59" s="150"/>
      <c r="BJ59" s="151"/>
      <c r="BK59" s="152">
        <f t="shared" si="65"/>
        <v>0.61391325354075932</v>
      </c>
      <c r="BO59">
        <f>IF(BP59&lt;=Presentation!$F$34,1,0)</f>
        <v>1</v>
      </c>
      <c r="BP59" s="146">
        <v>11</v>
      </c>
      <c r="BQ59" s="150"/>
      <c r="BR59" s="150"/>
      <c r="BS59" s="150"/>
      <c r="BT59" s="151"/>
      <c r="BU59" s="152">
        <f t="shared" si="66"/>
        <v>0.61391325354075932</v>
      </c>
      <c r="BZ59" s="136"/>
    </row>
    <row r="60" spans="1:78" x14ac:dyDescent="0.3">
      <c r="A60" s="136"/>
      <c r="B60">
        <f>IF(C60&lt;=Presentation!$F$34,1,0)</f>
        <v>1</v>
      </c>
      <c r="C60" s="146">
        <v>12</v>
      </c>
      <c r="D60" s="150"/>
      <c r="E60" s="150"/>
      <c r="F60" s="150"/>
      <c r="G60" s="151"/>
      <c r="H60" s="152">
        <f t="shared" si="55"/>
        <v>0.5846792890864374</v>
      </c>
      <c r="J60" s="134"/>
      <c r="K60" s="145"/>
      <c r="L60" s="145"/>
      <c r="M60" s="145"/>
      <c r="N60" s="145"/>
      <c r="Q60">
        <f>IF(R60&lt;=Presentation!$F$34,1,0)</f>
        <v>1</v>
      </c>
      <c r="R60" s="146">
        <v>12</v>
      </c>
      <c r="S60" s="150">
        <f t="shared" si="56"/>
        <v>0.2192378950352267</v>
      </c>
      <c r="T60" s="150"/>
      <c r="U60" s="150"/>
      <c r="V60" s="151"/>
      <c r="W60" s="152">
        <f t="shared" si="57"/>
        <v>0.5846792890864374</v>
      </c>
      <c r="Y60" s="134"/>
      <c r="AA60">
        <f>IF(AB60&lt;=Presentation!$F$34,1,0)</f>
        <v>1</v>
      </c>
      <c r="AB60" s="146">
        <v>12</v>
      </c>
      <c r="AC60" s="150">
        <f t="shared" si="58"/>
        <v>18.550932859924263</v>
      </c>
      <c r="AD60" s="150"/>
      <c r="AE60" s="150"/>
      <c r="AF60" s="151"/>
      <c r="AG60" s="152">
        <f t="shared" si="59"/>
        <v>0.5846792890864374</v>
      </c>
      <c r="AI60" s="134"/>
      <c r="AJ60" s="145"/>
      <c r="AK60">
        <f>IF(AL60&lt;=Presentation!$F$34,1,0)</f>
        <v>1</v>
      </c>
      <c r="AL60" s="146">
        <v>12</v>
      </c>
      <c r="AM60" s="150">
        <f t="shared" si="60"/>
        <v>3.2090247159834786</v>
      </c>
      <c r="AN60" s="150">
        <f t="shared" si="52"/>
        <v>5.8250803714334561E-2</v>
      </c>
      <c r="AO60" s="150"/>
      <c r="AP60" s="151"/>
      <c r="AQ60" s="152">
        <f t="shared" si="61"/>
        <v>0.5846792890864374</v>
      </c>
      <c r="AS60" s="134"/>
      <c r="AT60" s="145"/>
      <c r="AU60">
        <f>IF(AV60&lt;=Presentation!$F$34,1,0)</f>
        <v>1</v>
      </c>
      <c r="AV60" s="146">
        <v>12</v>
      </c>
      <c r="AW60" s="150">
        <f t="shared" si="62"/>
        <v>0.14617429007966209</v>
      </c>
      <c r="AX60" s="150">
        <f t="shared" si="53"/>
        <v>22.966452859816641</v>
      </c>
      <c r="AY60" s="150"/>
      <c r="AZ60" s="151"/>
      <c r="BA60" s="152">
        <f t="shared" si="63"/>
        <v>0.5846792890864374</v>
      </c>
      <c r="BE60">
        <f>IF(BF60&lt;=Presentation!$F$34,1,0)</f>
        <v>1</v>
      </c>
      <c r="BF60" s="146">
        <v>12</v>
      </c>
      <c r="BG60" s="150">
        <f t="shared" si="64"/>
        <v>2.3304103502854003</v>
      </c>
      <c r="BH60" s="150">
        <f t="shared" si="54"/>
        <v>10.552276587097598</v>
      </c>
      <c r="BI60" s="150"/>
      <c r="BJ60" s="151"/>
      <c r="BK60" s="152">
        <f t="shared" si="65"/>
        <v>0.5846792890864374</v>
      </c>
      <c r="BO60">
        <f>IF(BP60&lt;=Presentation!$F$34,1,0)</f>
        <v>1</v>
      </c>
      <c r="BP60" s="146">
        <v>12</v>
      </c>
      <c r="BQ60" s="150"/>
      <c r="BR60" s="150"/>
      <c r="BS60" s="150"/>
      <c r="BT60" s="151"/>
      <c r="BU60" s="152">
        <f t="shared" si="66"/>
        <v>0.5846792890864374</v>
      </c>
      <c r="BZ60" s="136"/>
    </row>
    <row r="61" spans="1:78" x14ac:dyDescent="0.3">
      <c r="A61" s="136"/>
      <c r="B61">
        <f>IF(C61&lt;=Presentation!$F$34,1,0)</f>
        <v>1</v>
      </c>
      <c r="C61" s="146">
        <v>13</v>
      </c>
      <c r="D61" s="150"/>
      <c r="E61" s="150"/>
      <c r="F61" s="150"/>
      <c r="G61" s="151"/>
      <c r="H61" s="152">
        <f t="shared" si="55"/>
        <v>0.5568374181775595</v>
      </c>
      <c r="K61" s="145"/>
      <c r="L61" s="145"/>
      <c r="M61" s="145"/>
      <c r="N61" s="145"/>
      <c r="Q61">
        <f>IF(R61&lt;=Presentation!$F$34,1,0)</f>
        <v>1</v>
      </c>
      <c r="R61" s="146">
        <v>13</v>
      </c>
      <c r="S61" s="150">
        <f t="shared" si="56"/>
        <v>0.20759047210135087</v>
      </c>
      <c r="T61" s="150"/>
      <c r="U61" s="150"/>
      <c r="V61" s="151"/>
      <c r="W61" s="152">
        <f t="shared" si="57"/>
        <v>0.5568374181775595</v>
      </c>
      <c r="AA61">
        <f>IF(AB61&lt;=Presentation!$F$34,1,0)</f>
        <v>1</v>
      </c>
      <c r="AB61" s="146">
        <v>13</v>
      </c>
      <c r="AC61" s="150">
        <f t="shared" si="58"/>
        <v>17.361062522359283</v>
      </c>
      <c r="AD61" s="150"/>
      <c r="AE61" s="150"/>
      <c r="AF61" s="151"/>
      <c r="AG61" s="152">
        <f t="shared" si="59"/>
        <v>0.5568374181775595</v>
      </c>
      <c r="AJ61" s="145"/>
      <c r="AK61">
        <f>IF(AL61&lt;=Presentation!$F$34,1,0)</f>
        <v>1</v>
      </c>
      <c r="AL61" s="146">
        <v>13</v>
      </c>
      <c r="AM61" s="150">
        <f t="shared" si="60"/>
        <v>3.0482017744889203</v>
      </c>
      <c r="AN61" s="150">
        <f t="shared" si="52"/>
        <v>5.7339818431238296E-2</v>
      </c>
      <c r="AO61" s="150"/>
      <c r="AP61" s="151"/>
      <c r="AQ61" s="152">
        <f t="shared" si="61"/>
        <v>0.5568374181775595</v>
      </c>
      <c r="AT61" s="145"/>
      <c r="AU61">
        <f>IF(AV61&lt;=Presentation!$F$34,1,0)</f>
        <v>1</v>
      </c>
      <c r="AV61" s="146">
        <v>13</v>
      </c>
      <c r="AW61" s="150">
        <f t="shared" si="62"/>
        <v>0.12274316118039627</v>
      </c>
      <c r="AX61" s="150">
        <f t="shared" si="53"/>
        <v>20.972000101178782</v>
      </c>
      <c r="AY61" s="150"/>
      <c r="AZ61" s="151"/>
      <c r="BA61" s="152">
        <f t="shared" si="63"/>
        <v>0.5568374181775595</v>
      </c>
      <c r="BE61">
        <f>IF(BF61&lt;=Presentation!$F$34,1,0)</f>
        <v>1</v>
      </c>
      <c r="BF61" s="146">
        <v>13</v>
      </c>
      <c r="BG61" s="150">
        <f t="shared" si="64"/>
        <v>1.9259785091293888</v>
      </c>
      <c r="BH61" s="150">
        <f t="shared" si="54"/>
        <v>9.5644651412655506</v>
      </c>
      <c r="BI61" s="150"/>
      <c r="BJ61" s="151"/>
      <c r="BK61" s="152">
        <f t="shared" si="65"/>
        <v>0.5568374181775595</v>
      </c>
      <c r="BO61">
        <f>IF(BP61&lt;=Presentation!$F$34,1,0)</f>
        <v>1</v>
      </c>
      <c r="BP61" s="146">
        <v>13</v>
      </c>
      <c r="BQ61" s="150"/>
      <c r="BR61" s="150"/>
      <c r="BS61" s="150"/>
      <c r="BT61" s="151"/>
      <c r="BU61" s="152">
        <f t="shared" si="66"/>
        <v>0.5568374181775595</v>
      </c>
      <c r="BZ61" s="136"/>
    </row>
    <row r="62" spans="1:78" x14ac:dyDescent="0.3">
      <c r="A62" s="136"/>
      <c r="B62">
        <f>IF(C62&lt;=Presentation!$F$34,1,0)</f>
        <v>1</v>
      </c>
      <c r="C62" s="146">
        <v>14</v>
      </c>
      <c r="D62" s="150"/>
      <c r="E62" s="150"/>
      <c r="F62" s="150"/>
      <c r="G62" s="151"/>
      <c r="H62" s="152">
        <f t="shared" si="55"/>
        <v>0.53032135064529462</v>
      </c>
      <c r="Q62">
        <f>IF(R62&lt;=Presentation!$F$34,1,0)</f>
        <v>1</v>
      </c>
      <c r="R62" s="146">
        <v>14</v>
      </c>
      <c r="S62" s="150">
        <f t="shared" si="56"/>
        <v>0.19656184028010984</v>
      </c>
      <c r="T62" s="150"/>
      <c r="U62" s="150"/>
      <c r="V62" s="151"/>
      <c r="W62" s="152">
        <f t="shared" si="57"/>
        <v>0.53032135064529462</v>
      </c>
      <c r="AA62">
        <f>IF(AB62&lt;=Presentation!$F$34,1,0)</f>
        <v>1</v>
      </c>
      <c r="AB62" s="146">
        <v>14</v>
      </c>
      <c r="AC62" s="150">
        <f t="shared" si="58"/>
        <v>16.247511334397586</v>
      </c>
      <c r="AD62" s="150"/>
      <c r="AE62" s="150"/>
      <c r="AF62" s="151"/>
      <c r="AG62" s="152">
        <f t="shared" si="59"/>
        <v>0.53032135064529462</v>
      </c>
      <c r="AK62">
        <f>IF(AL62&lt;=Presentation!$F$34,1,0)</f>
        <v>1</v>
      </c>
      <c r="AL62" s="146">
        <v>14</v>
      </c>
      <c r="AM62" s="150">
        <f t="shared" si="60"/>
        <v>2.8954386084090338</v>
      </c>
      <c r="AN62" s="150">
        <f t="shared" si="52"/>
        <v>5.6165287139366242E-2</v>
      </c>
      <c r="AO62" s="150"/>
      <c r="AP62" s="151"/>
      <c r="AQ62" s="152">
        <f t="shared" si="61"/>
        <v>0.53032135064529462</v>
      </c>
      <c r="AU62">
        <f>IF(AV62&lt;=Presentation!$F$34,1,0)</f>
        <v>1</v>
      </c>
      <c r="AV62" s="146">
        <v>14</v>
      </c>
      <c r="AW62" s="150">
        <f t="shared" si="62"/>
        <v>0.10306794449520586</v>
      </c>
      <c r="AX62" s="150">
        <f t="shared" si="53"/>
        <v>19.037521132801526</v>
      </c>
      <c r="AY62" s="150"/>
      <c r="AZ62" s="151"/>
      <c r="BA62" s="152">
        <f t="shared" si="63"/>
        <v>0.53032135064529462</v>
      </c>
      <c r="BE62">
        <f>IF(BF62&lt;=Presentation!$F$34,1,0)</f>
        <v>1</v>
      </c>
      <c r="BF62" s="146">
        <v>14</v>
      </c>
      <c r="BG62" s="150">
        <f t="shared" si="64"/>
        <v>1.5917339266768968</v>
      </c>
      <c r="BH62" s="150">
        <f t="shared" si="54"/>
        <v>8.6182194288088656</v>
      </c>
      <c r="BI62" s="150"/>
      <c r="BJ62" s="151"/>
      <c r="BK62" s="152">
        <f t="shared" si="65"/>
        <v>0.53032135064529462</v>
      </c>
      <c r="BO62">
        <f>IF(BP62&lt;=Presentation!$F$34,1,0)</f>
        <v>1</v>
      </c>
      <c r="BP62" s="146">
        <v>14</v>
      </c>
      <c r="BQ62" s="150"/>
      <c r="BR62" s="150"/>
      <c r="BS62" s="150"/>
      <c r="BT62" s="151"/>
      <c r="BU62" s="152">
        <f t="shared" si="66"/>
        <v>0.53032135064529462</v>
      </c>
      <c r="BZ62" s="136"/>
    </row>
    <row r="63" spans="1:78" x14ac:dyDescent="0.3">
      <c r="A63" s="136"/>
      <c r="B63">
        <f>IF(C63&lt;=Presentation!$F$34,1,0)</f>
        <v>1</v>
      </c>
      <c r="C63" s="146">
        <v>15</v>
      </c>
      <c r="D63" s="150"/>
      <c r="E63" s="150"/>
      <c r="F63" s="150"/>
      <c r="G63" s="151"/>
      <c r="H63" s="152">
        <f t="shared" si="55"/>
        <v>0.50506795299551888</v>
      </c>
      <c r="Q63">
        <f>IF(R63&lt;=Presentation!$F$34,1,0)</f>
        <v>1</v>
      </c>
      <c r="R63" s="146">
        <v>15</v>
      </c>
      <c r="S63" s="150">
        <f t="shared" si="56"/>
        <v>0.18611912513711182</v>
      </c>
      <c r="T63" s="150"/>
      <c r="U63" s="150"/>
      <c r="V63" s="151"/>
      <c r="W63" s="152">
        <f t="shared" si="57"/>
        <v>0.50506795299551888</v>
      </c>
      <c r="AA63">
        <f>IF(AB63&lt;=Presentation!$F$34,1,0)</f>
        <v>1</v>
      </c>
      <c r="AB63" s="146">
        <v>15</v>
      </c>
      <c r="AC63" s="150">
        <f t="shared" si="58"/>
        <v>15.205384130228008</v>
      </c>
      <c r="AD63" s="150"/>
      <c r="AE63" s="150"/>
      <c r="AF63" s="151"/>
      <c r="AG63" s="152">
        <f t="shared" si="59"/>
        <v>0.50506795299551888</v>
      </c>
      <c r="AK63">
        <f>IF(AL63&lt;=Presentation!$F$34,1,0)</f>
        <v>1</v>
      </c>
      <c r="AL63" s="146">
        <v>15</v>
      </c>
      <c r="AM63" s="150">
        <f t="shared" si="60"/>
        <v>2.7503312953983459</v>
      </c>
      <c r="AN63" s="150">
        <f t="shared" si="52"/>
        <v>5.4788022619165384E-2</v>
      </c>
      <c r="AO63" s="150"/>
      <c r="AP63" s="151"/>
      <c r="AQ63" s="152">
        <f t="shared" si="61"/>
        <v>0.50506795299551888</v>
      </c>
      <c r="AU63">
        <f>IF(AV63&lt;=Presentation!$F$34,1,0)</f>
        <v>1</v>
      </c>
      <c r="AV63" s="146">
        <v>15</v>
      </c>
      <c r="AW63" s="150">
        <f t="shared" si="62"/>
        <v>8.6546582964847713E-2</v>
      </c>
      <c r="AX63" s="150">
        <f t="shared" si="53"/>
        <v>17.193390566918083</v>
      </c>
      <c r="AY63" s="150"/>
      <c r="AZ63" s="151"/>
      <c r="BA63" s="152">
        <f t="shared" si="63"/>
        <v>0.50506795299551888</v>
      </c>
      <c r="BE63">
        <f>IF(BF63&lt;=Presentation!$F$34,1,0)</f>
        <v>1</v>
      </c>
      <c r="BF63" s="146">
        <v>15</v>
      </c>
      <c r="BG63" s="150">
        <f t="shared" si="64"/>
        <v>1.3154959317170885</v>
      </c>
      <c r="BH63" s="150">
        <f t="shared" si="54"/>
        <v>7.7263199909802562</v>
      </c>
      <c r="BI63" s="150"/>
      <c r="BJ63" s="151"/>
      <c r="BK63" s="152">
        <f t="shared" si="65"/>
        <v>0.50506795299551888</v>
      </c>
      <c r="BO63">
        <f>IF(BP63&lt;=Presentation!$F$34,1,0)</f>
        <v>1</v>
      </c>
      <c r="BP63" s="146">
        <v>15</v>
      </c>
      <c r="BQ63" s="150"/>
      <c r="BR63" s="150"/>
      <c r="BS63" s="150"/>
      <c r="BT63" s="151"/>
      <c r="BU63" s="152">
        <f t="shared" si="66"/>
        <v>0.50506795299551888</v>
      </c>
      <c r="BZ63" s="136"/>
    </row>
    <row r="64" spans="1:78" x14ac:dyDescent="0.3">
      <c r="A64" s="136"/>
      <c r="B64">
        <f>IF(C64&lt;=Presentation!$F$34,1,0)</f>
        <v>1</v>
      </c>
      <c r="C64" s="146">
        <v>16</v>
      </c>
      <c r="D64" s="150"/>
      <c r="E64" s="150"/>
      <c r="F64" s="150"/>
      <c r="G64" s="151"/>
      <c r="H64" s="152">
        <f t="shared" si="55"/>
        <v>0.48101709809097021</v>
      </c>
      <c r="Q64">
        <f>IF(R64&lt;=Presentation!$F$34,1,0)</f>
        <v>1</v>
      </c>
      <c r="R64" s="146">
        <v>16</v>
      </c>
      <c r="S64" s="150">
        <f t="shared" si="56"/>
        <v>0.17623119875373452</v>
      </c>
      <c r="T64" s="150"/>
      <c r="U64" s="150"/>
      <c r="V64" s="151"/>
      <c r="W64" s="152">
        <f t="shared" si="57"/>
        <v>0.48101709809097021</v>
      </c>
      <c r="AA64">
        <f>IF(AB64&lt;=Presentation!$F$34,1,0)</f>
        <v>1</v>
      </c>
      <c r="AB64" s="146">
        <v>16</v>
      </c>
      <c r="AC64" s="150">
        <f t="shared" si="58"/>
        <v>14.230099723537878</v>
      </c>
      <c r="AD64" s="150"/>
      <c r="AE64" s="150"/>
      <c r="AF64" s="151"/>
      <c r="AG64" s="152">
        <f t="shared" si="59"/>
        <v>0.48101709809097021</v>
      </c>
      <c r="AK64">
        <f>IF(AL64&lt;=Presentation!$F$34,1,0)</f>
        <v>1</v>
      </c>
      <c r="AL64" s="146">
        <v>16</v>
      </c>
      <c r="AM64" s="150">
        <f t="shared" si="60"/>
        <v>2.6124961560155233</v>
      </c>
      <c r="AN64" s="150">
        <f t="shared" si="52"/>
        <v>5.325846064803115E-2</v>
      </c>
      <c r="AO64" s="150"/>
      <c r="AP64" s="151"/>
      <c r="AQ64" s="152">
        <f t="shared" si="61"/>
        <v>0.48101709809097021</v>
      </c>
      <c r="AU64">
        <f>IF(AV64&lt;=Presentation!$F$34,1,0)</f>
        <v>1</v>
      </c>
      <c r="AV64" s="146">
        <v>16</v>
      </c>
      <c r="AW64" s="150">
        <f t="shared" si="62"/>
        <v>7.2673526765052246E-2</v>
      </c>
      <c r="AX64" s="150">
        <f t="shared" si="53"/>
        <v>15.458957463333746</v>
      </c>
      <c r="AY64" s="150"/>
      <c r="AZ64" s="151"/>
      <c r="BA64" s="152">
        <f t="shared" si="63"/>
        <v>0.48101709809097021</v>
      </c>
      <c r="BE64">
        <f>IF(BF64&lt;=Presentation!$F$34,1,0)</f>
        <v>1</v>
      </c>
      <c r="BF64" s="146">
        <v>16</v>
      </c>
      <c r="BG64" s="150">
        <f t="shared" si="64"/>
        <v>1.08719775168522</v>
      </c>
      <c r="BH64" s="150">
        <f t="shared" si="54"/>
        <v>6.8962510513390516</v>
      </c>
      <c r="BI64" s="150"/>
      <c r="BJ64" s="151"/>
      <c r="BK64" s="152">
        <f t="shared" si="65"/>
        <v>0.48101709809097021</v>
      </c>
      <c r="BO64">
        <f>IF(BP64&lt;=Presentation!$F$34,1,0)</f>
        <v>1</v>
      </c>
      <c r="BP64" s="146">
        <v>16</v>
      </c>
      <c r="BQ64" s="150"/>
      <c r="BR64" s="150"/>
      <c r="BS64" s="150"/>
      <c r="BT64" s="151"/>
      <c r="BU64" s="152">
        <f t="shared" si="66"/>
        <v>0.48101709809097021</v>
      </c>
      <c r="BZ64" s="136"/>
    </row>
    <row r="65" spans="1:78" x14ac:dyDescent="0.3">
      <c r="A65" s="136"/>
      <c r="B65">
        <f>IF(C65&lt;=Presentation!$F$34,1,0)</f>
        <v>1</v>
      </c>
      <c r="C65" s="146">
        <v>17</v>
      </c>
      <c r="D65" s="150"/>
      <c r="E65" s="150"/>
      <c r="F65" s="150"/>
      <c r="G65" s="151"/>
      <c r="H65" s="152">
        <f t="shared" si="55"/>
        <v>0.45811152199140021</v>
      </c>
      <c r="Q65">
        <f>IF(R65&lt;=Presentation!$F$34,1,0)</f>
        <v>1</v>
      </c>
      <c r="R65" s="146">
        <v>17</v>
      </c>
      <c r="S65" s="150">
        <f t="shared" si="56"/>
        <v>0.16686858694021178</v>
      </c>
      <c r="T65" s="150"/>
      <c r="U65" s="150"/>
      <c r="V65" s="151"/>
      <c r="W65" s="152">
        <f t="shared" si="57"/>
        <v>0.45811152199140021</v>
      </c>
      <c r="AA65">
        <f>IF(AB65&lt;=Presentation!$F$34,1,0)</f>
        <v>1</v>
      </c>
      <c r="AB65" s="146">
        <v>17</v>
      </c>
      <c r="AC65" s="150">
        <f t="shared" si="58"/>
        <v>13.317370768639465</v>
      </c>
      <c r="AD65" s="150"/>
      <c r="AE65" s="150"/>
      <c r="AF65" s="151"/>
      <c r="AG65" s="152">
        <f t="shared" si="59"/>
        <v>0.45811152199140021</v>
      </c>
      <c r="AK65">
        <f>IF(AL65&lt;=Presentation!$F$34,1,0)</f>
        <v>1</v>
      </c>
      <c r="AL65" s="146">
        <v>17</v>
      </c>
      <c r="AM65" s="150">
        <f t="shared" si="60"/>
        <v>2.4815687392334187</v>
      </c>
      <c r="AN65" s="150">
        <f t="shared" si="52"/>
        <v>5.1618308484006448E-2</v>
      </c>
      <c r="AO65" s="150"/>
      <c r="AP65" s="151"/>
      <c r="AQ65" s="152">
        <f t="shared" si="61"/>
        <v>0.45811152199140021</v>
      </c>
      <c r="AU65">
        <f>IF(AV65&lt;=Presentation!$F$34,1,0)</f>
        <v>1</v>
      </c>
      <c r="AV65" s="146">
        <v>17</v>
      </c>
      <c r="AW65" s="150">
        <f t="shared" si="62"/>
        <v>6.1024263599360244E-2</v>
      </c>
      <c r="AX65" s="150">
        <f t="shared" si="53"/>
        <v>13.845260561998161</v>
      </c>
      <c r="AY65" s="150"/>
      <c r="AZ65" s="151"/>
      <c r="BA65" s="152">
        <f t="shared" si="63"/>
        <v>0.45811152199140021</v>
      </c>
      <c r="BE65">
        <f>IF(BF65&lt;=Presentation!$F$34,1,0)</f>
        <v>1</v>
      </c>
      <c r="BF65" s="146">
        <v>17</v>
      </c>
      <c r="BG65" s="150">
        <f t="shared" si="64"/>
        <v>0.89851965541737577</v>
      </c>
      <c r="BH65" s="150">
        <f t="shared" si="54"/>
        <v>6.1315936082278544</v>
      </c>
      <c r="BI65" s="150"/>
      <c r="BJ65" s="151"/>
      <c r="BK65" s="152">
        <f t="shared" si="65"/>
        <v>0.45811152199140021</v>
      </c>
      <c r="BO65">
        <f>IF(BP65&lt;=Presentation!$F$34,1,0)</f>
        <v>1</v>
      </c>
      <c r="BP65" s="146">
        <v>17</v>
      </c>
      <c r="BQ65" s="150"/>
      <c r="BR65" s="150"/>
      <c r="BS65" s="150"/>
      <c r="BT65" s="151"/>
      <c r="BU65" s="152">
        <f t="shared" si="66"/>
        <v>0.45811152199140021</v>
      </c>
      <c r="BZ65" s="136"/>
    </row>
    <row r="66" spans="1:78" x14ac:dyDescent="0.3">
      <c r="A66" s="136"/>
      <c r="B66">
        <f>IF(C66&lt;=Presentation!$F$34,1,0)</f>
        <v>1</v>
      </c>
      <c r="C66" s="146">
        <v>18</v>
      </c>
      <c r="D66" s="150"/>
      <c r="E66" s="150"/>
      <c r="F66" s="150"/>
      <c r="G66" s="151"/>
      <c r="H66" s="152">
        <f t="shared" si="55"/>
        <v>0.43629668761085727</v>
      </c>
      <c r="Q66">
        <f>IF(R66&lt;=Presentation!$F$34,1,0)</f>
        <v>1</v>
      </c>
      <c r="R66" s="146">
        <v>18</v>
      </c>
      <c r="S66" s="150">
        <f t="shared" si="56"/>
        <v>0.15800338137819617</v>
      </c>
      <c r="T66" s="150"/>
      <c r="U66" s="150"/>
      <c r="V66" s="151"/>
      <c r="W66" s="152">
        <f t="shared" si="57"/>
        <v>0.43629668761085727</v>
      </c>
      <c r="AA66">
        <f>IF(AB66&lt;=Presentation!$F$34,1,0)</f>
        <v>1</v>
      </c>
      <c r="AB66" s="146">
        <v>18</v>
      </c>
      <c r="AC66" s="150">
        <f t="shared" si="58"/>
        <v>12.463184913318345</v>
      </c>
      <c r="AD66" s="150"/>
      <c r="AE66" s="150"/>
      <c r="AF66" s="151"/>
      <c r="AG66" s="152">
        <f t="shared" si="59"/>
        <v>0.43629668761085727</v>
      </c>
      <c r="AK66">
        <f>IF(AL66&lt;=Presentation!$F$34,1,0)</f>
        <v>1</v>
      </c>
      <c r="AL66" s="146">
        <v>18</v>
      </c>
      <c r="AM66" s="150">
        <f t="shared" si="60"/>
        <v>2.3572028587910951</v>
      </c>
      <c r="AN66" s="150">
        <f t="shared" si="52"/>
        <v>4.9901936999569789E-2</v>
      </c>
      <c r="AO66" s="150"/>
      <c r="AP66" s="151"/>
      <c r="AQ66" s="152">
        <f t="shared" si="61"/>
        <v>0.43629668761085727</v>
      </c>
      <c r="AU66">
        <f>IF(AV66&lt;=Presentation!$F$34,1,0)</f>
        <v>1</v>
      </c>
      <c r="AV66" s="146">
        <v>18</v>
      </c>
      <c r="AW66" s="150">
        <f t="shared" si="62"/>
        <v>5.1242328721481663E-2</v>
      </c>
      <c r="AX66" s="150">
        <f t="shared" si="53"/>
        <v>12.35716233790853</v>
      </c>
      <c r="AY66" s="150"/>
      <c r="AZ66" s="151"/>
      <c r="BA66" s="152">
        <f t="shared" si="63"/>
        <v>0.43629668761085727</v>
      </c>
      <c r="BE66">
        <f>IF(BF66&lt;=Presentation!$F$34,1,0)</f>
        <v>1</v>
      </c>
      <c r="BF66" s="146">
        <v>18</v>
      </c>
      <c r="BG66" s="150">
        <f t="shared" si="64"/>
        <v>0.74258576226812367</v>
      </c>
      <c r="BH66" s="150">
        <f t="shared" si="54"/>
        <v>5.4331037939434621</v>
      </c>
      <c r="BI66" s="150"/>
      <c r="BJ66" s="151"/>
      <c r="BK66" s="152">
        <f t="shared" si="65"/>
        <v>0.43629668761085727</v>
      </c>
      <c r="BO66">
        <f>IF(BP66&lt;=Presentation!$F$34,1,0)</f>
        <v>1</v>
      </c>
      <c r="BP66" s="146">
        <v>18</v>
      </c>
      <c r="BQ66" s="150"/>
      <c r="BR66" s="150"/>
      <c r="BS66" s="150"/>
      <c r="BT66" s="151"/>
      <c r="BU66" s="152">
        <f t="shared" si="66"/>
        <v>0.43629668761085727</v>
      </c>
      <c r="BZ66" s="136"/>
    </row>
    <row r="67" spans="1:78" x14ac:dyDescent="0.3">
      <c r="A67" s="136"/>
      <c r="B67">
        <f>IF(C67&lt;=Presentation!$F$34,1,0)</f>
        <v>1</v>
      </c>
      <c r="C67" s="146">
        <v>19</v>
      </c>
      <c r="D67" s="150"/>
      <c r="E67" s="150"/>
      <c r="F67" s="150"/>
      <c r="G67" s="151"/>
      <c r="H67" s="152">
        <f t="shared" si="55"/>
        <v>0.41552065486748313</v>
      </c>
      <c r="Q67">
        <f>IF(R67&lt;=Presentation!$F$34,1,0)</f>
        <v>1</v>
      </c>
      <c r="R67" s="146">
        <v>19</v>
      </c>
      <c r="S67" s="150">
        <f t="shared" si="56"/>
        <v>0.14960915643091399</v>
      </c>
      <c r="T67" s="150"/>
      <c r="U67" s="150"/>
      <c r="V67" s="151"/>
      <c r="W67" s="152">
        <f t="shared" si="57"/>
        <v>0.41552065486748313</v>
      </c>
      <c r="AA67">
        <f>IF(AB67&lt;=Presentation!$F$34,1,0)</f>
        <v>1</v>
      </c>
      <c r="AB67" s="146">
        <v>19</v>
      </c>
      <c r="AC67" s="150">
        <f t="shared" si="58"/>
        <v>11.663787160551887</v>
      </c>
      <c r="AD67" s="150"/>
      <c r="AE67" s="150"/>
      <c r="AF67" s="151"/>
      <c r="AG67" s="152">
        <f t="shared" si="59"/>
        <v>0.41552065486748313</v>
      </c>
      <c r="AK67">
        <f>IF(AL67&lt;=Presentation!$F$34,1,0)</f>
        <v>1</v>
      </c>
      <c r="AL67" s="146">
        <v>19</v>
      </c>
      <c r="AM67" s="150">
        <f t="shared" si="60"/>
        <v>2.2390696778398897</v>
      </c>
      <c r="AN67" s="150">
        <f t="shared" si="52"/>
        <v>4.8137556061132833E-2</v>
      </c>
      <c r="AO67" s="150"/>
      <c r="AP67" s="151"/>
      <c r="AQ67" s="152">
        <f t="shared" si="61"/>
        <v>0.41552065486748313</v>
      </c>
      <c r="AU67">
        <f>IF(AV67&lt;=Presentation!$F$34,1,0)</f>
        <v>1</v>
      </c>
      <c r="AV67" s="146">
        <v>19</v>
      </c>
      <c r="AW67" s="150">
        <f t="shared" si="62"/>
        <v>4.3028397196880112E-2</v>
      </c>
      <c r="AX67" s="150">
        <f t="shared" si="53"/>
        <v>10.995017507381785</v>
      </c>
      <c r="AY67" s="150"/>
      <c r="AZ67" s="151"/>
      <c r="BA67" s="152">
        <f t="shared" si="63"/>
        <v>0.41552065486748313</v>
      </c>
      <c r="BE67">
        <f>IF(BF67&lt;=Presentation!$F$34,1,0)</f>
        <v>1</v>
      </c>
      <c r="BF67" s="146">
        <v>19</v>
      </c>
      <c r="BG67" s="150">
        <f t="shared" si="64"/>
        <v>0.61371346859093634</v>
      </c>
      <c r="BH67" s="150">
        <f t="shared" si="54"/>
        <v>4.799542355439546</v>
      </c>
      <c r="BI67" s="150"/>
      <c r="BJ67" s="151"/>
      <c r="BK67" s="152">
        <f t="shared" si="65"/>
        <v>0.41552065486748313</v>
      </c>
      <c r="BO67">
        <f>IF(BP67&lt;=Presentation!$F$34,1,0)</f>
        <v>1</v>
      </c>
      <c r="BP67" s="146">
        <v>19</v>
      </c>
      <c r="BQ67" s="150"/>
      <c r="BR67" s="150"/>
      <c r="BS67" s="150"/>
      <c r="BT67" s="151"/>
      <c r="BU67" s="152">
        <f t="shared" si="66"/>
        <v>0.41552065486748313</v>
      </c>
      <c r="BZ67" s="136"/>
    </row>
    <row r="68" spans="1:78" x14ac:dyDescent="0.3">
      <c r="A68" s="136"/>
      <c r="B68">
        <f>IF(C68&lt;=Presentation!$F$34,1,0)</f>
        <v>1</v>
      </c>
      <c r="C68" s="146">
        <v>20</v>
      </c>
      <c r="D68" s="150"/>
      <c r="E68" s="150"/>
      <c r="F68" s="150"/>
      <c r="G68" s="151"/>
      <c r="H68" s="152">
        <f t="shared" si="55"/>
        <v>0.39573395701665059</v>
      </c>
      <c r="Q68">
        <f>IF(R68&lt;=Presentation!$F$34,1,0)</f>
        <v>1</v>
      </c>
      <c r="R68" s="146">
        <v>20</v>
      </c>
      <c r="S68" s="150">
        <f t="shared" si="56"/>
        <v>0.14166089037293503</v>
      </c>
      <c r="T68" s="150"/>
      <c r="U68" s="150"/>
      <c r="V68" s="151"/>
      <c r="W68" s="152">
        <f t="shared" si="57"/>
        <v>0.39573395701665059</v>
      </c>
      <c r="AA68">
        <f>IF(AB68&lt;=Presentation!$F$34,1,0)</f>
        <v>1</v>
      </c>
      <c r="AB68" s="146">
        <v>20</v>
      </c>
      <c r="AC68" s="150">
        <f t="shared" si="58"/>
        <v>10.915663361559893</v>
      </c>
      <c r="AD68" s="150"/>
      <c r="AE68" s="150"/>
      <c r="AF68" s="151"/>
      <c r="AG68" s="152">
        <f t="shared" si="59"/>
        <v>0.39573395701665059</v>
      </c>
      <c r="AK68">
        <f>IF(AL68&lt;=Presentation!$F$34,1,0)</f>
        <v>1</v>
      </c>
      <c r="AL68" s="146">
        <v>20</v>
      </c>
      <c r="AM68" s="150">
        <f t="shared" si="60"/>
        <v>2.126856839463191</v>
      </c>
      <c r="AN68" s="150">
        <f t="shared" si="52"/>
        <v>4.6348206647276242E-2</v>
      </c>
      <c r="AO68" s="150"/>
      <c r="AP68" s="151"/>
      <c r="AQ68" s="152">
        <f t="shared" si="61"/>
        <v>0.39573395701665059</v>
      </c>
      <c r="AU68">
        <f>IF(AV68&lt;=Presentation!$F$34,1,0)</f>
        <v>1</v>
      </c>
      <c r="AV68" s="146">
        <v>20</v>
      </c>
      <c r="AW68" s="150">
        <f t="shared" si="62"/>
        <v>3.6131124629320825E-2</v>
      </c>
      <c r="AX68" s="150">
        <f t="shared" si="53"/>
        <v>9.7559696205735555</v>
      </c>
      <c r="AY68" s="150"/>
      <c r="AZ68" s="151"/>
      <c r="BA68" s="152">
        <f t="shared" si="63"/>
        <v>0.39573395701665059</v>
      </c>
      <c r="BE68">
        <f>IF(BF68&lt;=Presentation!$F$34,1,0)</f>
        <v>1</v>
      </c>
      <c r="BF68" s="146">
        <v>20</v>
      </c>
      <c r="BG68" s="150">
        <f t="shared" si="64"/>
        <v>0.50720636008359676</v>
      </c>
      <c r="BH68" s="150">
        <f t="shared" si="54"/>
        <v>4.2283079529451113</v>
      </c>
      <c r="BI68" s="150"/>
      <c r="BJ68" s="151"/>
      <c r="BK68" s="152">
        <f t="shared" si="65"/>
        <v>0.39573395701665059</v>
      </c>
      <c r="BO68">
        <f>IF(BP68&lt;=Presentation!$F$34,1,0)</f>
        <v>1</v>
      </c>
      <c r="BP68" s="146">
        <v>20</v>
      </c>
      <c r="BQ68" s="150"/>
      <c r="BR68" s="150"/>
      <c r="BS68" s="150"/>
      <c r="BT68" s="151"/>
      <c r="BU68" s="152">
        <f t="shared" si="66"/>
        <v>0.39573395701665059</v>
      </c>
      <c r="BZ68" s="136"/>
    </row>
    <row r="69" spans="1:78" x14ac:dyDescent="0.3">
      <c r="A69" s="136"/>
      <c r="B69">
        <f>IF(C69&lt;=Presentation!$F$34,1,0)</f>
        <v>1</v>
      </c>
      <c r="C69" s="146">
        <v>21</v>
      </c>
      <c r="D69" s="150"/>
      <c r="E69" s="150"/>
      <c r="F69" s="150"/>
      <c r="G69" s="151"/>
      <c r="H69" s="152">
        <f t="shared" si="55"/>
        <v>0.37688948287300061</v>
      </c>
      <c r="Q69">
        <f>IF(R69&lt;=Presentation!$F$34,1,0)</f>
        <v>1</v>
      </c>
      <c r="R69" s="146">
        <v>21</v>
      </c>
      <c r="S69" s="150">
        <f t="shared" si="56"/>
        <v>0.13413489080475874</v>
      </c>
      <c r="T69" s="150"/>
      <c r="U69" s="150"/>
      <c r="V69" s="151"/>
      <c r="W69" s="152">
        <f t="shared" si="57"/>
        <v>0.37688948287300061</v>
      </c>
      <c r="AA69">
        <f>IF(AB69&lt;=Presentation!$F$34,1,0)</f>
        <v>1</v>
      </c>
      <c r="AB69" s="146">
        <v>21</v>
      </c>
      <c r="AC69" s="150">
        <f t="shared" si="58"/>
        <v>10.215524767623009</v>
      </c>
      <c r="AD69" s="150"/>
      <c r="AE69" s="150"/>
      <c r="AF69" s="151"/>
      <c r="AG69" s="152">
        <f t="shared" si="59"/>
        <v>0.37688948287300061</v>
      </c>
      <c r="AK69">
        <f>IF(AL69&lt;=Presentation!$F$34,1,0)</f>
        <v>1</v>
      </c>
      <c r="AL69" s="146">
        <v>21</v>
      </c>
      <c r="AM69" s="150">
        <f t="shared" si="60"/>
        <v>2.0202676407709452</v>
      </c>
      <c r="AN69" s="150">
        <f t="shared" si="52"/>
        <v>4.4552598036046623E-2</v>
      </c>
      <c r="AO69" s="150"/>
      <c r="AP69" s="151"/>
      <c r="AQ69" s="152">
        <f t="shared" si="61"/>
        <v>0.37688948287300061</v>
      </c>
      <c r="AU69">
        <f>IF(AV69&lt;=Presentation!$F$34,1,0)</f>
        <v>1</v>
      </c>
      <c r="AV69" s="146">
        <v>21</v>
      </c>
      <c r="AW69" s="150">
        <f t="shared" si="62"/>
        <v>3.0339456080743111E-2</v>
      </c>
      <c r="AX69" s="150">
        <f t="shared" si="53"/>
        <v>8.6349514391339426</v>
      </c>
      <c r="AY69" s="150"/>
      <c r="AZ69" s="151"/>
      <c r="BA69" s="152">
        <f t="shared" si="63"/>
        <v>0.37688948287300061</v>
      </c>
      <c r="BE69">
        <f>IF(BF69&lt;=Presentation!$F$34,1,0)</f>
        <v>1</v>
      </c>
      <c r="BF69" s="146">
        <v>21</v>
      </c>
      <c r="BG69" s="150">
        <f t="shared" si="64"/>
        <v>0.41918306322966453</v>
      </c>
      <c r="BH69" s="150">
        <f t="shared" si="54"/>
        <v>3.7159163643173407</v>
      </c>
      <c r="BI69" s="150"/>
      <c r="BJ69" s="151"/>
      <c r="BK69" s="152">
        <f t="shared" si="65"/>
        <v>0.37688948287300061</v>
      </c>
      <c r="BO69">
        <f>IF(BP69&lt;=Presentation!$F$34,1,0)</f>
        <v>1</v>
      </c>
      <c r="BP69" s="146">
        <v>21</v>
      </c>
      <c r="BQ69" s="150"/>
      <c r="BR69" s="150"/>
      <c r="BS69" s="150"/>
      <c r="BT69" s="151"/>
      <c r="BU69" s="152">
        <f t="shared" si="66"/>
        <v>0.37688948287300061</v>
      </c>
      <c r="BZ69" s="136"/>
    </row>
    <row r="70" spans="1:78" x14ac:dyDescent="0.3">
      <c r="A70" s="136"/>
      <c r="B70">
        <f>IF(C70&lt;=Presentation!$F$34,1,0)</f>
        <v>1</v>
      </c>
      <c r="C70" s="146">
        <v>22</v>
      </c>
      <c r="D70" s="150"/>
      <c r="E70" s="150"/>
      <c r="F70" s="150"/>
      <c r="G70" s="151"/>
      <c r="H70" s="152">
        <f t="shared" si="55"/>
        <v>0.35894236464095297</v>
      </c>
      <c r="Q70">
        <f>IF(R70&lt;=Presentation!$F$34,1,0)</f>
        <v>1</v>
      </c>
      <c r="R70" s="146">
        <v>22</v>
      </c>
      <c r="S70" s="150">
        <f t="shared" si="56"/>
        <v>0.12700872402988961</v>
      </c>
      <c r="T70" s="150"/>
      <c r="U70" s="150"/>
      <c r="V70" s="151"/>
      <c r="W70" s="152">
        <f t="shared" si="57"/>
        <v>0.35894236464095297</v>
      </c>
      <c r="AA70">
        <f>IF(AB70&lt;=Presentation!$F$34,1,0)</f>
        <v>1</v>
      </c>
      <c r="AB70" s="146">
        <v>22</v>
      </c>
      <c r="AC70" s="150">
        <f t="shared" si="58"/>
        <v>9.5602935727587397</v>
      </c>
      <c r="AD70" s="150"/>
      <c r="AE70" s="150"/>
      <c r="AF70" s="151"/>
      <c r="AG70" s="152">
        <f t="shared" si="59"/>
        <v>0.35894236464095297</v>
      </c>
      <c r="AK70">
        <f>IF(AL70&lt;=Presentation!$F$34,1,0)</f>
        <v>1</v>
      </c>
      <c r="AL70" s="146">
        <v>22</v>
      </c>
      <c r="AM70" s="150">
        <f t="shared" si="60"/>
        <v>1.9190202483850995</v>
      </c>
      <c r="AN70" s="150">
        <f t="shared" si="52"/>
        <v>4.2765814024091159E-2</v>
      </c>
      <c r="AO70" s="150"/>
      <c r="AP70" s="151"/>
      <c r="AQ70" s="152">
        <f t="shared" si="61"/>
        <v>0.35894236464095297</v>
      </c>
      <c r="AU70">
        <f>IF(AV70&lt;=Presentation!$F$34,1,0)</f>
        <v>1</v>
      </c>
      <c r="AV70" s="146">
        <v>22</v>
      </c>
      <c r="AW70" s="150">
        <f t="shared" si="62"/>
        <v>2.5476167839191967E-2</v>
      </c>
      <c r="AX70" s="150">
        <f t="shared" si="53"/>
        <v>7.6254501875655141</v>
      </c>
      <c r="AY70" s="150"/>
      <c r="AZ70" s="151"/>
      <c r="BA70" s="152">
        <f t="shared" si="63"/>
        <v>0.35894236464095297</v>
      </c>
      <c r="BE70">
        <f>IF(BF70&lt;=Presentation!$F$34,1,0)</f>
        <v>1</v>
      </c>
      <c r="BF70" s="146">
        <v>22</v>
      </c>
      <c r="BG70" s="150">
        <f t="shared" si="64"/>
        <v>0.34643579877358804</v>
      </c>
      <c r="BH70" s="150">
        <f t="shared" si="54"/>
        <v>3.2583591407488521</v>
      </c>
      <c r="BI70" s="150"/>
      <c r="BJ70" s="151"/>
      <c r="BK70" s="152">
        <f t="shared" si="65"/>
        <v>0.35894236464095297</v>
      </c>
      <c r="BO70">
        <f>IF(BP70&lt;=Presentation!$F$34,1,0)</f>
        <v>1</v>
      </c>
      <c r="BP70" s="146">
        <v>22</v>
      </c>
      <c r="BQ70" s="150"/>
      <c r="BR70" s="150"/>
      <c r="BS70" s="150"/>
      <c r="BT70" s="151"/>
      <c r="BU70" s="152">
        <f t="shared" si="66"/>
        <v>0.35894236464095297</v>
      </c>
      <c r="BZ70" s="136"/>
    </row>
    <row r="71" spans="1:78" x14ac:dyDescent="0.3">
      <c r="A71" s="136"/>
      <c r="B71">
        <f>IF(C71&lt;=Presentation!$F$34,1,0)</f>
        <v>1</v>
      </c>
      <c r="C71" s="146">
        <v>23</v>
      </c>
      <c r="D71" s="150"/>
      <c r="E71" s="150"/>
      <c r="F71" s="150"/>
      <c r="G71" s="151"/>
      <c r="H71" s="152">
        <f t="shared" si="55"/>
        <v>0.3418498710866219</v>
      </c>
      <c r="Q71">
        <f>IF(R71&lt;=Presentation!$F$34,1,0)</f>
        <v>1</v>
      </c>
      <c r="R71" s="146">
        <v>23</v>
      </c>
      <c r="S71" s="150">
        <f t="shared" si="56"/>
        <v>0.12026114818388749</v>
      </c>
      <c r="T71" s="150"/>
      <c r="U71" s="150"/>
      <c r="V71" s="151"/>
      <c r="W71" s="152">
        <f t="shared" si="57"/>
        <v>0.3418498710866219</v>
      </c>
      <c r="AA71">
        <f>IF(AB71&lt;=Presentation!$F$34,1,0)</f>
        <v>1</v>
      </c>
      <c r="AB71" s="146">
        <v>23</v>
      </c>
      <c r="AC71" s="150">
        <f t="shared" si="58"/>
        <v>8.9470893837007672</v>
      </c>
      <c r="AD71" s="150"/>
      <c r="AE71" s="150"/>
      <c r="AF71" s="151"/>
      <c r="AG71" s="152">
        <f t="shared" si="59"/>
        <v>0.3418498710866219</v>
      </c>
      <c r="AK71">
        <f>IF(AL71&lt;=Presentation!$F$34,1,0)</f>
        <v>1</v>
      </c>
      <c r="AL71" s="146">
        <v>23</v>
      </c>
      <c r="AM71" s="150">
        <f t="shared" si="60"/>
        <v>1.8228469532416482</v>
      </c>
      <c r="AN71" s="150">
        <f t="shared" si="52"/>
        <v>4.0999908445583745E-2</v>
      </c>
      <c r="AO71" s="150"/>
      <c r="AP71" s="151"/>
      <c r="AQ71" s="152">
        <f t="shared" si="61"/>
        <v>0.3418498710866219</v>
      </c>
      <c r="AU71">
        <f>IF(AV71&lt;=Presentation!$F$34,1,0)</f>
        <v>1</v>
      </c>
      <c r="AV71" s="146">
        <v>23</v>
      </c>
      <c r="AW71" s="150">
        <f t="shared" si="62"/>
        <v>2.1392444414408306E-2</v>
      </c>
      <c r="AX71" s="150">
        <f t="shared" si="53"/>
        <v>6.7200868797235609</v>
      </c>
      <c r="AY71" s="150"/>
      <c r="AZ71" s="151"/>
      <c r="BA71" s="152">
        <f t="shared" si="63"/>
        <v>0.3418498710866219</v>
      </c>
      <c r="BE71">
        <f>IF(BF71&lt;=Presentation!$F$34,1,0)</f>
        <v>1</v>
      </c>
      <c r="BF71" s="146">
        <v>23</v>
      </c>
      <c r="BG71" s="150">
        <f t="shared" si="64"/>
        <v>0.28631348258013445</v>
      </c>
      <c r="BH71" s="150">
        <f t="shared" si="54"/>
        <v>2.851368390321908</v>
      </c>
      <c r="BI71" s="150"/>
      <c r="BJ71" s="151"/>
      <c r="BK71" s="152">
        <f t="shared" si="65"/>
        <v>0.3418498710866219</v>
      </c>
      <c r="BO71">
        <f>IF(BP71&lt;=Presentation!$F$34,1,0)</f>
        <v>1</v>
      </c>
      <c r="BP71" s="146">
        <v>23</v>
      </c>
      <c r="BQ71" s="150"/>
      <c r="BR71" s="150"/>
      <c r="BS71" s="150"/>
      <c r="BT71" s="151"/>
      <c r="BU71" s="152">
        <f t="shared" si="66"/>
        <v>0.3418498710866219</v>
      </c>
      <c r="BZ71" s="136"/>
    </row>
    <row r="72" spans="1:78" x14ac:dyDescent="0.3">
      <c r="A72" s="136"/>
      <c r="B72">
        <f>IF(C72&lt;=Presentation!$F$34,1,0)</f>
        <v>1</v>
      </c>
      <c r="C72" s="146">
        <v>24</v>
      </c>
      <c r="D72" s="150"/>
      <c r="E72" s="150"/>
      <c r="F72" s="150"/>
      <c r="G72" s="151"/>
      <c r="H72" s="152">
        <f t="shared" si="55"/>
        <v>0.32557130579678267</v>
      </c>
      <c r="Q72">
        <f>IF(R72&lt;=Presentation!$F$34,1,0)</f>
        <v>1</v>
      </c>
      <c r="R72" s="146">
        <v>24</v>
      </c>
      <c r="S72" s="150">
        <f t="shared" si="56"/>
        <v>0.11387204991606205</v>
      </c>
      <c r="T72" s="150"/>
      <c r="U72" s="150"/>
      <c r="V72" s="151"/>
      <c r="W72" s="152">
        <f t="shared" si="57"/>
        <v>0.32557130579678267</v>
      </c>
      <c r="AA72">
        <f>IF(AB72&lt;=Presentation!$F$34,1,0)</f>
        <v>1</v>
      </c>
      <c r="AB72" s="146">
        <v>24</v>
      </c>
      <c r="AC72" s="150">
        <f t="shared" si="58"/>
        <v>8.3732165577036195</v>
      </c>
      <c r="AD72" s="150"/>
      <c r="AE72" s="150"/>
      <c r="AF72" s="151"/>
      <c r="AG72" s="152">
        <f t="shared" si="59"/>
        <v>0.32557130579678267</v>
      </c>
      <c r="AK72">
        <f>IF(AL72&lt;=Presentation!$F$34,1,0)</f>
        <v>1</v>
      </c>
      <c r="AL72" s="146">
        <v>24</v>
      </c>
      <c r="AM72" s="150">
        <f t="shared" si="60"/>
        <v>1.7314934627388883</v>
      </c>
      <c r="AN72" s="150">
        <f t="shared" si="52"/>
        <v>3.9264407133207835E-2</v>
      </c>
      <c r="AO72" s="150"/>
      <c r="AP72" s="151"/>
      <c r="AQ72" s="152">
        <f t="shared" si="61"/>
        <v>0.32557130579678267</v>
      </c>
      <c r="AU72">
        <f>IF(AV72&lt;=Presentation!$F$34,1,0)</f>
        <v>1</v>
      </c>
      <c r="AV72" s="146">
        <v>24</v>
      </c>
      <c r="AW72" s="150">
        <f t="shared" si="62"/>
        <v>1.7963324818402671E-2</v>
      </c>
      <c r="AX72" s="150">
        <f t="shared" si="53"/>
        <v>5.911049262760578</v>
      </c>
      <c r="AY72" s="150"/>
      <c r="AZ72" s="151"/>
      <c r="BA72" s="152">
        <f t="shared" si="63"/>
        <v>0.32557130579678267</v>
      </c>
      <c r="BE72">
        <f>IF(BF72&lt;=Presentation!$F$34,1,0)</f>
        <v>1</v>
      </c>
      <c r="BF72" s="146">
        <v>24</v>
      </c>
      <c r="BG72" s="150">
        <f t="shared" si="64"/>
        <v>0.23662511379414256</v>
      </c>
      <c r="BH72" s="150">
        <f t="shared" si="54"/>
        <v>2.4906088501451693</v>
      </c>
      <c r="BI72" s="150"/>
      <c r="BJ72" s="151"/>
      <c r="BK72" s="152">
        <f t="shared" si="65"/>
        <v>0.32557130579678267</v>
      </c>
      <c r="BO72">
        <f>IF(BP72&lt;=Presentation!$F$34,1,0)</f>
        <v>1</v>
      </c>
      <c r="BP72" s="146">
        <v>24</v>
      </c>
      <c r="BQ72" s="150"/>
      <c r="BR72" s="150"/>
      <c r="BS72" s="150"/>
      <c r="BT72" s="151"/>
      <c r="BU72" s="152">
        <f t="shared" si="66"/>
        <v>0.32557130579678267</v>
      </c>
      <c r="BZ72" s="136"/>
    </row>
    <row r="73" spans="1:78" x14ac:dyDescent="0.3">
      <c r="A73" s="136"/>
      <c r="B73">
        <f>IF(C73&lt;=Presentation!$F$34,1,0)</f>
        <v>1</v>
      </c>
      <c r="C73" s="146">
        <v>25</v>
      </c>
      <c r="D73" s="150"/>
      <c r="E73" s="150"/>
      <c r="F73" s="150"/>
      <c r="G73" s="151"/>
      <c r="H73" s="152">
        <f t="shared" si="55"/>
        <v>0.31006791028265024</v>
      </c>
      <c r="Q73">
        <f>IF(R73&lt;=Presentation!$F$34,1,0)</f>
        <v>1</v>
      </c>
      <c r="R73" s="146">
        <v>25</v>
      </c>
      <c r="S73" s="150">
        <f t="shared" si="56"/>
        <v>0.10782238443507083</v>
      </c>
      <c r="T73" s="150"/>
      <c r="U73" s="150"/>
      <c r="V73" s="151"/>
      <c r="W73" s="152">
        <f t="shared" si="57"/>
        <v>0.31006791028265024</v>
      </c>
      <c r="AA73">
        <f>IF(AB73&lt;=Presentation!$F$34,1,0)</f>
        <v>1</v>
      </c>
      <c r="AB73" s="146">
        <v>25</v>
      </c>
      <c r="AC73" s="150">
        <f t="shared" si="58"/>
        <v>7.8361523525097834</v>
      </c>
      <c r="AD73" s="150"/>
      <c r="AE73" s="150"/>
      <c r="AF73" s="151"/>
      <c r="AG73" s="152">
        <f t="shared" si="59"/>
        <v>0.31006791028265024</v>
      </c>
      <c r="AK73">
        <f>IF(AL73&lt;=Presentation!$F$34,1,0)</f>
        <v>1</v>
      </c>
      <c r="AL73" s="146">
        <v>25</v>
      </c>
      <c r="AM73" s="150">
        <f t="shared" si="60"/>
        <v>1.6447182283602637</v>
      </c>
      <c r="AN73" s="150">
        <f t="shared" si="52"/>
        <v>3.7566730819268257E-2</v>
      </c>
      <c r="AO73" s="150"/>
      <c r="AP73" s="151"/>
      <c r="AQ73" s="152">
        <f t="shared" si="61"/>
        <v>0.31006791028265024</v>
      </c>
      <c r="AU73">
        <f>IF(AV73&lt;=Presentation!$F$34,1,0)</f>
        <v>1</v>
      </c>
      <c r="AV73" s="146">
        <v>25</v>
      </c>
      <c r="AW73" s="150">
        <f t="shared" si="62"/>
        <v>1.5083878788256119E-2</v>
      </c>
      <c r="AX73" s="150">
        <f t="shared" si="53"/>
        <v>5.1904100828722353</v>
      </c>
      <c r="AY73" s="150"/>
      <c r="AZ73" s="151"/>
      <c r="BA73" s="152">
        <f t="shared" si="63"/>
        <v>0.31006791028265024</v>
      </c>
      <c r="BE73">
        <f>IF(BF73&lt;=Presentation!$F$34,1,0)</f>
        <v>1</v>
      </c>
      <c r="BF73" s="146">
        <v>25</v>
      </c>
      <c r="BG73" s="150">
        <f t="shared" si="64"/>
        <v>0.19555992953429935</v>
      </c>
      <c r="BH73" s="150">
        <f t="shared" si="54"/>
        <v>2.1718139857222556</v>
      </c>
      <c r="BI73" s="150"/>
      <c r="BJ73" s="151"/>
      <c r="BK73" s="152">
        <f t="shared" si="65"/>
        <v>0.31006791028265024</v>
      </c>
      <c r="BO73">
        <f>IF(BP73&lt;=Presentation!$F$34,1,0)</f>
        <v>1</v>
      </c>
      <c r="BP73" s="146">
        <v>25</v>
      </c>
      <c r="BQ73" s="150"/>
      <c r="BR73" s="150"/>
      <c r="BS73" s="150"/>
      <c r="BT73" s="151"/>
      <c r="BU73" s="152">
        <f t="shared" si="66"/>
        <v>0.31006791028265024</v>
      </c>
      <c r="BZ73" s="136"/>
    </row>
    <row r="74" spans="1:78" x14ac:dyDescent="0.3">
      <c r="A74" s="136"/>
      <c r="B74">
        <f>IF(C74&lt;=Presentation!$F$34,1,0)</f>
        <v>1</v>
      </c>
      <c r="C74" s="146">
        <v>26</v>
      </c>
      <c r="D74" s="150"/>
      <c r="E74" s="150"/>
      <c r="F74" s="150"/>
      <c r="G74" s="151"/>
      <c r="H74" s="152">
        <f t="shared" si="55"/>
        <v>0.29530277169776209</v>
      </c>
      <c r="Q74">
        <f>IF(R74&lt;=Presentation!$F$34,1,0)</f>
        <v>1</v>
      </c>
      <c r="R74" s="146">
        <v>26</v>
      </c>
      <c r="S74" s="150">
        <f t="shared" si="56"/>
        <v>0.10209411873970627</v>
      </c>
      <c r="T74" s="150"/>
      <c r="U74" s="150"/>
      <c r="V74" s="151"/>
      <c r="W74" s="152">
        <f t="shared" si="57"/>
        <v>0.29530277169776209</v>
      </c>
      <c r="AA74">
        <f>IF(AB74&lt;=Presentation!$F$34,1,0)</f>
        <v>1</v>
      </c>
      <c r="AB74" s="146">
        <v>26</v>
      </c>
      <c r="AC74" s="150">
        <f t="shared" si="58"/>
        <v>7.3335358363865328</v>
      </c>
      <c r="AD74" s="150"/>
      <c r="AE74" s="150"/>
      <c r="AF74" s="151"/>
      <c r="AG74" s="152">
        <f t="shared" si="59"/>
        <v>0.29530277169776209</v>
      </c>
      <c r="AK74">
        <f>IF(AL74&lt;=Presentation!$F$34,1,0)</f>
        <v>1</v>
      </c>
      <c r="AL74" s="146">
        <v>26</v>
      </c>
      <c r="AM74" s="150">
        <f t="shared" si="60"/>
        <v>1.5622918069939349</v>
      </c>
      <c r="AN74" s="150">
        <f t="shared" si="52"/>
        <v>3.5912551238163143E-2</v>
      </c>
      <c r="AO74" s="150"/>
      <c r="AP74" s="151"/>
      <c r="AQ74" s="152">
        <f t="shared" si="61"/>
        <v>0.29530277169776209</v>
      </c>
      <c r="AU74">
        <f>IF(AV74&lt;=Presentation!$F$34,1,0)</f>
        <v>1</v>
      </c>
      <c r="AV74" s="146">
        <v>26</v>
      </c>
      <c r="AW74" s="150">
        <f t="shared" si="62"/>
        <v>1.2665995944454261E-2</v>
      </c>
      <c r="AX74" s="150">
        <f t="shared" si="53"/>
        <v>4.5503560265087977</v>
      </c>
      <c r="AY74" s="150"/>
      <c r="AZ74" s="151"/>
      <c r="BA74" s="152">
        <f t="shared" si="63"/>
        <v>0.29530277169776209</v>
      </c>
      <c r="BE74">
        <f>IF(BF74&lt;=Presentation!$F$34,1,0)</f>
        <v>1</v>
      </c>
      <c r="BF74" s="146">
        <v>26</v>
      </c>
      <c r="BG74" s="150">
        <f t="shared" si="64"/>
        <v>0.1616214163672039</v>
      </c>
      <c r="BH74" s="150">
        <f t="shared" si="54"/>
        <v>1.8908793169784284</v>
      </c>
      <c r="BI74" s="150"/>
      <c r="BJ74" s="151"/>
      <c r="BK74" s="152">
        <f t="shared" si="65"/>
        <v>0.29530277169776209</v>
      </c>
      <c r="BO74">
        <f>IF(BP74&lt;=Presentation!$F$34,1,0)</f>
        <v>1</v>
      </c>
      <c r="BP74" s="146">
        <v>26</v>
      </c>
      <c r="BQ74" s="150"/>
      <c r="BR74" s="150"/>
      <c r="BS74" s="150"/>
      <c r="BT74" s="151"/>
      <c r="BU74" s="152">
        <f t="shared" si="66"/>
        <v>0.29530277169776209</v>
      </c>
      <c r="BZ74" s="136"/>
    </row>
    <row r="75" spans="1:78" x14ac:dyDescent="0.3">
      <c r="A75" s="136"/>
      <c r="B75">
        <f>IF(C75&lt;=Presentation!$F$34,1,0)</f>
        <v>1</v>
      </c>
      <c r="C75" s="146">
        <v>27</v>
      </c>
      <c r="D75" s="150"/>
      <c r="E75" s="150"/>
      <c r="F75" s="150"/>
      <c r="G75" s="151"/>
      <c r="H75" s="152">
        <f t="shared" si="55"/>
        <v>0.28124073495024959</v>
      </c>
      <c r="Q75">
        <f>IF(R75&lt;=Presentation!$F$34,1,0)</f>
        <v>1</v>
      </c>
      <c r="R75" s="146">
        <v>27</v>
      </c>
      <c r="S75" s="150">
        <f t="shared" si="56"/>
        <v>9.6670177865654211E-2</v>
      </c>
      <c r="T75" s="150"/>
      <c r="U75" s="150"/>
      <c r="V75" s="151"/>
      <c r="W75" s="152">
        <f t="shared" si="57"/>
        <v>0.28124073495024959</v>
      </c>
      <c r="AA75">
        <f>IF(AB75&lt;=Presentation!$F$34,1,0)</f>
        <v>1</v>
      </c>
      <c r="AB75" s="146">
        <v>27</v>
      </c>
      <c r="AC75" s="150">
        <f t="shared" si="58"/>
        <v>6.8631575094811037</v>
      </c>
      <c r="AD75" s="150"/>
      <c r="AE75" s="150"/>
      <c r="AF75" s="151"/>
      <c r="AG75" s="152">
        <f t="shared" si="59"/>
        <v>0.28124073495024959</v>
      </c>
      <c r="AK75">
        <f>IF(AL75&lt;=Presentation!$F$34,1,0)</f>
        <v>1</v>
      </c>
      <c r="AL75" s="146">
        <v>27</v>
      </c>
      <c r="AM75" s="150">
        <f t="shared" si="60"/>
        <v>1.4839962542603649</v>
      </c>
      <c r="AN75" s="150">
        <f t="shared" si="52"/>
        <v>3.4306090799228493E-2</v>
      </c>
      <c r="AO75" s="150"/>
      <c r="AP75" s="151"/>
      <c r="AQ75" s="152">
        <f t="shared" si="61"/>
        <v>0.28124073495024959</v>
      </c>
      <c r="AU75">
        <f>IF(AV75&lt;=Presentation!$F$34,1,0)</f>
        <v>1</v>
      </c>
      <c r="AV75" s="146">
        <v>27</v>
      </c>
      <c r="AW75" s="150">
        <f t="shared" si="62"/>
        <v>1.0635689633745669E-2</v>
      </c>
      <c r="AX75" s="150">
        <f t="shared" si="53"/>
        <v>3.9833475533303173</v>
      </c>
      <c r="AY75" s="150"/>
      <c r="AZ75" s="151"/>
      <c r="BA75" s="152">
        <f t="shared" si="63"/>
        <v>0.28124073495024959</v>
      </c>
      <c r="BE75">
        <f>IF(BF75&lt;=Presentation!$F$34,1,0)</f>
        <v>1</v>
      </c>
      <c r="BF75" s="146">
        <v>27</v>
      </c>
      <c r="BG75" s="150">
        <f t="shared" si="64"/>
        <v>0.13357277378216495</v>
      </c>
      <c r="BH75" s="150">
        <f t="shared" si="54"/>
        <v>1.6439233430233002</v>
      </c>
      <c r="BI75" s="150"/>
      <c r="BJ75" s="151"/>
      <c r="BK75" s="152">
        <f t="shared" si="65"/>
        <v>0.28124073495024959</v>
      </c>
      <c r="BO75">
        <f>IF(BP75&lt;=Presentation!$F$34,1,0)</f>
        <v>1</v>
      </c>
      <c r="BP75" s="146">
        <v>27</v>
      </c>
      <c r="BQ75" s="150"/>
      <c r="BR75" s="150"/>
      <c r="BS75" s="150"/>
      <c r="BT75" s="151"/>
      <c r="BU75" s="152">
        <f t="shared" si="66"/>
        <v>0.28124073495024959</v>
      </c>
      <c r="BZ75" s="136"/>
    </row>
    <row r="76" spans="1:78" x14ac:dyDescent="0.3">
      <c r="A76" s="136"/>
      <c r="B76">
        <f>IF(C76&lt;=Presentation!$F$34,1,0)</f>
        <v>1</v>
      </c>
      <c r="C76" s="146">
        <v>28</v>
      </c>
      <c r="D76" s="150"/>
      <c r="E76" s="150"/>
      <c r="F76" s="150"/>
      <c r="G76" s="151"/>
      <c r="H76" s="152">
        <f t="shared" si="55"/>
        <v>0.2678483190002377</v>
      </c>
      <c r="Q76">
        <f>IF(R76&lt;=Presentation!$F$34,1,0)</f>
        <v>1</v>
      </c>
      <c r="R76" s="146">
        <v>28</v>
      </c>
      <c r="S76" s="150">
        <f t="shared" si="56"/>
        <v>9.1534393987993082E-2</v>
      </c>
      <c r="T76" s="150"/>
      <c r="U76" s="150"/>
      <c r="V76" s="151"/>
      <c r="W76" s="152">
        <f t="shared" si="57"/>
        <v>0.2678483190002377</v>
      </c>
      <c r="AA76">
        <f>IF(AB76&lt;=Presentation!$F$34,1,0)</f>
        <v>1</v>
      </c>
      <c r="AB76" s="146">
        <v>28</v>
      </c>
      <c r="AC76" s="150">
        <f t="shared" si="58"/>
        <v>6.4229495908696599</v>
      </c>
      <c r="AD76" s="150"/>
      <c r="AE76" s="150"/>
      <c r="AF76" s="151"/>
      <c r="AG76" s="152">
        <f t="shared" si="59"/>
        <v>0.2678483190002377</v>
      </c>
      <c r="AK76">
        <f>IF(AL76&lt;=Presentation!$F$34,1,0)</f>
        <v>1</v>
      </c>
      <c r="AL76" s="146">
        <v>28</v>
      </c>
      <c r="AM76" s="150">
        <f t="shared" si="60"/>
        <v>1.4096245482437859</v>
      </c>
      <c r="AN76" s="150">
        <f t="shared" si="52"/>
        <v>3.2750374598300581E-2</v>
      </c>
      <c r="AO76" s="150"/>
      <c r="AP76" s="151"/>
      <c r="AQ76" s="152">
        <f t="shared" si="61"/>
        <v>0.2678483190002377</v>
      </c>
      <c r="AU76">
        <f>IF(AV76&lt;=Presentation!$F$34,1,0)</f>
        <v>1</v>
      </c>
      <c r="AV76" s="146">
        <v>28</v>
      </c>
      <c r="AW76" s="150">
        <f t="shared" si="62"/>
        <v>8.9308329547423525E-3</v>
      </c>
      <c r="AX76" s="150">
        <f t="shared" si="53"/>
        <v>3.4822256885461611</v>
      </c>
      <c r="AY76" s="150"/>
      <c r="AZ76" s="151"/>
      <c r="BA76" s="152">
        <f t="shared" si="63"/>
        <v>0.2678483190002377</v>
      </c>
      <c r="BE76">
        <f>IF(BF76&lt;=Presentation!$F$34,1,0)</f>
        <v>1</v>
      </c>
      <c r="BF76" s="146">
        <v>28</v>
      </c>
      <c r="BG76" s="150">
        <f t="shared" si="64"/>
        <v>0.11039184222544553</v>
      </c>
      <c r="BH76" s="150">
        <f t="shared" si="54"/>
        <v>1.4273241836754227</v>
      </c>
      <c r="BI76" s="150"/>
      <c r="BJ76" s="151"/>
      <c r="BK76" s="152">
        <f t="shared" si="65"/>
        <v>0.2678483190002377</v>
      </c>
      <c r="BO76">
        <f>IF(BP76&lt;=Presentation!$F$34,1,0)</f>
        <v>1</v>
      </c>
      <c r="BP76" s="146">
        <v>28</v>
      </c>
      <c r="BQ76" s="150"/>
      <c r="BR76" s="150"/>
      <c r="BS76" s="150"/>
      <c r="BT76" s="151"/>
      <c r="BU76" s="152">
        <f t="shared" si="66"/>
        <v>0.2678483190002377</v>
      </c>
      <c r="BZ76" s="136"/>
    </row>
    <row r="77" spans="1:78" x14ac:dyDescent="0.3">
      <c r="A77" s="136"/>
      <c r="B77">
        <f>IF(C77&lt;=Presentation!$F$34,1,0)</f>
        <v>1</v>
      </c>
      <c r="C77" s="146">
        <v>29</v>
      </c>
      <c r="D77" s="150"/>
      <c r="E77" s="150"/>
      <c r="F77" s="150"/>
      <c r="G77" s="151"/>
      <c r="H77" s="152">
        <f t="shared" si="55"/>
        <v>0.25509363714308358</v>
      </c>
      <c r="Q77">
        <f>IF(R77&lt;=Presentation!$F$34,1,0)</f>
        <v>1</v>
      </c>
      <c r="R77" s="146">
        <v>29</v>
      </c>
      <c r="S77" s="150">
        <f t="shared" si="56"/>
        <v>8.6671458227718309E-2</v>
      </c>
      <c r="T77" s="150"/>
      <c r="U77" s="150"/>
      <c r="V77" s="151"/>
      <c r="W77" s="152">
        <f t="shared" si="57"/>
        <v>0.25509363714308358</v>
      </c>
      <c r="AA77">
        <f>IF(AB77&lt;=Presentation!$F$34,1,0)</f>
        <v>1</v>
      </c>
      <c r="AB77" s="146">
        <v>29</v>
      </c>
      <c r="AC77" s="150">
        <f t="shared" si="58"/>
        <v>6.0109769286020374</v>
      </c>
      <c r="AD77" s="150"/>
      <c r="AE77" s="150"/>
      <c r="AF77" s="151"/>
      <c r="AG77" s="152">
        <f t="shared" si="59"/>
        <v>0.25509363714308358</v>
      </c>
      <c r="AK77">
        <f>IF(AL77&lt;=Presentation!$F$34,1,0)</f>
        <v>1</v>
      </c>
      <c r="AL77" s="146">
        <v>29</v>
      </c>
      <c r="AM77" s="150">
        <f t="shared" si="60"/>
        <v>1.3389800421038494</v>
      </c>
      <c r="AN77" s="150">
        <f t="shared" si="52"/>
        <v>3.124744218232867E-2</v>
      </c>
      <c r="AO77" s="150"/>
      <c r="AP77" s="151"/>
      <c r="AQ77" s="152">
        <f t="shared" si="61"/>
        <v>0.25509363714308358</v>
      </c>
      <c r="AU77">
        <f>IF(AV77&lt;=Presentation!$F$34,1,0)</f>
        <v>1</v>
      </c>
      <c r="AV77" s="146">
        <v>29</v>
      </c>
      <c r="AW77" s="150">
        <f t="shared" si="62"/>
        <v>7.4992576891718E-3</v>
      </c>
      <c r="AX77" s="150">
        <f t="shared" si="53"/>
        <v>3.040278498456098</v>
      </c>
      <c r="AY77" s="150"/>
      <c r="AZ77" s="151"/>
      <c r="BA77" s="152">
        <f t="shared" si="63"/>
        <v>0.25509363714308358</v>
      </c>
      <c r="BE77">
        <f>IF(BF77&lt;=Presentation!$F$34,1,0)</f>
        <v>1</v>
      </c>
      <c r="BF77" s="146">
        <v>29</v>
      </c>
      <c r="BG77" s="150">
        <f t="shared" si="64"/>
        <v>9.1233853163831063E-2</v>
      </c>
      <c r="BH77" s="150">
        <f t="shared" si="54"/>
        <v>1.2377382628053113</v>
      </c>
      <c r="BI77" s="150"/>
      <c r="BJ77" s="151"/>
      <c r="BK77" s="152">
        <f t="shared" si="65"/>
        <v>0.25509363714308358</v>
      </c>
      <c r="BO77">
        <f>IF(BP77&lt;=Presentation!$F$34,1,0)</f>
        <v>1</v>
      </c>
      <c r="BP77" s="146">
        <v>29</v>
      </c>
      <c r="BQ77" s="150"/>
      <c r="BR77" s="150"/>
      <c r="BS77" s="150"/>
      <c r="BT77" s="151"/>
      <c r="BU77" s="152">
        <f t="shared" si="66"/>
        <v>0.25509363714308358</v>
      </c>
      <c r="BZ77" s="136"/>
    </row>
    <row r="78" spans="1:78" x14ac:dyDescent="0.3">
      <c r="A78" s="136"/>
      <c r="B78">
        <f>IF(C78&lt;=Presentation!$F$34,1,0)</f>
        <v>1</v>
      </c>
      <c r="C78" s="146">
        <v>30</v>
      </c>
      <c r="D78" s="150"/>
      <c r="E78" s="150"/>
      <c r="F78" s="150"/>
      <c r="G78" s="151"/>
      <c r="H78" s="152">
        <f t="shared" si="55"/>
        <v>0.24294632108865097</v>
      </c>
      <c r="Q78">
        <f>IF(R78&lt;=Presentation!$F$34,1,0)</f>
        <v>1</v>
      </c>
      <c r="R78" s="146">
        <v>30</v>
      </c>
      <c r="S78" s="150">
        <f t="shared" si="56"/>
        <v>8.2066875018634911E-2</v>
      </c>
      <c r="T78" s="150"/>
      <c r="U78" s="150"/>
      <c r="V78" s="151"/>
      <c r="W78" s="152">
        <f t="shared" si="57"/>
        <v>0.24294632108865097</v>
      </c>
      <c r="AA78">
        <f>IF(AB78&lt;=Presentation!$F$34,1,0)</f>
        <v>1</v>
      </c>
      <c r="AB78" s="146">
        <v>30</v>
      </c>
      <c r="AC78" s="150">
        <f t="shared" si="58"/>
        <v>5.6254284927828246</v>
      </c>
      <c r="AD78" s="150"/>
      <c r="AE78" s="150"/>
      <c r="AF78" s="151"/>
      <c r="AG78" s="152">
        <f t="shared" si="59"/>
        <v>0.24294632108865097</v>
      </c>
      <c r="AK78">
        <f>IF(AL78&lt;=Presentation!$F$34,1,0)</f>
        <v>1</v>
      </c>
      <c r="AL78" s="146">
        <v>30</v>
      </c>
      <c r="AM78" s="150">
        <f t="shared" si="60"/>
        <v>1.2718759441200933</v>
      </c>
      <c r="AN78" s="150">
        <f t="shared" si="52"/>
        <v>2.9798525336023847E-2</v>
      </c>
      <c r="AO78" s="150"/>
      <c r="AP78" s="151"/>
      <c r="AQ78" s="152">
        <f t="shared" si="61"/>
        <v>0.24294632108865097</v>
      </c>
      <c r="AU78">
        <f>IF(AV78&lt;=Presentation!$F$34,1,0)</f>
        <v>1</v>
      </c>
      <c r="AV78" s="146">
        <v>30</v>
      </c>
      <c r="AW78" s="150">
        <f t="shared" si="62"/>
        <v>6.297157966518566E-3</v>
      </c>
      <c r="AX78" s="150">
        <f t="shared" si="53"/>
        <v>2.651277283468032</v>
      </c>
      <c r="AY78" s="150"/>
      <c r="AZ78" s="151"/>
      <c r="BA78" s="152">
        <f t="shared" si="63"/>
        <v>0.24294632108865097</v>
      </c>
      <c r="BE78">
        <f>IF(BF78&lt;=Presentation!$F$34,1,0)</f>
        <v>1</v>
      </c>
      <c r="BF78" s="146">
        <v>30</v>
      </c>
      <c r="BG78" s="150">
        <f t="shared" si="64"/>
        <v>7.5400643700833866E-2</v>
      </c>
      <c r="BH78" s="150">
        <f t="shared" si="54"/>
        <v>1.0721059358857592</v>
      </c>
      <c r="BI78" s="150"/>
      <c r="BJ78" s="151"/>
      <c r="BK78" s="152">
        <f t="shared" si="65"/>
        <v>0.24294632108865097</v>
      </c>
      <c r="BO78">
        <f>IF(BP78&lt;=Presentation!$F$34,1,0)</f>
        <v>1</v>
      </c>
      <c r="BP78" s="146">
        <v>30</v>
      </c>
      <c r="BQ78" s="150"/>
      <c r="BR78" s="150"/>
      <c r="BS78" s="150"/>
      <c r="BT78" s="151"/>
      <c r="BU78" s="152">
        <f t="shared" si="66"/>
        <v>0.24294632108865097</v>
      </c>
      <c r="BZ78" s="136"/>
    </row>
    <row r="79" spans="1:78" ht="15" thickBot="1" x14ac:dyDescent="0.35">
      <c r="A79" s="136"/>
      <c r="B79">
        <f>IF(C79&lt;=Presentation!$F$34,1,0)</f>
        <v>0</v>
      </c>
      <c r="C79" s="146">
        <v>31</v>
      </c>
      <c r="D79" s="150"/>
      <c r="E79" s="150"/>
      <c r="F79" s="150"/>
      <c r="G79" s="151"/>
      <c r="H79" s="152">
        <f t="shared" si="55"/>
        <v>0.23137744865585813</v>
      </c>
      <c r="Q79">
        <f>IF(R79&lt;=Presentation!$F$34,1,0)</f>
        <v>0</v>
      </c>
      <c r="R79" s="146">
        <v>31</v>
      </c>
      <c r="S79" s="150">
        <f t="shared" si="56"/>
        <v>0</v>
      </c>
      <c r="T79" s="150"/>
      <c r="U79" s="150"/>
      <c r="V79" s="151"/>
      <c r="W79" s="189">
        <f t="shared" si="57"/>
        <v>0.23137744865585813</v>
      </c>
      <c r="AA79">
        <f>IF(AB79&lt;=Presentation!$F$34,1,0)</f>
        <v>0</v>
      </c>
      <c r="AB79" s="146">
        <v>31</v>
      </c>
      <c r="AC79" s="150">
        <f t="shared" si="58"/>
        <v>0</v>
      </c>
      <c r="AD79" s="150"/>
      <c r="AE79" s="150"/>
      <c r="AF79" s="151"/>
      <c r="AG79" s="152">
        <f t="shared" si="59"/>
        <v>0.23137744865585813</v>
      </c>
      <c r="AK79">
        <f>IF(AL79&lt;=Presentation!$F$34,1,0)</f>
        <v>0</v>
      </c>
      <c r="AL79" s="146">
        <v>31</v>
      </c>
      <c r="AM79" s="150">
        <f t="shared" si="60"/>
        <v>0</v>
      </c>
      <c r="AN79" s="150">
        <f t="shared" si="52"/>
        <v>0</v>
      </c>
      <c r="AO79" s="150"/>
      <c r="AP79" s="151"/>
      <c r="AQ79" s="152">
        <f t="shared" si="61"/>
        <v>0.23137744865585813</v>
      </c>
      <c r="AU79">
        <f>IF(AV79&lt;=Presentation!$F$34,1,0)</f>
        <v>0</v>
      </c>
      <c r="AV79" s="146">
        <v>31</v>
      </c>
      <c r="AW79" s="150">
        <f t="shared" si="62"/>
        <v>0</v>
      </c>
      <c r="AX79" s="150">
        <f t="shared" si="53"/>
        <v>0</v>
      </c>
      <c r="AY79" s="150"/>
      <c r="AZ79" s="151"/>
      <c r="BA79" s="152">
        <f t="shared" si="63"/>
        <v>0.23137744865585813</v>
      </c>
      <c r="BE79">
        <f>IF(BF79&lt;=Presentation!$F$34,1,0)</f>
        <v>0</v>
      </c>
      <c r="BF79" s="146">
        <v>31</v>
      </c>
      <c r="BG79" s="150">
        <f t="shared" si="64"/>
        <v>0</v>
      </c>
      <c r="BH79" s="150">
        <f t="shared" si="54"/>
        <v>0</v>
      </c>
      <c r="BI79" s="150"/>
      <c r="BJ79" s="151"/>
      <c r="BK79" s="152">
        <f t="shared" si="65"/>
        <v>0.23137744865585813</v>
      </c>
      <c r="BO79">
        <f>IF(BP79&lt;=Presentation!$F$34,1,0)</f>
        <v>0</v>
      </c>
      <c r="BP79" s="146">
        <v>31</v>
      </c>
      <c r="BQ79" s="150"/>
      <c r="BR79" s="150"/>
      <c r="BS79" s="150"/>
      <c r="BT79" s="151"/>
      <c r="BU79" s="152">
        <f t="shared" si="66"/>
        <v>0.23137744865585813</v>
      </c>
      <c r="BZ79" s="136"/>
    </row>
    <row r="80" spans="1:78" ht="15" thickBot="1" x14ac:dyDescent="0.35">
      <c r="A80" s="136"/>
      <c r="D80" s="135">
        <f>SUM(D48:D79)</f>
        <v>0</v>
      </c>
      <c r="E80" s="135">
        <f>SUM(E48:E79)</f>
        <v>0</v>
      </c>
      <c r="F80" s="135">
        <f>SUM(F48:F79)</f>
        <v>0</v>
      </c>
      <c r="G80" s="135">
        <f>SUM(G48:G79)</f>
        <v>0</v>
      </c>
      <c r="H80" s="101">
        <v>0</v>
      </c>
      <c r="S80" s="135">
        <f>SUM(S48:S79)</f>
        <v>17.043310499547264</v>
      </c>
      <c r="T80" s="135">
        <f>SUM(T48:T79)</f>
        <v>0</v>
      </c>
      <c r="U80" s="135">
        <f>SUM(U48:U79)</f>
        <v>0</v>
      </c>
      <c r="V80" s="135">
        <f>SUM(V48:V79)</f>
        <v>0</v>
      </c>
      <c r="W80" s="190">
        <f>SUM(S80:V80)</f>
        <v>17.043310499547264</v>
      </c>
      <c r="AC80" s="135">
        <f>SUM(AC48:AC79)</f>
        <v>602.58547199312488</v>
      </c>
      <c r="AD80" s="135">
        <f>SUM(AD48:AD79)</f>
        <v>0</v>
      </c>
      <c r="AE80" s="135">
        <f>SUM(AE48:AE79)</f>
        <v>0</v>
      </c>
      <c r="AF80" s="135">
        <f>SUM(AF48:AF79)</f>
        <v>0</v>
      </c>
      <c r="AG80" s="190">
        <f>SUM(AC80:AF80)</f>
        <v>602.58547199312488</v>
      </c>
      <c r="AM80" s="135">
        <f>SUM(AM48:AM79)</f>
        <v>185.45480302840727</v>
      </c>
      <c r="AN80" s="135">
        <f>SUM(AN48:AN79)</f>
        <v>1.3577194822423837</v>
      </c>
      <c r="AO80" s="135">
        <f>SUM(AO48:AO79)</f>
        <v>0</v>
      </c>
      <c r="AP80" s="135">
        <f>SUM(AP48:AP79)</f>
        <v>0</v>
      </c>
      <c r="AQ80" s="190">
        <f>SUM(AM80:AP80)</f>
        <v>186.81252251064964</v>
      </c>
      <c r="AW80" s="135">
        <f>SUM(AW48:AW79)</f>
        <v>58.768402995998919</v>
      </c>
      <c r="AX80" s="135">
        <f>SUM(AX48:AX79)</f>
        <v>491.00689791213159</v>
      </c>
      <c r="AY80" s="135">
        <f>SUM(AY48:AY79)</f>
        <v>0</v>
      </c>
      <c r="AZ80" s="135">
        <f>SUM(AZ48:AZ79)</f>
        <v>0</v>
      </c>
      <c r="BA80" s="190">
        <f>SUM(AW80:AZ80)</f>
        <v>549.77530090813048</v>
      </c>
      <c r="BG80" s="135">
        <f>SUM(BG48:BG79)</f>
        <v>159.43154703342327</v>
      </c>
      <c r="BH80" s="135">
        <f>SUM(BH48:BH79)</f>
        <v>228.06880061130707</v>
      </c>
      <c r="BI80" s="135">
        <f>SUM(BI48:BI79)</f>
        <v>0</v>
      </c>
      <c r="BJ80" s="135">
        <f>SUM(BJ48:BJ79)</f>
        <v>0</v>
      </c>
      <c r="BK80" s="190">
        <f>SUM(BG80:BJ80)</f>
        <v>387.50034764473037</v>
      </c>
      <c r="BQ80" s="135">
        <f>SUM(BQ48:BQ79)</f>
        <v>0</v>
      </c>
      <c r="BR80" s="135">
        <f>SUM(BR48:BR79)</f>
        <v>0</v>
      </c>
      <c r="BS80" s="135">
        <f>SUM(BS48:BS79)</f>
        <v>0</v>
      </c>
      <c r="BT80" s="135">
        <f>SUM(BT48:BT79)</f>
        <v>0</v>
      </c>
      <c r="BU80" s="190">
        <f>SUM(BQ80:BT80)</f>
        <v>0</v>
      </c>
      <c r="BZ80" s="136"/>
    </row>
    <row r="81" spans="1:78" x14ac:dyDescent="0.3">
      <c r="A81" s="136"/>
      <c r="BZ81" s="136"/>
    </row>
    <row r="82" spans="1:78" x14ac:dyDescent="0.3">
      <c r="A82" s="136"/>
      <c r="BZ82" s="136"/>
    </row>
    <row r="83" spans="1:78" x14ac:dyDescent="0.3">
      <c r="A83" s="136"/>
      <c r="B83" s="136"/>
      <c r="C83" s="136"/>
      <c r="D83" s="136"/>
      <c r="E83" s="136"/>
      <c r="F83" s="136"/>
      <c r="G83" s="136"/>
      <c r="H83" s="136"/>
      <c r="I83" s="136"/>
      <c r="J83" s="136"/>
      <c r="K83" s="136"/>
      <c r="L83" s="136"/>
      <c r="M83" s="136"/>
      <c r="N83" s="136"/>
      <c r="O83" s="136"/>
      <c r="P83" s="136"/>
      <c r="Q83" s="136"/>
      <c r="R83" s="136"/>
      <c r="S83" s="136"/>
      <c r="T83" s="136"/>
      <c r="U83" s="136"/>
      <c r="V83" s="136"/>
      <c r="W83" s="136"/>
      <c r="X83" s="136"/>
      <c r="Y83" s="136"/>
      <c r="Z83" s="136"/>
      <c r="AA83" s="136"/>
      <c r="AB83" s="136"/>
      <c r="AC83" s="136"/>
      <c r="AD83" s="136"/>
      <c r="AE83" s="136"/>
      <c r="AF83" s="136"/>
      <c r="AG83" s="136"/>
      <c r="AH83" s="136"/>
      <c r="AI83" s="136"/>
      <c r="AJ83" s="136"/>
      <c r="AK83" s="136"/>
      <c r="AL83" s="136"/>
      <c r="AM83" s="136"/>
      <c r="AN83" s="136"/>
      <c r="AO83" s="136"/>
      <c r="AP83" s="136"/>
      <c r="AQ83" s="136"/>
      <c r="AR83" s="136"/>
      <c r="AS83" s="136"/>
      <c r="AT83" s="136"/>
      <c r="AU83" s="136"/>
      <c r="AV83" s="136"/>
      <c r="AW83" s="136"/>
      <c r="AX83" s="136"/>
      <c r="AY83" s="136"/>
      <c r="AZ83" s="136"/>
      <c r="BA83" s="136"/>
      <c r="BB83" s="136"/>
      <c r="BC83" s="136"/>
      <c r="BD83" s="136"/>
      <c r="BE83" s="136"/>
      <c r="BF83" s="136"/>
      <c r="BG83" s="136"/>
      <c r="BH83" s="136"/>
      <c r="BI83" s="136"/>
      <c r="BJ83" s="136"/>
      <c r="BK83" s="136"/>
      <c r="BL83" s="136"/>
      <c r="BM83" s="136"/>
      <c r="BN83" s="136"/>
      <c r="BO83" s="136"/>
      <c r="BP83" s="136"/>
      <c r="BQ83" s="136"/>
      <c r="BR83" s="136"/>
      <c r="BS83" s="136"/>
      <c r="BT83" s="136"/>
      <c r="BU83" s="136"/>
      <c r="BV83" s="136"/>
      <c r="BW83" s="136"/>
      <c r="BX83" s="136"/>
      <c r="BY83" s="136"/>
      <c r="BZ83" s="136"/>
    </row>
    <row r="84" spans="1:78" ht="23.4" x14ac:dyDescent="0.45">
      <c r="A84" s="136"/>
      <c r="C84" s="173" t="s">
        <v>233</v>
      </c>
      <c r="BZ84" s="136"/>
    </row>
    <row r="85" spans="1:78" x14ac:dyDescent="0.3">
      <c r="A85" s="136"/>
      <c r="BZ85" s="136"/>
    </row>
    <row r="86" spans="1:78" x14ac:dyDescent="0.3">
      <c r="A86" s="136"/>
      <c r="C86" s="465" t="s">
        <v>417</v>
      </c>
      <c r="D86" s="466"/>
      <c r="E86" s="462" t="s">
        <v>431</v>
      </c>
      <c r="F86" s="463"/>
      <c r="G86" s="464"/>
      <c r="H86" s="154"/>
      <c r="N86" s="153"/>
      <c r="R86" s="465" t="s">
        <v>46</v>
      </c>
      <c r="S86" s="466"/>
      <c r="T86" s="462" t="s">
        <v>431</v>
      </c>
      <c r="U86" s="463"/>
      <c r="V86" s="464"/>
      <c r="W86" s="154"/>
      <c r="AB86" s="465" t="s">
        <v>214</v>
      </c>
      <c r="AC86" s="466"/>
      <c r="AD86" s="462" t="s">
        <v>419</v>
      </c>
      <c r="AE86" s="463"/>
      <c r="AF86" s="464"/>
      <c r="AG86" s="154"/>
      <c r="AL86" s="465" t="s">
        <v>450</v>
      </c>
      <c r="AM86" s="466"/>
      <c r="AN86" s="462" t="s">
        <v>419</v>
      </c>
      <c r="AO86" s="463"/>
      <c r="AP86" s="464"/>
      <c r="AQ86" s="154"/>
      <c r="AV86" s="465" t="s">
        <v>451</v>
      </c>
      <c r="AW86" s="466"/>
      <c r="AX86" s="462" t="s">
        <v>419</v>
      </c>
      <c r="AY86" s="463"/>
      <c r="AZ86" s="464"/>
      <c r="BA86" s="154"/>
      <c r="BF86" s="465" t="s">
        <v>452</v>
      </c>
      <c r="BG86" s="466"/>
      <c r="BH86" s="462" t="s">
        <v>431</v>
      </c>
      <c r="BI86" s="463"/>
      <c r="BJ86" s="464"/>
      <c r="BK86" s="154"/>
      <c r="BP86" s="465" t="s">
        <v>449</v>
      </c>
      <c r="BQ86" s="466"/>
      <c r="BR86" s="462" t="s">
        <v>431</v>
      </c>
      <c r="BS86" s="463"/>
      <c r="BT86" s="464"/>
      <c r="BU86" s="154"/>
      <c r="BZ86" s="136"/>
    </row>
    <row r="87" spans="1:78" x14ac:dyDescent="0.3">
      <c r="A87" s="136"/>
      <c r="C87" s="467"/>
      <c r="D87" s="468"/>
      <c r="E87" s="155" t="s">
        <v>420</v>
      </c>
      <c r="F87" s="155" t="s">
        <v>421</v>
      </c>
      <c r="G87" s="155" t="s">
        <v>422</v>
      </c>
      <c r="H87" s="156" t="s">
        <v>40</v>
      </c>
      <c r="N87" s="153"/>
      <c r="R87" s="467"/>
      <c r="S87" s="468"/>
      <c r="T87" s="155" t="s">
        <v>432</v>
      </c>
      <c r="U87" s="155" t="s">
        <v>421</v>
      </c>
      <c r="V87" s="155" t="s">
        <v>422</v>
      </c>
      <c r="W87" s="156" t="s">
        <v>40</v>
      </c>
      <c r="AB87" s="467"/>
      <c r="AC87" s="468"/>
      <c r="AD87" s="155" t="s">
        <v>448</v>
      </c>
      <c r="AE87" s="155" t="s">
        <v>445</v>
      </c>
      <c r="AF87" s="155" t="s">
        <v>434</v>
      </c>
      <c r="AG87" s="156" t="s">
        <v>40</v>
      </c>
      <c r="AL87" s="467"/>
      <c r="AM87" s="468"/>
      <c r="AN87" s="155" t="s">
        <v>448</v>
      </c>
      <c r="AO87" s="155" t="s">
        <v>445</v>
      </c>
      <c r="AP87" s="155" t="s">
        <v>434</v>
      </c>
      <c r="AQ87" s="156" t="s">
        <v>40</v>
      </c>
      <c r="AV87" s="467"/>
      <c r="AW87" s="468"/>
      <c r="AX87" s="155" t="s">
        <v>448</v>
      </c>
      <c r="AY87" s="155" t="s">
        <v>445</v>
      </c>
      <c r="AZ87" s="155" t="s">
        <v>434</v>
      </c>
      <c r="BA87" s="156" t="s">
        <v>40</v>
      </c>
      <c r="BF87" s="467"/>
      <c r="BG87" s="468"/>
      <c r="BH87" s="155" t="s">
        <v>448</v>
      </c>
      <c r="BI87" s="155" t="s">
        <v>445</v>
      </c>
      <c r="BJ87" s="155" t="s">
        <v>434</v>
      </c>
      <c r="BK87" s="156" t="s">
        <v>40</v>
      </c>
      <c r="BP87" s="467"/>
      <c r="BQ87" s="468"/>
      <c r="BR87" s="155" t="s">
        <v>448</v>
      </c>
      <c r="BS87" s="155" t="s">
        <v>445</v>
      </c>
      <c r="BT87" s="155" t="s">
        <v>434</v>
      </c>
      <c r="BU87" s="156" t="s">
        <v>40</v>
      </c>
      <c r="BZ87" s="136"/>
    </row>
    <row r="88" spans="1:78" x14ac:dyDescent="0.3">
      <c r="A88" s="136"/>
      <c r="C88" s="457" t="s">
        <v>418</v>
      </c>
      <c r="D88" s="155" t="str">
        <f>E87</f>
        <v xml:space="preserve"> (1) Healthy</v>
      </c>
      <c r="E88" s="157" t="s">
        <v>423</v>
      </c>
      <c r="F88" s="158" t="s">
        <v>9</v>
      </c>
      <c r="G88" s="159" t="s">
        <v>423</v>
      </c>
      <c r="H88" s="160">
        <f>SUM(M94:N94)</f>
        <v>1</v>
      </c>
      <c r="R88" s="457" t="s">
        <v>418</v>
      </c>
      <c r="S88" s="155" t="str">
        <f>T87</f>
        <v xml:space="preserve"> (1) DCIS</v>
      </c>
      <c r="T88" s="157">
        <f>1-V88</f>
        <v>0.99421678752843079</v>
      </c>
      <c r="U88" s="158" t="s">
        <v>9</v>
      </c>
      <c r="V88" s="159">
        <f>1-EXP(-(1-p_sobrev_DCIS)/10)</f>
        <v>5.7832124715692101E-3</v>
      </c>
      <c r="W88" s="160">
        <f>SUM(T88:V88)</f>
        <v>1</v>
      </c>
      <c r="AB88" s="457" t="s">
        <v>433</v>
      </c>
      <c r="AC88" s="155" t="str">
        <f>AD87</f>
        <v>(1) Local/regional</v>
      </c>
      <c r="AD88" s="157">
        <f>1-AF88</f>
        <v>0.9826522356650732</v>
      </c>
      <c r="AE88" s="158" t="s">
        <v>9</v>
      </c>
      <c r="AF88" s="159">
        <f>1-EXP(-(1-p_sobrev_CIntervalo)/10)</f>
        <v>1.7347764334926796E-2</v>
      </c>
      <c r="AG88" s="160">
        <f>SUM(AD88:AF88)</f>
        <v>1</v>
      </c>
      <c r="AL88" s="457" t="s">
        <v>433</v>
      </c>
      <c r="AM88" s="155" t="str">
        <f>AN87</f>
        <v>(1) Local/regional</v>
      </c>
      <c r="AN88" s="157">
        <f>1-(AP88+AO88)</f>
        <v>0.99737837707256971</v>
      </c>
      <c r="AO88" s="159">
        <f>slmd_tnm1</f>
        <v>2.5000000000000001E-5</v>
      </c>
      <c r="AP88" s="159">
        <f>1-EXP(-(1-p_sobrev_TNM1)/5)</f>
        <v>2.5966229274302366E-3</v>
      </c>
      <c r="AQ88" s="160">
        <f>SUM(AN88:AP88)</f>
        <v>1</v>
      </c>
      <c r="AV88" s="457" t="s">
        <v>433</v>
      </c>
      <c r="AW88" s="155" t="str">
        <f>AX87</f>
        <v>(1) Local/regional</v>
      </c>
      <c r="AX88" s="157">
        <f>1-(AZ88+AY88)</f>
        <v>0.88168938032248245</v>
      </c>
      <c r="AY88" s="159">
        <f>slmd_tnm2</f>
        <v>0.105</v>
      </c>
      <c r="AZ88" s="159">
        <f>1-EXP(-(1-p_sobrev_TNM2)/5)</f>
        <v>1.3310619677517566E-2</v>
      </c>
      <c r="BA88" s="160">
        <f>SUM(AX88:AZ88)</f>
        <v>1</v>
      </c>
      <c r="BF88" s="457" t="s">
        <v>418</v>
      </c>
      <c r="BG88" s="155" t="str">
        <f>BH87</f>
        <v>(1) Local/regional</v>
      </c>
      <c r="BH88" s="157">
        <f>1-(BJ88+BI88)</f>
        <v>0.86777739994940994</v>
      </c>
      <c r="BI88" s="159">
        <f>slmd_tnm3</f>
        <v>0.105</v>
      </c>
      <c r="BJ88" s="159">
        <f>1-EXP(-(1-p_sobrev_TNM3)/5)</f>
        <v>2.7222600050590073E-2</v>
      </c>
      <c r="BK88" s="160">
        <f>SUM(BH88:BJ88)</f>
        <v>1</v>
      </c>
      <c r="BP88" s="457" t="s">
        <v>418</v>
      </c>
      <c r="BQ88" s="155" t="str">
        <f>BR87</f>
        <v>(1) Local/regional</v>
      </c>
      <c r="BR88" s="178" t="s">
        <v>9</v>
      </c>
      <c r="BS88" s="178" t="s">
        <v>9</v>
      </c>
      <c r="BT88" s="178" t="s">
        <v>9</v>
      </c>
      <c r="BU88" s="160">
        <f>SUM(BR88:BT88)</f>
        <v>0</v>
      </c>
      <c r="BZ88" s="136"/>
    </row>
    <row r="89" spans="1:78" x14ac:dyDescent="0.3">
      <c r="A89" s="136"/>
      <c r="C89" s="458"/>
      <c r="D89" s="155" t="str">
        <f>F87</f>
        <v xml:space="preserve"> (2) NA</v>
      </c>
      <c r="E89" s="161" t="s">
        <v>41</v>
      </c>
      <c r="F89" s="162" t="s">
        <v>9</v>
      </c>
      <c r="G89" s="162" t="s">
        <v>9</v>
      </c>
      <c r="H89" s="160">
        <f>SUM(E89:G89)</f>
        <v>0</v>
      </c>
      <c r="R89" s="458"/>
      <c r="S89" s="155" t="str">
        <f>U87</f>
        <v xml:space="preserve"> (2) NA</v>
      </c>
      <c r="T89" s="161" t="s">
        <v>41</v>
      </c>
      <c r="U89" s="162" t="s">
        <v>9</v>
      </c>
      <c r="V89" s="162" t="s">
        <v>9</v>
      </c>
      <c r="W89" s="160">
        <f>SUM(T89:V89)</f>
        <v>0</v>
      </c>
      <c r="AB89" s="458"/>
      <c r="AC89" s="155" t="str">
        <f>AE87</f>
        <v>(2) Distant metastasis</v>
      </c>
      <c r="AD89" s="161" t="s">
        <v>41</v>
      </c>
      <c r="AE89" s="162" t="s">
        <v>9</v>
      </c>
      <c r="AF89" s="162" t="s">
        <v>9</v>
      </c>
      <c r="AG89" s="160">
        <f>SUM(AD89:AF89)</f>
        <v>0</v>
      </c>
      <c r="AL89" s="458"/>
      <c r="AM89" s="155" t="str">
        <f>AO87</f>
        <v>(2) Distant metastasis</v>
      </c>
      <c r="AN89" s="161" t="s">
        <v>41</v>
      </c>
      <c r="AO89" s="162">
        <f>1-AP89</f>
        <v>0.88834064527977719</v>
      </c>
      <c r="AP89" s="159">
        <f>1-EXP(-(1-p_sobrev_TNM4)/5)</f>
        <v>0.11165935472022281</v>
      </c>
      <c r="AQ89" s="160">
        <f>SUM(AN89:AP89)</f>
        <v>1</v>
      </c>
      <c r="AV89" s="458"/>
      <c r="AW89" s="155" t="str">
        <f>AY87</f>
        <v>(2) Distant metastasis</v>
      </c>
      <c r="AX89" s="161" t="s">
        <v>41</v>
      </c>
      <c r="AY89" s="162">
        <f>1-AZ89</f>
        <v>0.88834064527977719</v>
      </c>
      <c r="AZ89" s="159">
        <f>1-EXP(-(1-p_sobrev_TNM4)/5)</f>
        <v>0.11165935472022281</v>
      </c>
      <c r="BA89" s="160">
        <f>SUM(AX89:AZ89)</f>
        <v>1</v>
      </c>
      <c r="BF89" s="458"/>
      <c r="BG89" s="155" t="str">
        <f>BI87</f>
        <v>(2) Distant metastasis</v>
      </c>
      <c r="BH89" s="161" t="s">
        <v>41</v>
      </c>
      <c r="BI89" s="162">
        <f>1-BJ89</f>
        <v>0.88834064527977719</v>
      </c>
      <c r="BJ89" s="159">
        <f>1-EXP(-(1-p_sobrev_TNM4)/5)</f>
        <v>0.11165935472022281</v>
      </c>
      <c r="BK89" s="160">
        <f>SUM(BH89:BJ89)</f>
        <v>1</v>
      </c>
      <c r="BP89" s="458"/>
      <c r="BQ89" s="155" t="str">
        <f>BS87</f>
        <v>(2) Distant metastasis</v>
      </c>
      <c r="BR89" s="161" t="s">
        <v>41</v>
      </c>
      <c r="BS89" s="162">
        <f>1-BT89</f>
        <v>0.88834064527977719</v>
      </c>
      <c r="BT89" s="159">
        <f>1-EXP(-(1-p_sobrev_TNM4)/5)</f>
        <v>0.11165935472022281</v>
      </c>
      <c r="BU89" s="160">
        <f>SUM(BR89:BT89)</f>
        <v>1</v>
      </c>
      <c r="BZ89" s="136"/>
    </row>
    <row r="90" spans="1:78" x14ac:dyDescent="0.3">
      <c r="A90" s="136"/>
      <c r="C90" s="459"/>
      <c r="D90" s="155" t="s">
        <v>422</v>
      </c>
      <c r="E90" s="161" t="s">
        <v>41</v>
      </c>
      <c r="F90" s="163" t="s">
        <v>41</v>
      </c>
      <c r="G90" s="162">
        <f>1</f>
        <v>1</v>
      </c>
      <c r="H90" s="160">
        <f>SUM(E90:E90,G90:G90)</f>
        <v>1</v>
      </c>
      <c r="N90" s="63"/>
      <c r="R90" s="459"/>
      <c r="S90" s="155" t="s">
        <v>422</v>
      </c>
      <c r="T90" s="161" t="s">
        <v>41</v>
      </c>
      <c r="U90" s="163" t="s">
        <v>41</v>
      </c>
      <c r="V90" s="162">
        <f>1</f>
        <v>1</v>
      </c>
      <c r="W90" s="160">
        <f>SUM(T90:T90,V90:V90)</f>
        <v>1</v>
      </c>
      <c r="AB90" s="459"/>
      <c r="AC90" s="155" t="s">
        <v>434</v>
      </c>
      <c r="AD90" s="161" t="s">
        <v>41</v>
      </c>
      <c r="AE90" s="163" t="s">
        <v>41</v>
      </c>
      <c r="AF90" s="162">
        <f>1</f>
        <v>1</v>
      </c>
      <c r="AG90" s="160">
        <f>SUM(AD90:AD90,AF90:AF90)</f>
        <v>1</v>
      </c>
      <c r="AL90" s="459"/>
      <c r="AM90" s="155" t="s">
        <v>434</v>
      </c>
      <c r="AN90" s="161" t="s">
        <v>41</v>
      </c>
      <c r="AO90" s="163" t="s">
        <v>41</v>
      </c>
      <c r="AP90" s="162">
        <f>1</f>
        <v>1</v>
      </c>
      <c r="AQ90" s="160">
        <f>SUM(AN90:AN90,AP90:AP90)</f>
        <v>1</v>
      </c>
      <c r="AV90" s="459"/>
      <c r="AW90" s="155" t="s">
        <v>434</v>
      </c>
      <c r="AX90" s="161" t="s">
        <v>41</v>
      </c>
      <c r="AY90" s="163" t="s">
        <v>41</v>
      </c>
      <c r="AZ90" s="162">
        <f>1</f>
        <v>1</v>
      </c>
      <c r="BA90" s="160">
        <f>SUM(AX90:AX90,AZ90:AZ90)</f>
        <v>1</v>
      </c>
      <c r="BF90" s="459"/>
      <c r="BG90" s="155" t="s">
        <v>434</v>
      </c>
      <c r="BH90" s="161" t="s">
        <v>41</v>
      </c>
      <c r="BI90" s="163" t="s">
        <v>41</v>
      </c>
      <c r="BJ90" s="162">
        <f>1</f>
        <v>1</v>
      </c>
      <c r="BK90" s="160">
        <f>SUM(BH90:BH90,BJ90:BJ90)</f>
        <v>1</v>
      </c>
      <c r="BP90" s="459"/>
      <c r="BQ90" s="155" t="s">
        <v>434</v>
      </c>
      <c r="BR90" s="161" t="s">
        <v>41</v>
      </c>
      <c r="BS90" s="163" t="s">
        <v>41</v>
      </c>
      <c r="BT90" s="162">
        <f>1</f>
        <v>1</v>
      </c>
      <c r="BU90" s="160">
        <f>SUM(BR90:BR90,BT90:BT90)</f>
        <v>1</v>
      </c>
      <c r="BZ90" s="136"/>
    </row>
    <row r="91" spans="1:78" x14ac:dyDescent="0.3">
      <c r="A91" s="136"/>
      <c r="BZ91" s="136"/>
    </row>
    <row r="92" spans="1:78" ht="15" customHeight="1" x14ac:dyDescent="0.3">
      <c r="A92" s="136"/>
      <c r="G92" s="137"/>
      <c r="H92" s="456" t="s">
        <v>425</v>
      </c>
      <c r="I92" s="456"/>
      <c r="L92" s="460" t="s">
        <v>427</v>
      </c>
      <c r="M92" s="461"/>
      <c r="N92" s="461"/>
      <c r="V92" s="137"/>
      <c r="W92" s="456" t="s">
        <v>425</v>
      </c>
      <c r="X92" s="456"/>
      <c r="AF92" s="137"/>
      <c r="AG92" s="456" t="s">
        <v>425</v>
      </c>
      <c r="AH92" s="456"/>
      <c r="AP92" s="137"/>
      <c r="AQ92" s="456" t="s">
        <v>425</v>
      </c>
      <c r="AR92" s="456"/>
      <c r="AZ92" s="137"/>
      <c r="BA92" s="456" t="s">
        <v>425</v>
      </c>
      <c r="BB92" s="456"/>
      <c r="BJ92" s="137"/>
      <c r="BK92" s="456" t="s">
        <v>425</v>
      </c>
      <c r="BL92" s="456"/>
      <c r="BT92" s="137"/>
      <c r="BU92" s="456" t="s">
        <v>425</v>
      </c>
      <c r="BV92" s="456"/>
      <c r="BZ92" s="136"/>
    </row>
    <row r="93" spans="1:78" x14ac:dyDescent="0.3">
      <c r="A93" s="136"/>
      <c r="C93" s="138" t="s">
        <v>424</v>
      </c>
      <c r="D93" s="138" t="str">
        <f>E87</f>
        <v xml:space="preserve"> (1) Healthy</v>
      </c>
      <c r="E93" s="138" t="str">
        <f t="shared" ref="E93:F93" si="67">F87</f>
        <v xml:space="preserve"> (2) NA</v>
      </c>
      <c r="F93" s="138" t="str">
        <f t="shared" si="67"/>
        <v xml:space="preserve"> (3) Death</v>
      </c>
      <c r="G93" s="138" t="s">
        <v>42</v>
      </c>
      <c r="H93" s="139" t="s">
        <v>426</v>
      </c>
      <c r="I93" s="139" t="s">
        <v>43</v>
      </c>
      <c r="L93" s="164" t="s">
        <v>424</v>
      </c>
      <c r="M93" s="140" t="s">
        <v>44</v>
      </c>
      <c r="N93" s="140" t="s">
        <v>45</v>
      </c>
      <c r="R93" s="138" t="s">
        <v>424</v>
      </c>
      <c r="S93" s="138" t="str">
        <f>T87</f>
        <v xml:space="preserve"> (1) DCIS</v>
      </c>
      <c r="T93" s="138" t="str">
        <f t="shared" ref="T93:U93" si="68">U87</f>
        <v xml:space="preserve"> (2) NA</v>
      </c>
      <c r="U93" s="138" t="str">
        <f t="shared" si="68"/>
        <v xml:space="preserve"> (3) Death</v>
      </c>
      <c r="V93" s="138" t="s">
        <v>42</v>
      </c>
      <c r="W93" s="139" t="s">
        <v>426</v>
      </c>
      <c r="X93" s="139" t="s">
        <v>43</v>
      </c>
      <c r="AB93" s="138" t="s">
        <v>424</v>
      </c>
      <c r="AC93" s="138" t="str">
        <f>AD87</f>
        <v>(1) Local/regional</v>
      </c>
      <c r="AD93" s="138" t="str">
        <f t="shared" ref="AD93" si="69">AE87</f>
        <v>(2) Distant metastasis</v>
      </c>
      <c r="AE93" s="138" t="str">
        <f t="shared" ref="AE93" si="70">AF87</f>
        <v>(3) Death</v>
      </c>
      <c r="AF93" s="138" t="s">
        <v>42</v>
      </c>
      <c r="AG93" s="139" t="s">
        <v>435</v>
      </c>
      <c r="AH93" s="139" t="s">
        <v>43</v>
      </c>
      <c r="AL93" s="138" t="s">
        <v>424</v>
      </c>
      <c r="AM93" s="138" t="str">
        <f>AN87</f>
        <v>(1) Local/regional</v>
      </c>
      <c r="AN93" s="138" t="str">
        <f t="shared" ref="AN93" si="71">AO87</f>
        <v>(2) Distant metastasis</v>
      </c>
      <c r="AO93" s="138" t="str">
        <f t="shared" ref="AO93" si="72">AP87</f>
        <v>(3) Death</v>
      </c>
      <c r="AP93" s="138" t="s">
        <v>42</v>
      </c>
      <c r="AQ93" s="139" t="s">
        <v>435</v>
      </c>
      <c r="AR93" s="139" t="s">
        <v>43</v>
      </c>
      <c r="AV93" s="138" t="s">
        <v>424</v>
      </c>
      <c r="AW93" s="138" t="str">
        <f>AX87</f>
        <v>(1) Local/regional</v>
      </c>
      <c r="AX93" s="138" t="str">
        <f t="shared" ref="AX93" si="73">AY87</f>
        <v>(2) Distant metastasis</v>
      </c>
      <c r="AY93" s="138" t="str">
        <f t="shared" ref="AY93" si="74">AZ87</f>
        <v>(3) Death</v>
      </c>
      <c r="AZ93" s="138" t="s">
        <v>42</v>
      </c>
      <c r="BA93" s="139" t="s">
        <v>435</v>
      </c>
      <c r="BB93" s="139" t="s">
        <v>43</v>
      </c>
      <c r="BF93" s="138" t="s">
        <v>424</v>
      </c>
      <c r="BG93" s="138" t="str">
        <f>BH87</f>
        <v>(1) Local/regional</v>
      </c>
      <c r="BH93" s="138" t="str">
        <f t="shared" ref="BH93" si="75">BI87</f>
        <v>(2) Distant metastasis</v>
      </c>
      <c r="BI93" s="138" t="str">
        <f t="shared" ref="BI93" si="76">BJ87</f>
        <v>(3) Death</v>
      </c>
      <c r="BJ93" s="138" t="s">
        <v>42</v>
      </c>
      <c r="BK93" s="139" t="s">
        <v>435</v>
      </c>
      <c r="BL93" s="139" t="s">
        <v>43</v>
      </c>
      <c r="BP93" s="138" t="s">
        <v>424</v>
      </c>
      <c r="BQ93" s="138" t="str">
        <f>BR87</f>
        <v>(1) Local/regional</v>
      </c>
      <c r="BR93" s="138" t="str">
        <f t="shared" ref="BR93" si="77">BS87</f>
        <v>(2) Distant metastasis</v>
      </c>
      <c r="BS93" s="138" t="str">
        <f t="shared" ref="BS93" si="78">BT87</f>
        <v>(3) Death</v>
      </c>
      <c r="BT93" s="138" t="s">
        <v>42</v>
      </c>
      <c r="BU93" s="139" t="s">
        <v>435</v>
      </c>
      <c r="BV93" s="139" t="s">
        <v>43</v>
      </c>
      <c r="BZ93" s="136"/>
    </row>
    <row r="94" spans="1:78" x14ac:dyDescent="0.3">
      <c r="A94" s="136"/>
      <c r="B94">
        <f>IF(C94&lt;=Presentation!$F$34,1,0)</f>
        <v>1</v>
      </c>
      <c r="C94" s="141">
        <v>0</v>
      </c>
      <c r="D94" s="142">
        <v>1</v>
      </c>
      <c r="E94" s="143"/>
      <c r="F94" s="143">
        <v>0</v>
      </c>
      <c r="G94" s="144" t="str">
        <f>IF(SUM(D94:F94)=$D$12,"ok",IF(SUM(D94:F94)=0,"ok","checar"))</f>
        <v>ok</v>
      </c>
      <c r="H94" s="145">
        <f t="shared" ref="H94:H125" si="79">(SUM(D94:E94)*H130)</f>
        <v>1</v>
      </c>
      <c r="I94" s="145">
        <f>Model!N26*u_FP+Model!N30*u_FP+Model!N43*u_FP+Model!N53*u_VN</f>
        <v>0.88531150580981066</v>
      </c>
      <c r="L94" s="80">
        <v>0</v>
      </c>
      <c r="M94" s="145">
        <f>1-N94</f>
        <v>0.99855195004753228</v>
      </c>
      <c r="N94" s="145">
        <f>INDEX('Table of Life'!$E$8:$E$108,MATCH(MIN(idade_entrada+Markov!C94,100),'Table of Life'!$D$8:$D$108))</f>
        <v>1.4480499524677749E-3</v>
      </c>
      <c r="Q94">
        <f>IF(R94&lt;=Presentation!$F$34,1,0)</f>
        <v>1</v>
      </c>
      <c r="R94" s="141">
        <v>0</v>
      </c>
      <c r="S94" s="142">
        <v>1</v>
      </c>
      <c r="T94" s="143"/>
      <c r="U94" s="143">
        <v>0</v>
      </c>
      <c r="V94" s="144" t="str">
        <f>IF(SUM(S94:U94)=$D$12,"ok",IF(SUM(S94:U94)=0,"ok","checar"))</f>
        <v>ok</v>
      </c>
      <c r="W94" s="145">
        <f t="shared" ref="W94:W125" si="80">(SUM(S94:T94)*W130)</f>
        <v>1</v>
      </c>
      <c r="X94" s="145">
        <f t="shared" ref="X94:X125" si="81">W94*u_DCIS</f>
        <v>0.81</v>
      </c>
      <c r="AA94">
        <f>IF(AB94&lt;=Presentation!$F$34,1,0)</f>
        <v>1</v>
      </c>
      <c r="AB94" s="141">
        <v>0</v>
      </c>
      <c r="AC94" s="142">
        <v>1</v>
      </c>
      <c r="AD94" s="143"/>
      <c r="AE94" s="143">
        <v>0</v>
      </c>
      <c r="AF94" s="144" t="str">
        <f>IF(SUM(AC94:AE94)=$D$12,"ok",IF(SUM(AC94:AE94)=0,"ok","checar"))</f>
        <v>ok</v>
      </c>
      <c r="AG94" s="145">
        <f t="shared" ref="AG94:AG125" si="82">(SUM(AC94:AD94)*AG130)</f>
        <v>1</v>
      </c>
      <c r="AH94" s="145">
        <f t="shared" ref="AH94:AH125" si="83">AG94*u_cancer_interv</f>
        <v>0.8</v>
      </c>
      <c r="AK94">
        <f>IF(AL94&lt;=Presentation!$F$34,1,0)</f>
        <v>1</v>
      </c>
      <c r="AL94" s="141">
        <v>0</v>
      </c>
      <c r="AM94" s="142">
        <v>1</v>
      </c>
      <c r="AN94" s="143">
        <v>0</v>
      </c>
      <c r="AO94" s="143">
        <v>0</v>
      </c>
      <c r="AP94" s="144" t="str">
        <f>IF(SUM(AM94:AO94)=$D$12,"ok",IF(SUM(AM94:AO94)=0,"ok","checar"))</f>
        <v>ok</v>
      </c>
      <c r="AQ94" s="145">
        <f t="shared" ref="AQ94:AQ125" si="84">(SUM(AM94:AN94)*AQ130)</f>
        <v>1</v>
      </c>
      <c r="AR94" s="145">
        <f t="shared" ref="AR94:AR125" si="85">AM94*u_TNM1*AQ130+AN94*u_TNM4*AQ130</f>
        <v>0.81</v>
      </c>
      <c r="AU94">
        <f>IF(AV94&lt;=Presentation!$F$34,1,0)</f>
        <v>1</v>
      </c>
      <c r="AV94" s="141">
        <v>0</v>
      </c>
      <c r="AW94" s="142">
        <v>1</v>
      </c>
      <c r="AX94" s="143">
        <v>0</v>
      </c>
      <c r="AY94" s="143">
        <v>0</v>
      </c>
      <c r="AZ94" s="144" t="str">
        <f>IF(SUM(AW94:AY94)=$D$12,"ok",IF(SUM(AW94:AY94)=0,"ok","checar"))</f>
        <v>ok</v>
      </c>
      <c r="BA94" s="145">
        <f t="shared" ref="BA94:BA125" si="86">(SUM(AW94:AX94)*BA130)</f>
        <v>1</v>
      </c>
      <c r="BB94" s="145">
        <f t="shared" ref="BB94:BB125" si="87">AW94*u_TNM2*BA130+AX94*u_TNM4*BA130</f>
        <v>0.81</v>
      </c>
      <c r="BE94">
        <f>IF(BF94&lt;=Presentation!$F$34,1,0)</f>
        <v>1</v>
      </c>
      <c r="BF94" s="141">
        <v>0</v>
      </c>
      <c r="BG94" s="142">
        <v>1</v>
      </c>
      <c r="BH94" s="143">
        <v>0</v>
      </c>
      <c r="BI94" s="143">
        <v>0</v>
      </c>
      <c r="BJ94" s="144" t="str">
        <f>IF(SUM(BG94:BI94)=$D$12,"ok",IF(SUM(BG94:BI94)=0,"ok","checar"))</f>
        <v>ok</v>
      </c>
      <c r="BK94" s="145">
        <f t="shared" ref="BK94:BK125" si="88">(SUM(BG94:BH94)*BK130)</f>
        <v>1</v>
      </c>
      <c r="BL94" s="145">
        <f t="shared" ref="BL94:BL125" si="89">BG94*u_TNM3*BK130+BH94*u_TNM4*BK130</f>
        <v>0.81</v>
      </c>
      <c r="BO94">
        <f>IF(BP94&lt;=Presentation!$F$34,1,0)</f>
        <v>1</v>
      </c>
      <c r="BP94" s="141">
        <v>0</v>
      </c>
      <c r="BQ94" s="144"/>
      <c r="BR94" s="142">
        <v>1</v>
      </c>
      <c r="BS94" s="143">
        <v>0</v>
      </c>
      <c r="BT94" s="144" t="str">
        <f>IF(SUM(BQ94:BS94)=$D$12,"ok",IF(SUM(BQ94:BS94)=0,"ok","checar"))</f>
        <v>ok</v>
      </c>
      <c r="BU94" s="145">
        <f t="shared" ref="BU94:BU125" si="90">(SUM(BQ94:BR94)*BU130)</f>
        <v>1</v>
      </c>
      <c r="BV94" s="145">
        <f t="shared" ref="BV94:BV125" si="91">BU94*u_TNM4</f>
        <v>0.77</v>
      </c>
      <c r="BZ94" s="136"/>
    </row>
    <row r="95" spans="1:78" x14ac:dyDescent="0.3">
      <c r="A95" s="136"/>
      <c r="B95">
        <f>IF(C95&lt;=Presentation!$F$34,1,0)</f>
        <v>1</v>
      </c>
      <c r="C95" s="146">
        <v>1</v>
      </c>
      <c r="D95" s="144">
        <f>(D94*M94)*B95</f>
        <v>0.99855195004753228</v>
      </c>
      <c r="E95" s="144"/>
      <c r="F95" s="144">
        <f>(D94*N94+F94)*B95</f>
        <v>1.4480499524677749E-3</v>
      </c>
      <c r="G95" s="144" t="str">
        <f t="shared" ref="G95" si="92">IF(SUM(D95:F95)=$D$12,"ok",IF(SUM(D95:F95)=0,"ok","checar"))</f>
        <v>ok</v>
      </c>
      <c r="H95" s="145">
        <f t="shared" si="79"/>
        <v>0.99855195004753228</v>
      </c>
      <c r="I95" s="145">
        <f t="shared" ref="I95:I125" si="93">H95*u_sem_CM</f>
        <v>0.82879811853945173</v>
      </c>
      <c r="L95" s="80">
        <v>1</v>
      </c>
      <c r="M95" s="145">
        <f t="shared" ref="M95:M125" si="94">1-N95</f>
        <v>0.99842560178893647</v>
      </c>
      <c r="N95" s="145">
        <f>INDEX('Table of Life'!$E$8:$E$108,MATCH(MIN(idade_entrada+Markov!C95,100),'Table of Life'!$D$8:$D$108))</f>
        <v>1.5743982110635445E-3</v>
      </c>
      <c r="Q95">
        <f>IF(R95&lt;=Presentation!$F$34,1,0)</f>
        <v>1</v>
      </c>
      <c r="R95" s="146">
        <v>1</v>
      </c>
      <c r="S95" s="144">
        <f>(S94*$T$6)*Q95</f>
        <v>0.99421678752843079</v>
      </c>
      <c r="T95" s="144"/>
      <c r="U95" s="144">
        <f>(S94*$V$6+U94)*Q95</f>
        <v>5.7832124715692101E-3</v>
      </c>
      <c r="V95" s="144" t="str">
        <f t="shared" ref="V95" si="95">IF(SUM(S95:U95)=$D$12,"ok",IF(SUM(S95:U95)=0,"ok","checar"))</f>
        <v>ok</v>
      </c>
      <c r="W95" s="145">
        <f t="shared" si="80"/>
        <v>0.99421678752843079</v>
      </c>
      <c r="X95" s="145">
        <f t="shared" si="81"/>
        <v>0.80531559789802898</v>
      </c>
      <c r="AA95">
        <f>IF(AB95&lt;=Presentation!$F$34,1,0)</f>
        <v>1</v>
      </c>
      <c r="AB95" s="146">
        <v>1</v>
      </c>
      <c r="AC95" s="144">
        <f t="shared" ref="AC95:AC125" si="96">(AC94*$AD$6)*AA95</f>
        <v>0.9826522356650732</v>
      </c>
      <c r="AD95" s="144"/>
      <c r="AE95" s="144">
        <f t="shared" ref="AE95:AE125" si="97">(AC94*$AF$6+AE94)*AA95</f>
        <v>1.7347764334926796E-2</v>
      </c>
      <c r="AF95" s="144" t="str">
        <f t="shared" ref="AF95" si="98">IF(SUM(AC95:AE95)=$D$12,"ok",IF(SUM(AC95:AE95)=0,"ok","checar"))</f>
        <v>ok</v>
      </c>
      <c r="AG95" s="145">
        <f t="shared" si="82"/>
        <v>0.9826522356650732</v>
      </c>
      <c r="AH95" s="145">
        <f t="shared" si="83"/>
        <v>0.78612178853205861</v>
      </c>
      <c r="AK95">
        <f>IF(AL95&lt;=Presentation!$F$34,1,0)</f>
        <v>1</v>
      </c>
      <c r="AL95" s="146">
        <v>1</v>
      </c>
      <c r="AM95" s="144">
        <f>(AM94*$AN$6)*AK95</f>
        <v>0.99737837707256971</v>
      </c>
      <c r="AN95" s="144">
        <f>(AM94*$AO$6+AN94*$AO$7)*AK95</f>
        <v>2.5000000000000001E-5</v>
      </c>
      <c r="AO95" s="144">
        <f>(AM94*$AP$6+AN94*$AP$7+AO94)*AK95</f>
        <v>2.5966229274302366E-3</v>
      </c>
      <c r="AP95" s="144" t="str">
        <f t="shared" ref="AP95" si="99">IF(SUM(AM95:AO95)=$D$12,"ok",IF(SUM(AM95:AO95)=0,"ok","checar"))</f>
        <v>ok</v>
      </c>
      <c r="AQ95" s="145">
        <f t="shared" si="84"/>
        <v>0.99740337707256976</v>
      </c>
      <c r="AR95" s="145">
        <f t="shared" si="85"/>
        <v>0.80789573542878157</v>
      </c>
      <c r="AU95">
        <f>IF(AV95&lt;=Presentation!$F$34,1,0)</f>
        <v>1</v>
      </c>
      <c r="AV95" s="146">
        <v>1</v>
      </c>
      <c r="AW95" s="144">
        <f>(AW94*$AX$6)*AU95</f>
        <v>0.88168938032248245</v>
      </c>
      <c r="AX95" s="144">
        <f>(AW94*$AY$6+AX94*$AY$7)*AU95</f>
        <v>0.105</v>
      </c>
      <c r="AY95" s="144">
        <f>(AW94*$AZ$6+AX94*$AZ$7+AY94)*AU95</f>
        <v>1.3310619677517566E-2</v>
      </c>
      <c r="AZ95" s="144" t="str">
        <f t="shared" ref="AZ95" si="100">IF(SUM(AW95:AY95)=$D$12,"ok",IF(SUM(AW95:AY95)=0,"ok","checar"))</f>
        <v>ok</v>
      </c>
      <c r="BA95" s="145">
        <f t="shared" si="86"/>
        <v>0.98668938032248243</v>
      </c>
      <c r="BB95" s="145">
        <f t="shared" si="87"/>
        <v>0.79501839806121077</v>
      </c>
      <c r="BE95">
        <f>IF(BF95&lt;=Presentation!$F$34,1,0)</f>
        <v>1</v>
      </c>
      <c r="BF95" s="146">
        <v>1</v>
      </c>
      <c r="BG95" s="144">
        <f>(BG94*$BH$6)*BE95</f>
        <v>0.86777739994940994</v>
      </c>
      <c r="BH95" s="144">
        <f>(BG94*$BI$6+BH94*$BI$7)*BE95</f>
        <v>0.105</v>
      </c>
      <c r="BI95" s="144">
        <f>(BG94*$BJ$6+BH94*$BJ$7+BI94)*BE95</f>
        <v>2.7222600050590073E-2</v>
      </c>
      <c r="BJ95" s="144" t="str">
        <f t="shared" ref="BJ95" si="101">IF(SUM(BG95:BI95)=$D$12,"ok",IF(SUM(BG95:BI95)=0,"ok","checar"))</f>
        <v>ok</v>
      </c>
      <c r="BK95" s="145">
        <f t="shared" si="88"/>
        <v>0.97277739994940993</v>
      </c>
      <c r="BL95" s="145">
        <f t="shared" si="89"/>
        <v>0.78374969395902205</v>
      </c>
      <c r="BO95">
        <f>IF(BP95&lt;=Presentation!$F$34,1,0)</f>
        <v>1</v>
      </c>
      <c r="BP95" s="146">
        <v>1</v>
      </c>
      <c r="BQ95" s="144"/>
      <c r="BR95" s="144">
        <f>(BR94*$BS$7)*BO95</f>
        <v>0.88834064527977719</v>
      </c>
      <c r="BS95" s="144">
        <f>(BR94*$BT$7+BS94)*BO95</f>
        <v>0.11165935472022281</v>
      </c>
      <c r="BT95" s="144" t="str">
        <f t="shared" ref="BT95" si="102">IF(SUM(BQ95:BS95)=$D$12,"ok",IF(SUM(BQ95:BS95)=0,"ok","checar"))</f>
        <v>ok</v>
      </c>
      <c r="BU95" s="145">
        <f t="shared" si="90"/>
        <v>0.88834064527977719</v>
      </c>
      <c r="BV95" s="145">
        <f t="shared" si="91"/>
        <v>0.68402229686542848</v>
      </c>
      <c r="BZ95" s="136"/>
    </row>
    <row r="96" spans="1:78" x14ac:dyDescent="0.3">
      <c r="A96" s="136"/>
      <c r="B96">
        <f>IF(C96&lt;=Presentation!$F$34,1,0)</f>
        <v>1</v>
      </c>
      <c r="C96" s="146">
        <v>2</v>
      </c>
      <c r="D96" s="144">
        <f t="shared" ref="D96:D125" si="103">(D95*M95)*B96</f>
        <v>0.99697983164372339</v>
      </c>
      <c r="E96" s="144"/>
      <c r="F96" s="144">
        <f t="shared" ref="F96:F125" si="104">(D95*N95+F95)*B96</f>
        <v>3.0201683562766238E-3</v>
      </c>
      <c r="G96" s="144" t="str">
        <f>IF(SUM(D96:F96)=$D$12,"ok",IF(SUM(D96:F96)=0,"ok","checar"))</f>
        <v>ok</v>
      </c>
      <c r="H96" s="145">
        <f t="shared" si="79"/>
        <v>0.9495046015654508</v>
      </c>
      <c r="I96" s="145">
        <f t="shared" si="93"/>
        <v>0.78808881929932417</v>
      </c>
      <c r="L96" s="80">
        <v>2</v>
      </c>
      <c r="M96" s="145">
        <f t="shared" si="94"/>
        <v>0.99828118084497053</v>
      </c>
      <c r="N96" s="145">
        <f>INDEX('Table of Life'!$E$8:$E$108,MATCH(MIN(idade_entrada+Markov!C96,100),'Table of Life'!$D$8:$D$108))</f>
        <v>1.7188191550294625E-3</v>
      </c>
      <c r="Q96">
        <f>IF(R96&lt;=Presentation!$F$34,1,0)</f>
        <v>1</v>
      </c>
      <c r="R96" s="146">
        <v>2</v>
      </c>
      <c r="S96" s="144">
        <f t="shared" ref="S96:S125" si="105">(S95*$T$6)*Q96</f>
        <v>0.9884670206033529</v>
      </c>
      <c r="T96" s="144"/>
      <c r="U96" s="144">
        <f t="shared" ref="U96:U125" si="106">(S95*$V$6+U95)*Q96</f>
        <v>1.1532979396647106E-2</v>
      </c>
      <c r="V96" s="144" t="str">
        <f>IF(SUM(S96:U96)=$D$12,"ok",IF(SUM(S96:U96)=0,"ok","checar"))</f>
        <v>ok</v>
      </c>
      <c r="W96" s="145">
        <f t="shared" si="80"/>
        <v>0.94139716247938365</v>
      </c>
      <c r="X96" s="145">
        <f t="shared" si="81"/>
        <v>0.76253170160830086</v>
      </c>
      <c r="AA96">
        <f>IF(AB96&lt;=Presentation!$F$34,1,0)</f>
        <v>1</v>
      </c>
      <c r="AB96" s="146">
        <v>2</v>
      </c>
      <c r="AC96" s="144">
        <f t="shared" si="96"/>
        <v>0.96560541625756657</v>
      </c>
      <c r="AD96" s="144"/>
      <c r="AE96" s="144">
        <f t="shared" si="97"/>
        <v>3.4394583742433434E-2</v>
      </c>
      <c r="AF96" s="144" t="str">
        <f>IF(SUM(AC96:AE96)=$D$12,"ok",IF(SUM(AC96:AE96)=0,"ok","checar"))</f>
        <v>ok</v>
      </c>
      <c r="AG96" s="145">
        <f t="shared" si="82"/>
        <v>0.91962420595958716</v>
      </c>
      <c r="AH96" s="145">
        <f t="shared" si="83"/>
        <v>0.73569936476766973</v>
      </c>
      <c r="AK96">
        <f>IF(AL96&lt;=Presentation!$F$34,1,0)</f>
        <v>1</v>
      </c>
      <c r="AL96" s="146">
        <v>2</v>
      </c>
      <c r="AM96" s="144">
        <f t="shared" ref="AM96:AM125" si="107">(AM95*$AN$6)*AK96</f>
        <v>0.99476362705191301</v>
      </c>
      <c r="AN96" s="144">
        <f>(AM95*$AO$6+AN95*$AO$7)*AK96</f>
        <v>4.714297555880868E-5</v>
      </c>
      <c r="AO96" s="144">
        <f t="shared" ref="AO96:AO125" si="108">(AM95*$AP$6+AN95*$AP$7+AO95)*AK96</f>
        <v>5.1892299725280365E-3</v>
      </c>
      <c r="AP96" s="144" t="str">
        <f>IF(SUM(AM96:AO96)=$D$12,"ok",IF(SUM(AM96:AO96)=0,"ok","checar"))</f>
        <v>ok</v>
      </c>
      <c r="AQ96" s="145">
        <f t="shared" si="84"/>
        <v>0.94743882859759221</v>
      </c>
      <c r="AR96" s="145">
        <f t="shared" si="85"/>
        <v>0.76742365524117118</v>
      </c>
      <c r="AU96">
        <f>IF(AV96&lt;=Presentation!$F$34,1,0)</f>
        <v>1</v>
      </c>
      <c r="AV96" s="146">
        <v>2</v>
      </c>
      <c r="AW96" s="144">
        <f t="shared" ref="AW96:AW125" si="109">(AW95*$AX$6)*AU96</f>
        <v>0.77737616337344306</v>
      </c>
      <c r="AX96" s="144">
        <f t="shared" ref="AX96:AX125" si="110">(AW95*$AY$6+AX95*$AY$7)*AU96</f>
        <v>0.18585315268823727</v>
      </c>
      <c r="AY96" s="144">
        <f t="shared" ref="AY96:AY125" si="111">(AW95*$AZ$6+AX95*$AZ$7+AY95)*AU96</f>
        <v>3.6770683938319663E-2</v>
      </c>
      <c r="AZ96" s="144" t="str">
        <f>IF(SUM(AW96:AY96)=$D$12,"ok",IF(SUM(AW96:AY96)=0,"ok","checar"))</f>
        <v>ok</v>
      </c>
      <c r="BA96" s="145">
        <f t="shared" si="86"/>
        <v>0.91736125339207641</v>
      </c>
      <c r="BB96" s="145">
        <f t="shared" si="87"/>
        <v>0.735982495145173</v>
      </c>
      <c r="BE96">
        <f>IF(BF96&lt;=Presentation!$F$34,1,0)</f>
        <v>1</v>
      </c>
      <c r="BF96" s="146">
        <v>2</v>
      </c>
      <c r="BG96" s="144">
        <f t="shared" ref="BG96:BG125" si="112">(BG95*$BH$6)*BE96</f>
        <v>0.75303761586295814</v>
      </c>
      <c r="BH96" s="144">
        <f t="shared" ref="BH96:BH125" si="113">(BG95*$BI$6+BH95*$BI$7)*BE96</f>
        <v>0.18439239474906466</v>
      </c>
      <c r="BI96" s="144">
        <f t="shared" ref="BI96:BI125" si="114">(BG95*$BJ$6+BH95*$BJ$7+BI95)*BE96</f>
        <v>6.2569989387977198E-2</v>
      </c>
      <c r="BJ96" s="144" t="str">
        <f>IF(SUM(BG96:BI96)=$D$12,"ok",IF(SUM(BG96:BI96)=0,"ok","checar"))</f>
        <v>ok</v>
      </c>
      <c r="BK96" s="145">
        <f t="shared" si="88"/>
        <v>0.89279048629716451</v>
      </c>
      <c r="BL96" s="145">
        <f t="shared" si="89"/>
        <v>0.71613582171978662</v>
      </c>
      <c r="BO96">
        <f>IF(BP96&lt;=Presentation!$F$34,1,0)</f>
        <v>1</v>
      </c>
      <c r="BP96" s="146">
        <v>2</v>
      </c>
      <c r="BQ96" s="144"/>
      <c r="BR96" s="144">
        <f t="shared" ref="BR96:BR125" si="115">(BR95*$BS$7)*BO96</f>
        <v>0.7891491020560909</v>
      </c>
      <c r="BS96" s="144">
        <f t="shared" ref="BS96:BS125" si="116">(BR95*$BT$7+BS95)*BO96</f>
        <v>0.2108508979439091</v>
      </c>
      <c r="BT96" s="144" t="str">
        <f>IF(SUM(BQ96:BS96)=$D$12,"ok",IF(SUM(BQ96:BS96)=0,"ok","checar"))</f>
        <v>ok</v>
      </c>
      <c r="BU96" s="145">
        <f t="shared" si="90"/>
        <v>0.75157057338675315</v>
      </c>
      <c r="BV96" s="145">
        <f t="shared" si="91"/>
        <v>0.57870934150779996</v>
      </c>
      <c r="BZ96" s="136"/>
    </row>
    <row r="97" spans="1:78" x14ac:dyDescent="0.3">
      <c r="A97" s="136"/>
      <c r="B97">
        <f>IF(C97&lt;=Presentation!$F$34,1,0)</f>
        <v>1</v>
      </c>
      <c r="C97" s="146">
        <v>3</v>
      </c>
      <c r="D97" s="144">
        <f t="shared" si="103"/>
        <v>0.99526620361191609</v>
      </c>
      <c r="E97" s="144"/>
      <c r="F97" s="144">
        <f t="shared" si="104"/>
        <v>4.7337963880839037E-3</v>
      </c>
      <c r="G97" s="144" t="str">
        <f t="shared" ref="G97:G125" si="117">IF(SUM(D97:F97)=$D$12,"ok",IF(SUM(D97:F97)=0,"ok","checar"))</f>
        <v>ok</v>
      </c>
      <c r="H97" s="145">
        <f t="shared" si="79"/>
        <v>0.90273578558903944</v>
      </c>
      <c r="I97" s="145">
        <f t="shared" si="93"/>
        <v>0.74927070203890267</v>
      </c>
      <c r="L97" s="80">
        <v>3</v>
      </c>
      <c r="M97" s="145">
        <f t="shared" si="94"/>
        <v>0.99811619657432948</v>
      </c>
      <c r="N97" s="145">
        <f>INDEX('Table of Life'!$E$8:$E$108,MATCH(MIN(idade_entrada+Markov!C97,100),'Table of Life'!$D$8:$D$108))</f>
        <v>1.8838034256705579E-3</v>
      </c>
      <c r="Q97">
        <f>IF(R97&lt;=Presentation!$F$34,1,0)</f>
        <v>1</v>
      </c>
      <c r="R97" s="146">
        <v>3</v>
      </c>
      <c r="S97" s="144">
        <f t="shared" si="105"/>
        <v>0.98275050580206469</v>
      </c>
      <c r="T97" s="144"/>
      <c r="U97" s="144">
        <f t="shared" si="106"/>
        <v>1.7249494197935276E-2</v>
      </c>
      <c r="V97" s="144" t="str">
        <f t="shared" ref="V97:V125" si="118">IF(SUM(S97:U97)=$D$12,"ok",IF(SUM(S97:U97)=0,"ok","checar"))</f>
        <v>ok</v>
      </c>
      <c r="W97" s="145">
        <f t="shared" si="80"/>
        <v>0.89138367873203139</v>
      </c>
      <c r="X97" s="145">
        <f t="shared" si="81"/>
        <v>0.72202077977294543</v>
      </c>
      <c r="AA97">
        <f>IF(AB97&lt;=Presentation!$F$34,1,0)</f>
        <v>1</v>
      </c>
      <c r="AB97" s="146">
        <v>3</v>
      </c>
      <c r="AC97" s="144">
        <f t="shared" si="96"/>
        <v>0.94885432105580136</v>
      </c>
      <c r="AD97" s="144"/>
      <c r="AE97" s="144">
        <f t="shared" si="97"/>
        <v>5.1145678944198594E-2</v>
      </c>
      <c r="AF97" s="144" t="str">
        <f t="shared" ref="AF97:AF125" si="119">IF(SUM(AC97:AE97)=$D$12,"ok",IF(SUM(AC97:AE97)=0,"ok","checar"))</f>
        <v>ok</v>
      </c>
      <c r="AG97" s="145">
        <f t="shared" si="82"/>
        <v>0.86063883995991042</v>
      </c>
      <c r="AH97" s="145">
        <f t="shared" si="83"/>
        <v>0.68851107196792838</v>
      </c>
      <c r="AK97">
        <f>IF(AL97&lt;=Presentation!$F$34,1,0)</f>
        <v>1</v>
      </c>
      <c r="AL97" s="146">
        <v>3</v>
      </c>
      <c r="AM97" s="144">
        <f t="shared" si="107"/>
        <v>0.99215573191985995</v>
      </c>
      <c r="AN97" s="144">
        <f t="shared" ref="AN97:AN125" si="120">(AM96*$AO$6+AN96*$AO$7)*AK97</f>
        <v>6.6748112004618693E-5</v>
      </c>
      <c r="AO97" s="144">
        <f t="shared" si="108"/>
        <v>7.7775199681351832E-3</v>
      </c>
      <c r="AP97" s="144" t="str">
        <f t="shared" ref="AP97:AP125" si="121">IF(SUM(AM97:AO97)=$D$12,"ok",IF(SUM(AM97:AO97)=0,"ok","checar"))</f>
        <v>ok</v>
      </c>
      <c r="AQ97" s="145">
        <f t="shared" si="84"/>
        <v>0.89997503857765482</v>
      </c>
      <c r="AR97" s="145">
        <f t="shared" si="85"/>
        <v>0.72897735954769172</v>
      </c>
      <c r="AU97">
        <f>IF(AV97&lt;=Presentation!$F$34,1,0)</f>
        <v>1</v>
      </c>
      <c r="AV97" s="146">
        <v>3</v>
      </c>
      <c r="AW97" s="144">
        <f t="shared" si="109"/>
        <v>0.68540430776219985</v>
      </c>
      <c r="AX97" s="144">
        <f t="shared" si="110"/>
        <v>0.24672540674056118</v>
      </c>
      <c r="AY97" s="144">
        <f t="shared" si="111"/>
        <v>6.7870285497238947E-2</v>
      </c>
      <c r="AZ97" s="144" t="str">
        <f t="shared" ref="AZ97:AZ125" si="122">IF(SUM(AW97:AY97)=$D$12,"ok",IF(SUM(AW97:AY97)=0,"ok","checar"))</f>
        <v>ok</v>
      </c>
      <c r="BA97" s="145">
        <f t="shared" si="86"/>
        <v>0.84546912880069025</v>
      </c>
      <c r="BB97" s="145">
        <f t="shared" si="87"/>
        <v>0.67587850564862939</v>
      </c>
      <c r="BE97">
        <f>IF(BF97&lt;=Presentation!$F$34,1,0)</f>
        <v>1</v>
      </c>
      <c r="BF97" s="146">
        <v>3</v>
      </c>
      <c r="BG97" s="144">
        <f t="shared" si="112"/>
        <v>0.65346902435766041</v>
      </c>
      <c r="BH97" s="144">
        <f t="shared" si="113"/>
        <v>0.24287220860167813</v>
      </c>
      <c r="BI97" s="144">
        <f t="shared" si="114"/>
        <v>0.10365876704066156</v>
      </c>
      <c r="BJ97" s="144" t="str">
        <f t="shared" ref="BJ97:BJ125" si="123">IF(SUM(BG97:BI97)=$D$12,"ok",IF(SUM(BG97:BI97)=0,"ok","checar"))</f>
        <v>ok</v>
      </c>
      <c r="BK97" s="145">
        <f t="shared" si="88"/>
        <v>0.81300792105155417</v>
      </c>
      <c r="BL97" s="145">
        <f t="shared" si="89"/>
        <v>0.64972472594376152</v>
      </c>
      <c r="BO97">
        <f>IF(BP97&lt;=Presentation!$F$34,1,0)</f>
        <v>1</v>
      </c>
      <c r="BP97" s="146">
        <v>3</v>
      </c>
      <c r="BQ97" s="144"/>
      <c r="BR97" s="144">
        <f t="shared" si="115"/>
        <v>0.70103322254246458</v>
      </c>
      <c r="BS97" s="144">
        <f t="shared" si="116"/>
        <v>0.29896677745753547</v>
      </c>
      <c r="BT97" s="144" t="str">
        <f t="shared" ref="BT97:BT125" si="124">IF(SUM(BQ97:BS97)=$D$12,"ok",IF(SUM(BQ97:BS97)=0,"ok","checar"))</f>
        <v>ok</v>
      </c>
      <c r="BU97" s="145">
        <f t="shared" si="90"/>
        <v>0.63585779822445765</v>
      </c>
      <c r="BV97" s="145">
        <f t="shared" si="91"/>
        <v>0.4896105046328324</v>
      </c>
      <c r="BZ97" s="136"/>
    </row>
    <row r="98" spans="1:78" x14ac:dyDescent="0.3">
      <c r="A98" s="136"/>
      <c r="B98">
        <f>IF(C98&lt;=Presentation!$F$34,1,0)</f>
        <v>1</v>
      </c>
      <c r="C98" s="146">
        <v>4</v>
      </c>
      <c r="D98" s="144">
        <f t="shared" si="103"/>
        <v>0.99339131772809786</v>
      </c>
      <c r="E98" s="144"/>
      <c r="F98" s="144">
        <f t="shared" si="104"/>
        <v>6.6086822719021625E-3</v>
      </c>
      <c r="G98" s="144" t="str">
        <f t="shared" si="117"/>
        <v>ok</v>
      </c>
      <c r="H98" s="145">
        <f t="shared" si="79"/>
        <v>0.85812877030825851</v>
      </c>
      <c r="I98" s="145">
        <f t="shared" si="93"/>
        <v>0.71224687935585451</v>
      </c>
      <c r="L98" s="80">
        <v>4</v>
      </c>
      <c r="M98" s="145">
        <f t="shared" si="94"/>
        <v>0.99793270123849664</v>
      </c>
      <c r="N98" s="145">
        <f>INDEX('Table of Life'!$E$8:$E$108,MATCH(MIN(idade_entrada+Markov!C98,100),'Table of Life'!$D$8:$D$108))</f>
        <v>2.067298761503333E-3</v>
      </c>
      <c r="Q98">
        <f>IF(R98&lt;=Presentation!$F$34,1,0)</f>
        <v>1</v>
      </c>
      <c r="R98" s="146">
        <v>4</v>
      </c>
      <c r="S98" s="144">
        <f t="shared" si="105"/>
        <v>0.97706705082046919</v>
      </c>
      <c r="T98" s="144"/>
      <c r="U98" s="144">
        <f t="shared" si="106"/>
        <v>2.2932949179530725E-2</v>
      </c>
      <c r="V98" s="144" t="str">
        <f t="shared" si="118"/>
        <v>ok</v>
      </c>
      <c r="W98" s="145">
        <f t="shared" si="80"/>
        <v>0.84402725478498575</v>
      </c>
      <c r="X98" s="145">
        <f t="shared" si="81"/>
        <v>0.68366207637583853</v>
      </c>
      <c r="AA98">
        <f>IF(AB98&lt;=Presentation!$F$34,1,0)</f>
        <v>1</v>
      </c>
      <c r="AB98" s="146">
        <v>4</v>
      </c>
      <c r="AC98" s="144">
        <f t="shared" si="96"/>
        <v>0.93239381990594838</v>
      </c>
      <c r="AD98" s="144"/>
      <c r="AE98" s="144">
        <f t="shared" si="97"/>
        <v>6.7606180094051602E-2</v>
      </c>
      <c r="AF98" s="144" t="str">
        <f t="shared" si="119"/>
        <v>ok</v>
      </c>
      <c r="AG98" s="145">
        <f t="shared" si="82"/>
        <v>0.80543683827314394</v>
      </c>
      <c r="AH98" s="145">
        <f t="shared" si="83"/>
        <v>0.64434947061851522</v>
      </c>
      <c r="AK98">
        <f>IF(AL98&lt;=Presentation!$F$34,1,0)</f>
        <v>1</v>
      </c>
      <c r="AL98" s="146">
        <v>4</v>
      </c>
      <c r="AM98" s="144">
        <f t="shared" si="107"/>
        <v>0.98955467370547745</v>
      </c>
      <c r="AN98" s="144">
        <f t="shared" si="120"/>
        <v>8.409895418738631E-5</v>
      </c>
      <c r="AO98" s="144">
        <f t="shared" si="108"/>
        <v>1.0361227340334848E-2</v>
      </c>
      <c r="AP98" s="144" t="str">
        <f t="shared" si="121"/>
        <v>ok</v>
      </c>
      <c r="AQ98" s="145">
        <f t="shared" si="84"/>
        <v>0.85488718078796222</v>
      </c>
      <c r="AR98" s="145">
        <f t="shared" si="85"/>
        <v>0.69245571052470434</v>
      </c>
      <c r="AU98">
        <f>IF(AV98&lt;=Presentation!$F$34,1,0)</f>
        <v>1</v>
      </c>
      <c r="AV98" s="146">
        <v>4</v>
      </c>
      <c r="AW98" s="144">
        <f t="shared" si="109"/>
        <v>0.60431369938121404</v>
      </c>
      <c r="AX98" s="144">
        <f t="shared" si="110"/>
        <v>0.29114365934585656</v>
      </c>
      <c r="AY98" s="144">
        <f t="shared" si="111"/>
        <v>0.10454264127292937</v>
      </c>
      <c r="AZ98" s="144" t="str">
        <f t="shared" si="122"/>
        <v>ok</v>
      </c>
      <c r="BA98" s="145">
        <f t="shared" si="86"/>
        <v>0.77352973435013117</v>
      </c>
      <c r="BB98" s="145">
        <f t="shared" si="87"/>
        <v>0.61649905124292659</v>
      </c>
      <c r="BE98">
        <f>IF(BF98&lt;=Presentation!$F$34,1,0)</f>
        <v>1</v>
      </c>
      <c r="BF98" s="146">
        <v>4</v>
      </c>
      <c r="BG98" s="144">
        <f t="shared" si="112"/>
        <v>0.56706565090456817</v>
      </c>
      <c r="BH98" s="144">
        <f t="shared" si="113"/>
        <v>0.28436750206729372</v>
      </c>
      <c r="BI98" s="144">
        <f t="shared" si="114"/>
        <v>0.14856684702813816</v>
      </c>
      <c r="BJ98" s="144" t="str">
        <f t="shared" si="123"/>
        <v>ok</v>
      </c>
      <c r="BK98" s="145">
        <f t="shared" si="88"/>
        <v>0.73549997017329605</v>
      </c>
      <c r="BL98" s="145">
        <f t="shared" si="89"/>
        <v>0.58592908223692164</v>
      </c>
      <c r="BO98">
        <f>IF(BP98&lt;=Presentation!$F$34,1,0)</f>
        <v>1</v>
      </c>
      <c r="BP98" s="146">
        <v>4</v>
      </c>
      <c r="BQ98" s="144"/>
      <c r="BR98" s="144">
        <f t="shared" si="115"/>
        <v>0.62275630527593462</v>
      </c>
      <c r="BS98" s="144">
        <f t="shared" si="116"/>
        <v>0.37724369472406544</v>
      </c>
      <c r="BT98" s="144" t="str">
        <f t="shared" si="124"/>
        <v>ok</v>
      </c>
      <c r="BU98" s="145">
        <f t="shared" si="90"/>
        <v>0.53796031121989818</v>
      </c>
      <c r="BV98" s="145">
        <f t="shared" si="91"/>
        <v>0.41422943963932163</v>
      </c>
      <c r="BZ98" s="136"/>
    </row>
    <row r="99" spans="1:78" x14ac:dyDescent="0.3">
      <c r="A99" s="136"/>
      <c r="B99">
        <f>IF(C99&lt;=Presentation!$F$34,1,0)</f>
        <v>1</v>
      </c>
      <c r="C99" s="146">
        <v>5</v>
      </c>
      <c r="D99" s="144">
        <f t="shared" si="103"/>
        <v>0.99133768108727038</v>
      </c>
      <c r="E99" s="144"/>
      <c r="F99" s="144">
        <f t="shared" si="104"/>
        <v>8.6623189127296232E-3</v>
      </c>
      <c r="G99" s="144" t="str">
        <f t="shared" si="117"/>
        <v>ok</v>
      </c>
      <c r="H99" s="145">
        <f t="shared" si="79"/>
        <v>0.81557596358494278</v>
      </c>
      <c r="I99" s="145">
        <f t="shared" si="93"/>
        <v>0.67692804977550247</v>
      </c>
      <c r="L99" s="80">
        <v>5</v>
      </c>
      <c r="M99" s="145">
        <f t="shared" si="94"/>
        <v>0.99773190033062953</v>
      </c>
      <c r="N99" s="145">
        <f>INDEX('Table of Life'!$E$8:$E$108,MATCH(MIN(idade_entrada+Markov!C99,100),'Table of Life'!$D$8:$D$108))</f>
        <v>2.2680996693704618E-3</v>
      </c>
      <c r="Q99">
        <f>IF(R99&lt;=Presentation!$F$34,1,0)</f>
        <v>1</v>
      </c>
      <c r="R99" s="146">
        <v>5</v>
      </c>
      <c r="S99" s="144">
        <f t="shared" si="105"/>
        <v>0.9714164644666049</v>
      </c>
      <c r="T99" s="144"/>
      <c r="U99" s="144">
        <f t="shared" si="106"/>
        <v>2.8583535533395009E-2</v>
      </c>
      <c r="V99" s="144" t="str">
        <f t="shared" si="118"/>
        <v>ok</v>
      </c>
      <c r="W99" s="145">
        <f t="shared" si="80"/>
        <v>0.79918672937025614</v>
      </c>
      <c r="X99" s="145">
        <f t="shared" si="81"/>
        <v>0.64734125078990756</v>
      </c>
      <c r="AA99">
        <f>IF(AB99&lt;=Presentation!$F$34,1,0)</f>
        <v>1</v>
      </c>
      <c r="AB99" s="146">
        <v>5</v>
      </c>
      <c r="AC99" s="144">
        <f t="shared" si="96"/>
        <v>0.91621887165087779</v>
      </c>
      <c r="AD99" s="144"/>
      <c r="AE99" s="144">
        <f t="shared" si="97"/>
        <v>8.3781128349122172E-2</v>
      </c>
      <c r="AF99" s="144" t="str">
        <f t="shared" si="119"/>
        <v>ok</v>
      </c>
      <c r="AG99" s="145">
        <f t="shared" si="82"/>
        <v>0.75377553315820278</v>
      </c>
      <c r="AH99" s="145">
        <f t="shared" si="83"/>
        <v>0.60302042652656229</v>
      </c>
      <c r="AK99">
        <f>IF(AL99&lt;=Presentation!$F$34,1,0)</f>
        <v>1</v>
      </c>
      <c r="AL99" s="146">
        <v>5</v>
      </c>
      <c r="AM99" s="144">
        <f t="shared" si="107"/>
        <v>0.98696043448494541</v>
      </c>
      <c r="AN99" s="144">
        <f t="shared" si="120"/>
        <v>9.9447386072814111E-5</v>
      </c>
      <c r="AO99" s="144">
        <f t="shared" si="108"/>
        <v>1.2940118128981448E-2</v>
      </c>
      <c r="AP99" s="144" t="str">
        <f t="shared" si="121"/>
        <v>ok</v>
      </c>
      <c r="AQ99" s="145">
        <f t="shared" si="84"/>
        <v>0.81205660758306941</v>
      </c>
      <c r="AR99" s="145">
        <f t="shared" si="85"/>
        <v>0.65776257951786088</v>
      </c>
      <c r="AU99">
        <f>IF(AV99&lt;=Presentation!$F$34,1,0)</f>
        <v>1</v>
      </c>
      <c r="AV99" s="146">
        <v>5</v>
      </c>
      <c r="AW99" s="144">
        <f t="shared" si="109"/>
        <v>0.53281697112780957</v>
      </c>
      <c r="AX99" s="144">
        <f t="shared" si="110"/>
        <v>0.32208768464744131</v>
      </c>
      <c r="AY99" s="144">
        <f t="shared" si="111"/>
        <v>0.1450953442247491</v>
      </c>
      <c r="AZ99" s="144" t="str">
        <f t="shared" si="122"/>
        <v>ok</v>
      </c>
      <c r="BA99" s="145">
        <f t="shared" si="86"/>
        <v>0.70333217601740083</v>
      </c>
      <c r="BB99" s="145">
        <f t="shared" si="87"/>
        <v>0.55909976916371718</v>
      </c>
      <c r="BE99">
        <f>IF(BF99&lt;=Presentation!$F$34,1,0)</f>
        <v>1</v>
      </c>
      <c r="BF99" s="146">
        <v>5</v>
      </c>
      <c r="BG99" s="144">
        <f t="shared" si="112"/>
        <v>0.49208675614258596</v>
      </c>
      <c r="BH99" s="144">
        <f t="shared" si="113"/>
        <v>0.31215710362803772</v>
      </c>
      <c r="BI99" s="144">
        <f t="shared" si="114"/>
        <v>0.1957561402293764</v>
      </c>
      <c r="BJ99" s="144" t="str">
        <f t="shared" si="123"/>
        <v>ok</v>
      </c>
      <c r="BK99" s="145">
        <f t="shared" si="88"/>
        <v>0.66165341376946729</v>
      </c>
      <c r="BL99" s="145">
        <f t="shared" si="89"/>
        <v>0.52566676828612258</v>
      </c>
      <c r="BO99">
        <f>IF(BP99&lt;=Presentation!$F$34,1,0)</f>
        <v>1</v>
      </c>
      <c r="BP99" s="146">
        <v>5</v>
      </c>
      <c r="BQ99" s="144"/>
      <c r="BR99" s="144">
        <f t="shared" si="115"/>
        <v>0.55321973808087366</v>
      </c>
      <c r="BS99" s="144">
        <f t="shared" si="116"/>
        <v>0.4467802619191264</v>
      </c>
      <c r="BT99" s="144" t="str">
        <f t="shared" si="124"/>
        <v>ok</v>
      </c>
      <c r="BU99" s="145">
        <f t="shared" si="90"/>
        <v>0.45513524762285151</v>
      </c>
      <c r="BV99" s="145">
        <f t="shared" si="91"/>
        <v>0.35045414066959568</v>
      </c>
      <c r="BZ99" s="136"/>
    </row>
    <row r="100" spans="1:78" x14ac:dyDescent="0.3">
      <c r="A100" s="136"/>
      <c r="B100">
        <f>IF(C100&lt;=Presentation!$F$34,1,0)</f>
        <v>1</v>
      </c>
      <c r="C100" s="146">
        <v>6</v>
      </c>
      <c r="D100" s="144">
        <f t="shared" si="103"/>
        <v>0.98908922842056191</v>
      </c>
      <c r="E100" s="144"/>
      <c r="F100" s="144">
        <f t="shared" si="104"/>
        <v>1.0910771579438141E-2</v>
      </c>
      <c r="G100" s="144" t="str">
        <f t="shared" si="117"/>
        <v>ok</v>
      </c>
      <c r="H100" s="145">
        <f t="shared" si="79"/>
        <v>0.77497729143960881</v>
      </c>
      <c r="I100" s="145">
        <f t="shared" si="93"/>
        <v>0.64323115189487523</v>
      </c>
      <c r="L100" s="80">
        <v>6</v>
      </c>
      <c r="M100" s="145">
        <f t="shared" si="94"/>
        <v>0.99751913297134398</v>
      </c>
      <c r="N100" s="145">
        <f>INDEX('Table of Life'!$E$8:$E$108,MATCH(MIN(idade_entrada+Markov!C100,100),'Table of Life'!$D$8:$D$108))</f>
        <v>2.4808670286560583E-3</v>
      </c>
      <c r="Q100">
        <f>IF(R100&lt;=Presentation!$F$34,1,0)</f>
        <v>1</v>
      </c>
      <c r="R100" s="146">
        <v>6</v>
      </c>
      <c r="S100" s="144">
        <f t="shared" si="105"/>
        <v>0.96579855665421399</v>
      </c>
      <c r="T100" s="144"/>
      <c r="U100" s="144">
        <f t="shared" si="106"/>
        <v>3.4201443345785947E-2</v>
      </c>
      <c r="V100" s="144" t="str">
        <f t="shared" si="118"/>
        <v>ok</v>
      </c>
      <c r="W100" s="145">
        <f t="shared" si="80"/>
        <v>0.75672844067604705</v>
      </c>
      <c r="X100" s="145">
        <f t="shared" si="81"/>
        <v>0.6129500369475982</v>
      </c>
      <c r="AA100">
        <f>IF(AB100&lt;=Presentation!$F$34,1,0)</f>
        <v>1</v>
      </c>
      <c r="AB100" s="146">
        <v>6</v>
      </c>
      <c r="AC100" s="144">
        <f t="shared" si="96"/>
        <v>0.90032452258626583</v>
      </c>
      <c r="AD100" s="144"/>
      <c r="AE100" s="144">
        <f t="shared" si="97"/>
        <v>9.9675477413734143E-2</v>
      </c>
      <c r="AF100" s="144" t="str">
        <f t="shared" si="119"/>
        <v>ok</v>
      </c>
      <c r="AG100" s="145">
        <f t="shared" si="82"/>
        <v>0.70542782175956231</v>
      </c>
      <c r="AH100" s="145">
        <f t="shared" si="83"/>
        <v>0.56434225740764987</v>
      </c>
      <c r="AK100">
        <f>IF(AL100&lt;=Presentation!$F$34,1,0)</f>
        <v>1</v>
      </c>
      <c r="AL100" s="146">
        <v>6</v>
      </c>
      <c r="AM100" s="144">
        <f t="shared" si="107"/>
        <v>0.98437299638143316</v>
      </c>
      <c r="AN100" s="144">
        <f t="shared" si="120"/>
        <v>1.1301716597743445E-4</v>
      </c>
      <c r="AO100" s="144">
        <f t="shared" si="108"/>
        <v>1.5513986452589067E-2</v>
      </c>
      <c r="AP100" s="144" t="str">
        <f t="shared" si="121"/>
        <v>ok</v>
      </c>
      <c r="AQ100" s="145">
        <f t="shared" si="84"/>
        <v>0.77137055213661798</v>
      </c>
      <c r="AR100" s="145">
        <f t="shared" si="85"/>
        <v>0.62480660515438846</v>
      </c>
      <c r="AU100">
        <f>IF(AV100&lt;=Presentation!$F$34,1,0)</f>
        <v>1</v>
      </c>
      <c r="AV100" s="146">
        <v>6</v>
      </c>
      <c r="AW100" s="144">
        <f t="shared" si="109"/>
        <v>0.46977906509898043</v>
      </c>
      <c r="AX100" s="144">
        <f t="shared" si="110"/>
        <v>0.34206936358479739</v>
      </c>
      <c r="AY100" s="144">
        <f t="shared" si="111"/>
        <v>0.18815157131622212</v>
      </c>
      <c r="AZ100" s="144" t="str">
        <f t="shared" si="122"/>
        <v>ok</v>
      </c>
      <c r="BA100" s="145">
        <f t="shared" si="86"/>
        <v>0.63610448708004252</v>
      </c>
      <c r="BB100" s="145">
        <f t="shared" si="87"/>
        <v>0.50452382265019846</v>
      </c>
      <c r="BE100">
        <f>IF(BF100&lt;=Presentation!$F$34,1,0)</f>
        <v>1</v>
      </c>
      <c r="BF100" s="146">
        <v>6</v>
      </c>
      <c r="BG100" s="144">
        <f t="shared" si="112"/>
        <v>0.4270217657949526</v>
      </c>
      <c r="BH100" s="144">
        <f t="shared" si="113"/>
        <v>0.32897095226056883</v>
      </c>
      <c r="BI100" s="144">
        <f t="shared" si="114"/>
        <v>0.24400728194447868</v>
      </c>
      <c r="BJ100" s="144" t="str">
        <f t="shared" si="123"/>
        <v>ok</v>
      </c>
      <c r="BK100" s="145">
        <f t="shared" si="88"/>
        <v>0.59234007625611329</v>
      </c>
      <c r="BL100" s="145">
        <f t="shared" si="89"/>
        <v>0.46948516780328364</v>
      </c>
      <c r="BO100">
        <f>IF(BP100&lt;=Presentation!$F$34,1,0)</f>
        <v>1</v>
      </c>
      <c r="BP100" s="146">
        <v>6</v>
      </c>
      <c r="BQ100" s="144"/>
      <c r="BR100" s="144">
        <f t="shared" si="115"/>
        <v>0.49144757910827264</v>
      </c>
      <c r="BS100" s="144">
        <f t="shared" si="116"/>
        <v>0.50855242089172747</v>
      </c>
      <c r="BT100" s="144" t="str">
        <f t="shared" si="124"/>
        <v>ok</v>
      </c>
      <c r="BU100" s="145">
        <f t="shared" si="90"/>
        <v>0.38506203767890956</v>
      </c>
      <c r="BV100" s="145">
        <f t="shared" si="91"/>
        <v>0.29649776901276037</v>
      </c>
      <c r="BZ100" s="136"/>
    </row>
    <row r="101" spans="1:78" x14ac:dyDescent="0.3">
      <c r="A101" s="136"/>
      <c r="B101">
        <f>IF(C101&lt;=Presentation!$F$34,1,0)</f>
        <v>1</v>
      </c>
      <c r="C101" s="146">
        <v>7</v>
      </c>
      <c r="D101" s="144">
        <f t="shared" si="103"/>
        <v>0.98663542956537453</v>
      </c>
      <c r="E101" s="144"/>
      <c r="F101" s="144">
        <f t="shared" si="104"/>
        <v>1.3364570434625574E-2</v>
      </c>
      <c r="G101" s="144" t="str">
        <f t="shared" si="117"/>
        <v>ok</v>
      </c>
      <c r="H101" s="145">
        <f t="shared" si="79"/>
        <v>0.73624254840887537</v>
      </c>
      <c r="I101" s="145">
        <f t="shared" si="93"/>
        <v>0.61108131517936648</v>
      </c>
      <c r="L101" s="80">
        <v>7</v>
      </c>
      <c r="M101" s="145">
        <f t="shared" si="94"/>
        <v>0.99729927236080307</v>
      </c>
      <c r="N101" s="145">
        <f>INDEX('Table of Life'!$E$8:$E$108,MATCH(MIN(idade_entrada+Markov!C101,100),'Table of Life'!$D$8:$D$108))</f>
        <v>2.7007276391968903E-3</v>
      </c>
      <c r="Q101">
        <f>IF(R101&lt;=Presentation!$F$34,1,0)</f>
        <v>1</v>
      </c>
      <c r="R101" s="146">
        <v>7</v>
      </c>
      <c r="S101" s="144">
        <f t="shared" si="105"/>
        <v>0.96021313839634781</v>
      </c>
      <c r="T101" s="144"/>
      <c r="U101" s="144">
        <f t="shared" si="106"/>
        <v>3.9786861603652142E-2</v>
      </c>
      <c r="V101" s="144" t="str">
        <f t="shared" si="118"/>
        <v>ok</v>
      </c>
      <c r="W101" s="145">
        <f t="shared" si="80"/>
        <v>0.71652582792413166</v>
      </c>
      <c r="X101" s="145">
        <f t="shared" si="81"/>
        <v>0.58038592061854666</v>
      </c>
      <c r="AA101">
        <f>IF(AB101&lt;=Presentation!$F$34,1,0)</f>
        <v>1</v>
      </c>
      <c r="AB101" s="146">
        <v>7</v>
      </c>
      <c r="AC101" s="144">
        <f t="shared" si="96"/>
        <v>0.88470590494348378</v>
      </c>
      <c r="AD101" s="144"/>
      <c r="AE101" s="144">
        <f t="shared" si="97"/>
        <v>0.11529409505651617</v>
      </c>
      <c r="AF101" s="144" t="str">
        <f t="shared" si="119"/>
        <v>ok</v>
      </c>
      <c r="AG101" s="145">
        <f t="shared" si="82"/>
        <v>0.66018116776416835</v>
      </c>
      <c r="AH101" s="145">
        <f t="shared" si="83"/>
        <v>0.52814493421133468</v>
      </c>
      <c r="AK101">
        <f>IF(AL101&lt;=Presentation!$F$34,1,0)</f>
        <v>1</v>
      </c>
      <c r="AL101" s="146">
        <v>7</v>
      </c>
      <c r="AM101" s="144">
        <f t="shared" si="107"/>
        <v>0.9817923415649763</v>
      </c>
      <c r="AN101" s="144">
        <f t="shared" si="120"/>
        <v>1.2500706706162164E-4</v>
      </c>
      <c r="AO101" s="144">
        <f t="shared" si="108"/>
        <v>1.8082651367961645E-2</v>
      </c>
      <c r="AP101" s="144" t="str">
        <f t="shared" si="121"/>
        <v>ok</v>
      </c>
      <c r="AQ101" s="145">
        <f t="shared" si="84"/>
        <v>0.73272184377384197</v>
      </c>
      <c r="AR101" s="145">
        <f t="shared" si="85"/>
        <v>0.59350096216888693</v>
      </c>
      <c r="AU101">
        <f>IF(AV101&lt;=Presentation!$F$34,1,0)</f>
        <v>1</v>
      </c>
      <c r="AV101" s="146">
        <v>7</v>
      </c>
      <c r="AW101" s="144">
        <f t="shared" si="109"/>
        <v>0.41419921279559518</v>
      </c>
      <c r="AX101" s="144">
        <f t="shared" si="110"/>
        <v>0.35320092101275458</v>
      </c>
      <c r="AY101" s="144">
        <f t="shared" si="111"/>
        <v>0.23259986619165018</v>
      </c>
      <c r="AZ101" s="144" t="str">
        <f t="shared" si="122"/>
        <v>ok</v>
      </c>
      <c r="BA101" s="145">
        <f t="shared" si="86"/>
        <v>0.57264579522879888</v>
      </c>
      <c r="BB101" s="145">
        <f t="shared" si="87"/>
        <v>0.45330053552068889</v>
      </c>
      <c r="BE101">
        <f>IF(BF101&lt;=Presentation!$F$34,1,0)</f>
        <v>1</v>
      </c>
      <c r="BF101" s="146">
        <v>7</v>
      </c>
      <c r="BG101" s="144">
        <f t="shared" si="112"/>
        <v>0.37055983764334982</v>
      </c>
      <c r="BH101" s="144">
        <f t="shared" si="113"/>
        <v>0.33707555341792655</v>
      </c>
      <c r="BI101" s="144">
        <f t="shared" si="114"/>
        <v>0.29236460893872374</v>
      </c>
      <c r="BJ101" s="144" t="str">
        <f t="shared" si="123"/>
        <v>ok</v>
      </c>
      <c r="BK101" s="145">
        <f t="shared" si="88"/>
        <v>0.52804842401490548</v>
      </c>
      <c r="BL101" s="145">
        <f t="shared" si="89"/>
        <v>0.41765798474046267</v>
      </c>
      <c r="BO101">
        <f>IF(BP101&lt;=Presentation!$F$34,1,0)</f>
        <v>1</v>
      </c>
      <c r="BP101" s="146">
        <v>7</v>
      </c>
      <c r="BQ101" s="144"/>
      <c r="BR101" s="144">
        <f t="shared" si="115"/>
        <v>0.43657285954622727</v>
      </c>
      <c r="BS101" s="144">
        <f t="shared" si="116"/>
        <v>0.56342714045377285</v>
      </c>
      <c r="BT101" s="144" t="str">
        <f t="shared" si="124"/>
        <v>ok</v>
      </c>
      <c r="BU101" s="145">
        <f t="shared" si="90"/>
        <v>0.32577738954707469</v>
      </c>
      <c r="BV101" s="145">
        <f t="shared" si="91"/>
        <v>0.25084858995124754</v>
      </c>
      <c r="BZ101" s="136"/>
    </row>
    <row r="102" spans="1:78" x14ac:dyDescent="0.3">
      <c r="A102" s="136"/>
      <c r="B102">
        <f>IF(C102&lt;=Presentation!$F$34,1,0)</f>
        <v>1</v>
      </c>
      <c r="C102" s="146">
        <v>8</v>
      </c>
      <c r="D102" s="144">
        <f t="shared" si="103"/>
        <v>0.9839707959909364</v>
      </c>
      <c r="E102" s="144"/>
      <c r="F102" s="144">
        <f t="shared" si="104"/>
        <v>1.6029204009063679E-2</v>
      </c>
      <c r="G102" s="144" t="str">
        <f t="shared" si="117"/>
        <v>ok</v>
      </c>
      <c r="H102" s="145">
        <f t="shared" si="79"/>
        <v>0.69928967410403309</v>
      </c>
      <c r="I102" s="145">
        <f t="shared" si="93"/>
        <v>0.58041042950634747</v>
      </c>
      <c r="L102" s="80">
        <v>8</v>
      </c>
      <c r="M102" s="145">
        <f t="shared" si="94"/>
        <v>0.99707522507436508</v>
      </c>
      <c r="N102" s="145">
        <f>INDEX('Table of Life'!$E$8:$E$108,MATCH(MIN(idade_entrada+Markov!C102,100),'Table of Life'!$D$8:$D$108))</f>
        <v>2.9247749256348663E-3</v>
      </c>
      <c r="Q102">
        <f>IF(R102&lt;=Presentation!$F$34,1,0)</f>
        <v>1</v>
      </c>
      <c r="R102" s="146">
        <v>8</v>
      </c>
      <c r="S102" s="144">
        <f t="shared" si="105"/>
        <v>0.95466002179900944</v>
      </c>
      <c r="T102" s="144"/>
      <c r="U102" s="144">
        <f t="shared" si="106"/>
        <v>4.5339978200990512E-2</v>
      </c>
      <c r="V102" s="144" t="str">
        <f t="shared" si="118"/>
        <v>ok</v>
      </c>
      <c r="W102" s="145">
        <f t="shared" si="80"/>
        <v>0.67845905411417073</v>
      </c>
      <c r="X102" s="145">
        <f t="shared" si="81"/>
        <v>0.5495518338324783</v>
      </c>
      <c r="AA102">
        <f>IF(AB102&lt;=Presentation!$F$34,1,0)</f>
        <v>1</v>
      </c>
      <c r="AB102" s="146">
        <v>8</v>
      </c>
      <c r="AC102" s="144">
        <f t="shared" si="96"/>
        <v>0.86935823539880608</v>
      </c>
      <c r="AD102" s="144"/>
      <c r="AE102" s="144">
        <f t="shared" si="97"/>
        <v>0.13064176460119387</v>
      </c>
      <c r="AF102" s="144" t="str">
        <f t="shared" si="119"/>
        <v>ok</v>
      </c>
      <c r="AG102" s="145">
        <f t="shared" si="82"/>
        <v>0.61783666709279872</v>
      </c>
      <c r="AH102" s="145">
        <f t="shared" si="83"/>
        <v>0.49426933367423898</v>
      </c>
      <c r="AK102">
        <f>IF(AL102&lt;=Presentation!$F$34,1,0)</f>
        <v>1</v>
      </c>
      <c r="AL102" s="146">
        <v>8</v>
      </c>
      <c r="AM102" s="144">
        <f t="shared" si="107"/>
        <v>0.97921845225235404</v>
      </c>
      <c r="AN102" s="144">
        <f t="shared" si="120"/>
        <v>1.3559366715717777E-4</v>
      </c>
      <c r="AO102" s="144">
        <f t="shared" si="108"/>
        <v>2.0645954080488249E-2</v>
      </c>
      <c r="AP102" s="144" t="str">
        <f t="shared" si="121"/>
        <v>ok</v>
      </c>
      <c r="AQ102" s="145">
        <f t="shared" si="84"/>
        <v>0.69600863602239427</v>
      </c>
      <c r="AR102" s="145">
        <f t="shared" si="85"/>
        <v>0.56376314062263011</v>
      </c>
      <c r="AU102">
        <f>IF(AV102&lt;=Presentation!$F$34,1,0)</f>
        <v>1</v>
      </c>
      <c r="AV102" s="146">
        <v>8</v>
      </c>
      <c r="AW102" s="144">
        <f t="shared" si="109"/>
        <v>0.36519504725980834</v>
      </c>
      <c r="AX102" s="144">
        <f t="shared" si="110"/>
        <v>0.35725365142941951</v>
      </c>
      <c r="AY102" s="144">
        <f t="shared" si="111"/>
        <v>0.2775513013107721</v>
      </c>
      <c r="AZ102" s="144" t="str">
        <f t="shared" si="122"/>
        <v>ok</v>
      </c>
      <c r="BA102" s="145">
        <f t="shared" si="86"/>
        <v>0.51343080213523573</v>
      </c>
      <c r="BB102" s="145">
        <f t="shared" si="87"/>
        <v>0.40572320972187287</v>
      </c>
      <c r="BE102">
        <f>IF(BF102&lt;=Presentation!$F$34,1,0)</f>
        <v>1</v>
      </c>
      <c r="BF102" s="146">
        <v>8</v>
      </c>
      <c r="BG102" s="144">
        <f t="shared" si="112"/>
        <v>0.32156345243582157</v>
      </c>
      <c r="BH102" s="144">
        <f t="shared" si="113"/>
        <v>0.33834669758387059</v>
      </c>
      <c r="BI102" s="144">
        <f t="shared" si="114"/>
        <v>0.34008984998030789</v>
      </c>
      <c r="BJ102" s="144" t="str">
        <f t="shared" si="123"/>
        <v>ok</v>
      </c>
      <c r="BK102" s="145">
        <f t="shared" si="88"/>
        <v>0.46898582318236287</v>
      </c>
      <c r="BL102" s="145">
        <f t="shared" si="89"/>
        <v>0.37026024953435233</v>
      </c>
      <c r="BO102">
        <f>IF(BP102&lt;=Presentation!$F$34,1,0)</f>
        <v>1</v>
      </c>
      <c r="BP102" s="146">
        <v>8</v>
      </c>
      <c r="BQ102" s="144"/>
      <c r="BR102" s="144">
        <f t="shared" si="115"/>
        <v>0.38782541576093305</v>
      </c>
      <c r="BS102" s="144">
        <f t="shared" si="116"/>
        <v>0.61217458423906701</v>
      </c>
      <c r="BT102" s="144" t="str">
        <f t="shared" si="124"/>
        <v>ok</v>
      </c>
      <c r="BU102" s="145">
        <f t="shared" si="90"/>
        <v>0.27562028233124725</v>
      </c>
      <c r="BV102" s="145">
        <f t="shared" si="91"/>
        <v>0.21222761739506038</v>
      </c>
      <c r="BZ102" s="136"/>
    </row>
    <row r="103" spans="1:78" x14ac:dyDescent="0.3">
      <c r="A103" s="136"/>
      <c r="B103">
        <f>IF(C103&lt;=Presentation!$F$34,1,0)</f>
        <v>1</v>
      </c>
      <c r="C103" s="146">
        <v>9</v>
      </c>
      <c r="D103" s="144">
        <f t="shared" si="103"/>
        <v>0.98109290287926509</v>
      </c>
      <c r="E103" s="144"/>
      <c r="F103" s="144">
        <f t="shared" si="104"/>
        <v>1.8907097120734951E-2</v>
      </c>
      <c r="G103" s="144" t="str">
        <f t="shared" si="117"/>
        <v>ok</v>
      </c>
      <c r="H103" s="145">
        <f t="shared" si="79"/>
        <v>0.66404229447567453</v>
      </c>
      <c r="I103" s="145">
        <f t="shared" si="93"/>
        <v>0.55115510441480986</v>
      </c>
      <c r="L103" s="80">
        <v>9</v>
      </c>
      <c r="M103" s="145">
        <f t="shared" si="94"/>
        <v>0.99684285378058823</v>
      </c>
      <c r="N103" s="145">
        <f>INDEX('Table of Life'!$E$8:$E$108,MATCH(MIN(idade_entrada+Markov!C103,100),'Table of Life'!$D$8:$D$108))</f>
        <v>3.1571462194117847E-3</v>
      </c>
      <c r="Q103">
        <f>IF(R103&lt;=Presentation!$F$34,1,0)</f>
        <v>1</v>
      </c>
      <c r="R103" s="146">
        <v>9</v>
      </c>
      <c r="S103" s="144">
        <f t="shared" si="105"/>
        <v>0.94913902005483286</v>
      </c>
      <c r="T103" s="144"/>
      <c r="U103" s="144">
        <f t="shared" si="106"/>
        <v>5.0860979945167077E-2</v>
      </c>
      <c r="V103" s="144" t="str">
        <f t="shared" si="118"/>
        <v>ok</v>
      </c>
      <c r="W103" s="145">
        <f t="shared" si="80"/>
        <v>0.64241464881044641</v>
      </c>
      <c r="X103" s="145">
        <f t="shared" si="81"/>
        <v>0.52035586553646163</v>
      </c>
      <c r="AA103">
        <f>IF(AB103&lt;=Presentation!$F$34,1,0)</f>
        <v>1</v>
      </c>
      <c r="AB103" s="146">
        <v>9</v>
      </c>
      <c r="AC103" s="144">
        <f t="shared" si="96"/>
        <v>0.85427681360847973</v>
      </c>
      <c r="AD103" s="144"/>
      <c r="AE103" s="144">
        <f t="shared" si="97"/>
        <v>0.14572318639152015</v>
      </c>
      <c r="AF103" s="144" t="str">
        <f t="shared" si="119"/>
        <v>ok</v>
      </c>
      <c r="AG103" s="145">
        <f t="shared" si="82"/>
        <v>0.57820817351866316</v>
      </c>
      <c r="AH103" s="145">
        <f t="shared" si="83"/>
        <v>0.46256653881493054</v>
      </c>
      <c r="AK103">
        <f>IF(AL103&lt;=Presentation!$F$34,1,0)</f>
        <v>1</v>
      </c>
      <c r="AL103" s="146">
        <v>9</v>
      </c>
      <c r="AM103" s="144">
        <f t="shared" si="107"/>
        <v>0.97665131070696642</v>
      </c>
      <c r="AN103" s="144">
        <f t="shared" si="120"/>
        <v>1.4493382708456748E-4</v>
      </c>
      <c r="AO103" s="144">
        <f t="shared" si="108"/>
        <v>2.320375546594838E-2</v>
      </c>
      <c r="AP103" s="144" t="str">
        <f t="shared" si="121"/>
        <v>checar</v>
      </c>
      <c r="AQ103" s="145">
        <f t="shared" si="84"/>
        <v>0.66113414698244466</v>
      </c>
      <c r="AR103" s="145">
        <f t="shared" si="85"/>
        <v>0.53551473517901771</v>
      </c>
      <c r="AU103">
        <f>IF(AV103&lt;=Presentation!$F$34,1,0)</f>
        <v>1</v>
      </c>
      <c r="AV103" s="146">
        <v>9</v>
      </c>
      <c r="AW103" s="144">
        <f t="shared" si="109"/>
        <v>0.3219885949153401</v>
      </c>
      <c r="AX103" s="144">
        <f t="shared" si="110"/>
        <v>0.35570841920164697</v>
      </c>
      <c r="AY103" s="144">
        <f t="shared" si="111"/>
        <v>0.32230298588301287</v>
      </c>
      <c r="AZ103" s="144" t="str">
        <f t="shared" si="122"/>
        <v>ok</v>
      </c>
      <c r="BA103" s="145">
        <f t="shared" si="86"/>
        <v>0.45869201468368781</v>
      </c>
      <c r="BB103" s="145">
        <f t="shared" si="87"/>
        <v>0.36191023351296003</v>
      </c>
      <c r="BE103">
        <f>IF(BF103&lt;=Presentation!$F$34,1,0)</f>
        <v>1</v>
      </c>
      <c r="BF103" s="146">
        <v>9</v>
      </c>
      <c r="BG103" s="144">
        <f t="shared" si="112"/>
        <v>0.27904549667351297</v>
      </c>
      <c r="BH103" s="144">
        <f t="shared" si="113"/>
        <v>0.33433128616569846</v>
      </c>
      <c r="BI103" s="144">
        <f t="shared" si="114"/>
        <v>0.38662321716078857</v>
      </c>
      <c r="BJ103" s="144" t="str">
        <f t="shared" si="123"/>
        <v>ok</v>
      </c>
      <c r="BK103" s="145">
        <f t="shared" si="88"/>
        <v>0.41515755038010044</v>
      </c>
      <c r="BL103" s="145">
        <f t="shared" si="89"/>
        <v>0.32722607283049654</v>
      </c>
      <c r="BO103">
        <f>IF(BP103&lt;=Presentation!$F$34,1,0)</f>
        <v>1</v>
      </c>
      <c r="BP103" s="146">
        <v>9</v>
      </c>
      <c r="BQ103" s="144"/>
      <c r="BR103" s="144">
        <f t="shared" si="115"/>
        <v>0.34452108009296512</v>
      </c>
      <c r="BS103" s="144">
        <f t="shared" si="116"/>
        <v>0.65547891990703488</v>
      </c>
      <c r="BT103" s="144" t="str">
        <f t="shared" si="124"/>
        <v>ok</v>
      </c>
      <c r="BU103" s="145">
        <f t="shared" si="90"/>
        <v>0.23318542805555675</v>
      </c>
      <c r="BV103" s="145">
        <f t="shared" si="91"/>
        <v>0.17955277960277871</v>
      </c>
      <c r="BZ103" s="136"/>
    </row>
    <row r="104" spans="1:78" x14ac:dyDescent="0.3">
      <c r="A104" s="136"/>
      <c r="B104">
        <f>IF(C104&lt;=Presentation!$F$34,1,0)</f>
        <v>1</v>
      </c>
      <c r="C104" s="146">
        <v>10</v>
      </c>
      <c r="D104" s="144">
        <f t="shared" si="103"/>
        <v>0.9779954491300481</v>
      </c>
      <c r="E104" s="144"/>
      <c r="F104" s="144">
        <f t="shared" si="104"/>
        <v>2.2004550869951955E-2</v>
      </c>
      <c r="G104" s="144" t="str">
        <f t="shared" si="117"/>
        <v>ok</v>
      </c>
      <c r="H104" s="145">
        <f t="shared" si="79"/>
        <v>0.63042458652965816</v>
      </c>
      <c r="I104" s="145">
        <f t="shared" si="93"/>
        <v>0.52325240681961627</v>
      </c>
      <c r="L104" s="80">
        <v>10</v>
      </c>
      <c r="M104" s="145">
        <f t="shared" si="94"/>
        <v>0.99659145169821062</v>
      </c>
      <c r="N104" s="145">
        <f>INDEX('Table of Life'!$E$8:$E$108,MATCH(MIN(idade_entrada+Markov!C104,100),'Table of Life'!$D$8:$D$108))</f>
        <v>3.4085483017893539E-3</v>
      </c>
      <c r="Q104">
        <f>IF(R104&lt;=Presentation!$F$34,1,0)</f>
        <v>1</v>
      </c>
      <c r="R104" s="146">
        <v>10</v>
      </c>
      <c r="S104" s="144">
        <f t="shared" si="105"/>
        <v>0.94364994743679875</v>
      </c>
      <c r="T104" s="144"/>
      <c r="U104" s="144">
        <f t="shared" si="106"/>
        <v>5.6350052563201164E-2</v>
      </c>
      <c r="V104" s="144" t="str">
        <f t="shared" si="118"/>
        <v>ok</v>
      </c>
      <c r="W104" s="145">
        <f t="shared" si="80"/>
        <v>0.60828516990621617</v>
      </c>
      <c r="X104" s="145">
        <f t="shared" si="81"/>
        <v>0.49271098762403515</v>
      </c>
      <c r="AA104">
        <f>IF(AB104&lt;=Presentation!$F$34,1,0)</f>
        <v>1</v>
      </c>
      <c r="AB104" s="146">
        <v>10</v>
      </c>
      <c r="AC104" s="144">
        <f t="shared" si="96"/>
        <v>0.8394570207692077</v>
      </c>
      <c r="AD104" s="144"/>
      <c r="AE104" s="144">
        <f t="shared" si="97"/>
        <v>0.16054297923079225</v>
      </c>
      <c r="AF104" s="144" t="str">
        <f t="shared" si="119"/>
        <v>ok</v>
      </c>
      <c r="AG104" s="145">
        <f t="shared" si="82"/>
        <v>0.54112148036945984</v>
      </c>
      <c r="AH104" s="145">
        <f t="shared" si="83"/>
        <v>0.43289718429556789</v>
      </c>
      <c r="AK104">
        <f>IF(AL104&lt;=Presentation!$F$34,1,0)</f>
        <v>1</v>
      </c>
      <c r="AL104" s="146">
        <v>10</v>
      </c>
      <c r="AM104" s="144">
        <f t="shared" si="107"/>
        <v>0.97409089923871217</v>
      </c>
      <c r="AN104" s="144">
        <f t="shared" si="120"/>
        <v>1.5316689224284649E-4</v>
      </c>
      <c r="AO104" s="144">
        <f t="shared" si="108"/>
        <v>2.5755933869044276E-2</v>
      </c>
      <c r="AP104" s="144" t="str">
        <f t="shared" si="121"/>
        <v>checar</v>
      </c>
      <c r="AQ104" s="145">
        <f t="shared" si="84"/>
        <v>0.62800641160029491</v>
      </c>
      <c r="AR104" s="145">
        <f t="shared" si="85"/>
        <v>0.50868124408646243</v>
      </c>
      <c r="AU104">
        <f>IF(AV104&lt;=Presentation!$F$34,1,0)</f>
        <v>1</v>
      </c>
      <c r="AV104" s="146">
        <v>10</v>
      </c>
      <c r="AW104" s="144">
        <f t="shared" si="109"/>
        <v>0.28389392472181302</v>
      </c>
      <c r="AX104" s="144">
        <f t="shared" si="110"/>
        <v>0.34979904911115128</v>
      </c>
      <c r="AY104" s="144">
        <f t="shared" si="111"/>
        <v>0.36630702616703564</v>
      </c>
      <c r="AZ104" s="144" t="str">
        <f t="shared" si="122"/>
        <v>ok</v>
      </c>
      <c r="BA104" s="145">
        <f t="shared" si="86"/>
        <v>0.40848414107730008</v>
      </c>
      <c r="BB104" s="145">
        <f t="shared" si="87"/>
        <v>0.32185281083495088</v>
      </c>
      <c r="BE104">
        <f>IF(BF104&lt;=Presentation!$F$34,1,0)</f>
        <v>1</v>
      </c>
      <c r="BF104" s="146">
        <v>10</v>
      </c>
      <c r="BG104" s="144">
        <f t="shared" si="112"/>
        <v>0.2421493755709328</v>
      </c>
      <c r="BH104" s="144">
        <f t="shared" si="113"/>
        <v>0.32629984764037329</v>
      </c>
      <c r="BI104" s="144">
        <f t="shared" si="114"/>
        <v>0.43155077678869391</v>
      </c>
      <c r="BJ104" s="144" t="str">
        <f t="shared" si="123"/>
        <v>ok</v>
      </c>
      <c r="BK104" s="145">
        <f t="shared" si="88"/>
        <v>0.36642743769908875</v>
      </c>
      <c r="BL104" s="145">
        <f t="shared" si="89"/>
        <v>0.28839279289028213</v>
      </c>
      <c r="BO104">
        <f>IF(BP104&lt;=Presentation!$F$34,1,0)</f>
        <v>1</v>
      </c>
      <c r="BP104" s="146">
        <v>10</v>
      </c>
      <c r="BQ104" s="144"/>
      <c r="BR104" s="144">
        <f t="shared" si="115"/>
        <v>0.30605207860227041</v>
      </c>
      <c r="BS104" s="144">
        <f t="shared" si="116"/>
        <v>0.69394792139772954</v>
      </c>
      <c r="BT104" s="144" t="str">
        <f t="shared" si="124"/>
        <v>ok</v>
      </c>
      <c r="BU104" s="145">
        <f t="shared" si="90"/>
        <v>0.19728389869401364</v>
      </c>
      <c r="BV104" s="145">
        <f t="shared" si="91"/>
        <v>0.15190860199439049</v>
      </c>
      <c r="BZ104" s="136"/>
    </row>
    <row r="105" spans="1:78" x14ac:dyDescent="0.3">
      <c r="A105" s="136"/>
      <c r="B105">
        <f>IF(C105&lt;=Presentation!$F$34,1,0)</f>
        <v>1</v>
      </c>
      <c r="C105" s="146">
        <v>11</v>
      </c>
      <c r="D105" s="144">
        <f t="shared" si="103"/>
        <v>0.97466190440275813</v>
      </c>
      <c r="E105" s="144"/>
      <c r="F105" s="144">
        <f t="shared" si="104"/>
        <v>2.5338095597241896E-2</v>
      </c>
      <c r="G105" s="144" t="str">
        <f t="shared" si="117"/>
        <v>ok</v>
      </c>
      <c r="H105" s="145">
        <f t="shared" si="79"/>
        <v>0.59835786083412978</v>
      </c>
      <c r="I105" s="145">
        <f t="shared" si="93"/>
        <v>0.49663702449232772</v>
      </c>
      <c r="L105" s="80">
        <v>11</v>
      </c>
      <c r="M105" s="145">
        <f t="shared" si="94"/>
        <v>0.99631758366927092</v>
      </c>
      <c r="N105" s="145">
        <f>INDEX('Table of Life'!$E$8:$E$108,MATCH(MIN(idade_entrada+Markov!C105,100),'Table of Life'!$D$8:$D$108))</f>
        <v>3.6824163307290709E-3</v>
      </c>
      <c r="Q105">
        <f>IF(R105&lt;=Presentation!$F$34,1,0)</f>
        <v>1</v>
      </c>
      <c r="R105" s="146">
        <v>11</v>
      </c>
      <c r="S105" s="144">
        <f t="shared" si="105"/>
        <v>0.93819261929198661</v>
      </c>
      <c r="T105" s="144"/>
      <c r="U105" s="144">
        <f t="shared" si="106"/>
        <v>6.1807380708013289E-2</v>
      </c>
      <c r="V105" s="144" t="str">
        <f t="shared" si="118"/>
        <v>ok</v>
      </c>
      <c r="W105" s="145">
        <f t="shared" si="80"/>
        <v>0.57596888335747043</v>
      </c>
      <c r="X105" s="145">
        <f t="shared" si="81"/>
        <v>0.46653479551955107</v>
      </c>
      <c r="AA105">
        <f>IF(AB105&lt;=Presentation!$F$34,1,0)</f>
        <v>1</v>
      </c>
      <c r="AB105" s="146">
        <v>11</v>
      </c>
      <c r="AC105" s="144">
        <f t="shared" si="96"/>
        <v>0.8248943182036037</v>
      </c>
      <c r="AD105" s="144"/>
      <c r="AE105" s="144">
        <f t="shared" si="97"/>
        <v>0.17510568179639621</v>
      </c>
      <c r="AF105" s="144" t="str">
        <f t="shared" si="119"/>
        <v>ok</v>
      </c>
      <c r="AG105" s="145">
        <f t="shared" si="82"/>
        <v>0.50641355471566074</v>
      </c>
      <c r="AH105" s="145">
        <f t="shared" si="83"/>
        <v>0.40513084377252861</v>
      </c>
      <c r="AK105">
        <f>IF(AL105&lt;=Presentation!$F$34,1,0)</f>
        <v>1</v>
      </c>
      <c r="AL105" s="146">
        <v>11</v>
      </c>
      <c r="AM105" s="144">
        <f t="shared" si="107"/>
        <v>0.9715372002038668</v>
      </c>
      <c r="AN105" s="144">
        <f t="shared" si="120"/>
        <v>1.6041664837147614E-4</v>
      </c>
      <c r="AO105" s="144">
        <f t="shared" si="108"/>
        <v>2.8302383147760991E-2</v>
      </c>
      <c r="AP105" s="144" t="str">
        <f t="shared" si="121"/>
        <v>checar</v>
      </c>
      <c r="AQ105" s="145">
        <f t="shared" si="84"/>
        <v>0.59653804541955979</v>
      </c>
      <c r="AR105" s="145">
        <f t="shared" si="85"/>
        <v>0.4831918775135825</v>
      </c>
      <c r="AU105">
        <f>IF(AV105&lt;=Presentation!$F$34,1,0)</f>
        <v>1</v>
      </c>
      <c r="AV105" s="146">
        <v>11</v>
      </c>
      <c r="AW105" s="144">
        <f t="shared" si="109"/>
        <v>0.25030625856529282</v>
      </c>
      <c r="AX105" s="144">
        <f t="shared" si="110"/>
        <v>0.34054957510144296</v>
      </c>
      <c r="AY105" s="144">
        <f t="shared" si="111"/>
        <v>0.40914416633326417</v>
      </c>
      <c r="AZ105" s="144" t="str">
        <f t="shared" si="122"/>
        <v>ok</v>
      </c>
      <c r="BA105" s="145">
        <f t="shared" si="86"/>
        <v>0.36273422721988346</v>
      </c>
      <c r="BB105" s="145">
        <f t="shared" si="87"/>
        <v>0.28545200814240768</v>
      </c>
      <c r="BE105">
        <f>IF(BF105&lt;=Presentation!$F$34,1,0)</f>
        <v>1</v>
      </c>
      <c r="BF105" s="146">
        <v>11</v>
      </c>
      <c r="BG105" s="144">
        <f t="shared" si="112"/>
        <v>0.21013175553231722</v>
      </c>
      <c r="BH105" s="144">
        <f t="shared" si="113"/>
        <v>0.31529110164249008</v>
      </c>
      <c r="BI105" s="144">
        <f t="shared" si="114"/>
        <v>0.47457714282519264</v>
      </c>
      <c r="BJ105" s="144" t="str">
        <f t="shared" si="123"/>
        <v>ok</v>
      </c>
      <c r="BK105" s="145">
        <f t="shared" si="88"/>
        <v>0.32256405573286767</v>
      </c>
      <c r="BL105" s="145">
        <f t="shared" si="89"/>
        <v>0.25353442970275114</v>
      </c>
      <c r="BO105">
        <f>IF(BP105&lt;=Presentation!$F$34,1,0)</f>
        <v>1</v>
      </c>
      <c r="BP105" s="146">
        <v>11</v>
      </c>
      <c r="BQ105" s="144"/>
      <c r="BR105" s="144">
        <f t="shared" si="115"/>
        <v>0.27187850099475797</v>
      </c>
      <c r="BS105" s="144">
        <f t="shared" si="116"/>
        <v>0.72812149900524192</v>
      </c>
      <c r="BT105" s="144" t="str">
        <f t="shared" si="124"/>
        <v>ok</v>
      </c>
      <c r="BU105" s="145">
        <f t="shared" si="90"/>
        <v>0.16690981511347644</v>
      </c>
      <c r="BV105" s="145">
        <f t="shared" si="91"/>
        <v>0.12852055763737685</v>
      </c>
      <c r="BZ105" s="136"/>
    </row>
    <row r="106" spans="1:78" x14ac:dyDescent="0.3">
      <c r="A106" s="136"/>
      <c r="B106">
        <f>IF(C106&lt;=Presentation!$F$34,1,0)</f>
        <v>1</v>
      </c>
      <c r="C106" s="146">
        <v>12</v>
      </c>
      <c r="D106" s="144">
        <f t="shared" si="103"/>
        <v>0.97107279348904596</v>
      </c>
      <c r="E106" s="144"/>
      <c r="F106" s="144">
        <f t="shared" si="104"/>
        <v>2.8927206510954109E-2</v>
      </c>
      <c r="G106" s="144" t="str">
        <f t="shared" si="117"/>
        <v>ok</v>
      </c>
      <c r="H106" s="145">
        <f t="shared" si="79"/>
        <v>0.56776615054835622</v>
      </c>
      <c r="I106" s="145">
        <f t="shared" si="93"/>
        <v>0.47124590495513563</v>
      </c>
      <c r="L106" s="80">
        <v>12</v>
      </c>
      <c r="M106" s="145">
        <f t="shared" si="94"/>
        <v>0.99602660824738853</v>
      </c>
      <c r="N106" s="145">
        <f>INDEX('Table of Life'!$E$8:$E$108,MATCH(MIN(idade_entrada+Markov!C106,100),'Table of Life'!$D$8:$D$108))</f>
        <v>3.9733917526114564E-3</v>
      </c>
      <c r="Q106">
        <f>IF(R106&lt;=Presentation!$F$34,1,0)</f>
        <v>1</v>
      </c>
      <c r="R106" s="146">
        <v>12</v>
      </c>
      <c r="S106" s="144">
        <f t="shared" si="105"/>
        <v>0.93276685203536303</v>
      </c>
      <c r="T106" s="144"/>
      <c r="U106" s="144">
        <f t="shared" si="106"/>
        <v>6.7233147964636891E-2</v>
      </c>
      <c r="V106" s="144" t="str">
        <f t="shared" si="118"/>
        <v>ok</v>
      </c>
      <c r="W106" s="145">
        <f t="shared" si="80"/>
        <v>0.54536945993143016</v>
      </c>
      <c r="X106" s="145">
        <f t="shared" si="81"/>
        <v>0.44174926254445845</v>
      </c>
      <c r="AA106">
        <f>IF(AB106&lt;=Presentation!$F$34,1,0)</f>
        <v>1</v>
      </c>
      <c r="AB106" s="146">
        <v>12</v>
      </c>
      <c r="AC106" s="144">
        <f t="shared" si="96"/>
        <v>0.81058424597018752</v>
      </c>
      <c r="AD106" s="144"/>
      <c r="AE106" s="144">
        <f t="shared" si="97"/>
        <v>0.18941575402981245</v>
      </c>
      <c r="AF106" s="144" t="str">
        <f t="shared" si="119"/>
        <v>ok</v>
      </c>
      <c r="AG106" s="145">
        <f t="shared" si="82"/>
        <v>0.47393182067851514</v>
      </c>
      <c r="AH106" s="145">
        <f t="shared" si="83"/>
        <v>0.37914545654281212</v>
      </c>
      <c r="AK106">
        <f>IF(AL106&lt;=Presentation!$F$34,1,0)</f>
        <v>1</v>
      </c>
      <c r="AL106" s="146">
        <v>12</v>
      </c>
      <c r="AM106" s="144">
        <f t="shared" si="107"/>
        <v>0.96899019600496095</v>
      </c>
      <c r="AN106" s="144">
        <f t="shared" si="120"/>
        <v>1.6679305893303292E-4</v>
      </c>
      <c r="AO106" s="144">
        <f t="shared" si="108"/>
        <v>3.084301093610527E-2</v>
      </c>
      <c r="AP106" s="144" t="str">
        <f t="shared" si="121"/>
        <v>checar</v>
      </c>
      <c r="AQ106" s="145">
        <f t="shared" si="84"/>
        <v>0.5666460193790297</v>
      </c>
      <c r="AR106" s="145">
        <f t="shared" si="85"/>
        <v>0.45897937487912926</v>
      </c>
      <c r="AU106">
        <f>IF(AV106&lt;=Presentation!$F$34,1,0)</f>
        <v>1</v>
      </c>
      <c r="AV106" s="146">
        <v>12</v>
      </c>
      <c r="AW106" s="144">
        <f t="shared" si="109"/>
        <v>0.22069237000527209</v>
      </c>
      <c r="AX106" s="144">
        <f t="shared" si="110"/>
        <v>0.32880618644472548</v>
      </c>
      <c r="AY106" s="144">
        <f t="shared" si="111"/>
        <v>0.45050144355000232</v>
      </c>
      <c r="AZ106" s="144" t="str">
        <f t="shared" si="122"/>
        <v>ok</v>
      </c>
      <c r="BA106" s="145">
        <f t="shared" si="86"/>
        <v>0.32128042533920814</v>
      </c>
      <c r="BB106" s="145">
        <f t="shared" si="87"/>
        <v>0.25254729783124963</v>
      </c>
      <c r="BE106">
        <f>IF(BF106&lt;=Presentation!$F$34,1,0)</f>
        <v>1</v>
      </c>
      <c r="BF106" s="146">
        <v>12</v>
      </c>
      <c r="BG106" s="144">
        <f t="shared" si="112"/>
        <v>0.18234758846263927</v>
      </c>
      <c r="BH106" s="144">
        <f t="shared" si="113"/>
        <v>0.30214973501495479</v>
      </c>
      <c r="BI106" s="144">
        <f t="shared" si="114"/>
        <v>0.51550267652240589</v>
      </c>
      <c r="BJ106" s="144" t="str">
        <f t="shared" si="123"/>
        <v>ok</v>
      </c>
      <c r="BK106" s="145">
        <f t="shared" si="88"/>
        <v>0.28327555065516141</v>
      </c>
      <c r="BL106" s="145">
        <f t="shared" si="89"/>
        <v>0.22238676834003276</v>
      </c>
      <c r="BO106">
        <f>IF(BP106&lt;=Presentation!$F$34,1,0)</f>
        <v>1</v>
      </c>
      <c r="BP106" s="146">
        <v>12</v>
      </c>
      <c r="BQ106" s="144"/>
      <c r="BR106" s="144">
        <f t="shared" si="115"/>
        <v>0.24152072301138183</v>
      </c>
      <c r="BS106" s="144">
        <f t="shared" si="116"/>
        <v>0.75847927698861806</v>
      </c>
      <c r="BT106" s="144" t="str">
        <f t="shared" si="124"/>
        <v>ok</v>
      </c>
      <c r="BU106" s="145">
        <f t="shared" si="90"/>
        <v>0.1412121646299371</v>
      </c>
      <c r="BV106" s="145">
        <f t="shared" si="91"/>
        <v>0.10873336676505158</v>
      </c>
      <c r="BZ106" s="136"/>
    </row>
    <row r="107" spans="1:78" x14ac:dyDescent="0.3">
      <c r="A107" s="136"/>
      <c r="B107">
        <f>IF(C107&lt;=Presentation!$F$34,1,0)</f>
        <v>1</v>
      </c>
      <c r="C107" s="146">
        <v>13</v>
      </c>
      <c r="D107" s="144">
        <f t="shared" si="103"/>
        <v>0.96721434086021119</v>
      </c>
      <c r="E107" s="144"/>
      <c r="F107" s="144">
        <f t="shared" si="104"/>
        <v>3.2785659139788856E-2</v>
      </c>
      <c r="G107" s="144" t="str">
        <f t="shared" si="117"/>
        <v>ok</v>
      </c>
      <c r="H107" s="145">
        <f t="shared" si="79"/>
        <v>0.53858113638891003</v>
      </c>
      <c r="I107" s="145">
        <f t="shared" si="93"/>
        <v>0.44702234320279532</v>
      </c>
      <c r="L107" s="80">
        <v>13</v>
      </c>
      <c r="M107" s="145">
        <f t="shared" si="94"/>
        <v>0.9957177195042004</v>
      </c>
      <c r="N107" s="145">
        <f>INDEX('Table of Life'!$E$8:$E$108,MATCH(MIN(idade_entrada+Markov!C107,100),'Table of Life'!$D$8:$D$108))</f>
        <v>4.2822804957996039E-3</v>
      </c>
      <c r="Q107">
        <f>IF(R107&lt;=Presentation!$F$34,1,0)</f>
        <v>1</v>
      </c>
      <c r="R107" s="146">
        <v>13</v>
      </c>
      <c r="S107" s="144">
        <f t="shared" si="105"/>
        <v>0.92737246314360577</v>
      </c>
      <c r="T107" s="144"/>
      <c r="U107" s="144">
        <f t="shared" si="106"/>
        <v>7.2627536856394156E-2</v>
      </c>
      <c r="V107" s="144" t="str">
        <f t="shared" si="118"/>
        <v>ok</v>
      </c>
      <c r="W107" s="145">
        <f t="shared" si="80"/>
        <v>0.51639568806584935</v>
      </c>
      <c r="X107" s="145">
        <f t="shared" si="81"/>
        <v>0.41828050733333799</v>
      </c>
      <c r="AA107">
        <f>IF(AB107&lt;=Presentation!$F$34,1,0)</f>
        <v>1</v>
      </c>
      <c r="AB107" s="146">
        <v>13</v>
      </c>
      <c r="AC107" s="144">
        <f t="shared" si="96"/>
        <v>0.79652242149749242</v>
      </c>
      <c r="AD107" s="144"/>
      <c r="AE107" s="144">
        <f t="shared" si="97"/>
        <v>0.20347757850250761</v>
      </c>
      <c r="AF107" s="144" t="str">
        <f t="shared" si="119"/>
        <v>ok</v>
      </c>
      <c r="AG107" s="145">
        <f t="shared" si="82"/>
        <v>0.4435334887072015</v>
      </c>
      <c r="AH107" s="145">
        <f t="shared" si="83"/>
        <v>0.3548267909657612</v>
      </c>
      <c r="AK107">
        <f>IF(AL107&lt;=Presentation!$F$34,1,0)</f>
        <v>1</v>
      </c>
      <c r="AL107" s="146">
        <v>13</v>
      </c>
      <c r="AM107" s="144">
        <f t="shared" si="107"/>
        <v>0.96644986909065922</v>
      </c>
      <c r="AN107" s="144">
        <f t="shared" si="120"/>
        <v>1.7239380850088241E-4</v>
      </c>
      <c r="AO107" s="144">
        <f t="shared" si="108"/>
        <v>3.3377737100839147E-2</v>
      </c>
      <c r="AP107" s="144" t="str">
        <f t="shared" si="121"/>
        <v>checar</v>
      </c>
      <c r="AQ107" s="145">
        <f t="shared" si="84"/>
        <v>0.53825144522571844</v>
      </c>
      <c r="AR107" s="145">
        <f t="shared" si="85"/>
        <v>0.43597983081990255</v>
      </c>
      <c r="AU107">
        <f>IF(AV107&lt;=Presentation!$F$34,1,0)</f>
        <v>1</v>
      </c>
      <c r="AV107" s="146">
        <v>13</v>
      </c>
      <c r="AW107" s="144">
        <f t="shared" si="109"/>
        <v>0.19458211895184835</v>
      </c>
      <c r="AX107" s="144">
        <f t="shared" si="110"/>
        <v>0.31526459868884371</v>
      </c>
      <c r="AY107" s="144">
        <f t="shared" si="111"/>
        <v>0.49015328235930777</v>
      </c>
      <c r="AZ107" s="144" t="str">
        <f t="shared" si="122"/>
        <v>ok</v>
      </c>
      <c r="BA107" s="145">
        <f t="shared" si="86"/>
        <v>0.28390172991734614</v>
      </c>
      <c r="BB107" s="145">
        <f t="shared" si="87"/>
        <v>0.22293835622598318</v>
      </c>
      <c r="BE107">
        <f>IF(BF107&lt;=Presentation!$F$34,1,0)</f>
        <v>1</v>
      </c>
      <c r="BF107" s="146">
        <v>13</v>
      </c>
      <c r="BG107" s="144">
        <f t="shared" si="112"/>
        <v>0.15823711620315412</v>
      </c>
      <c r="BH107" s="144">
        <f t="shared" si="113"/>
        <v>0.28755838736287576</v>
      </c>
      <c r="BI107" s="144">
        <f t="shared" si="114"/>
        <v>0.55420449643397007</v>
      </c>
      <c r="BJ107" s="144" t="str">
        <f t="shared" si="123"/>
        <v>ok</v>
      </c>
      <c r="BK107" s="145">
        <f t="shared" si="88"/>
        <v>0.24823561724087309</v>
      </c>
      <c r="BL107" s="145">
        <f t="shared" si="89"/>
        <v>0.19466591916532935</v>
      </c>
      <c r="BO107">
        <f>IF(BP107&lt;=Presentation!$F$34,1,0)</f>
        <v>1</v>
      </c>
      <c r="BP107" s="146">
        <v>13</v>
      </c>
      <c r="BQ107" s="144"/>
      <c r="BR107" s="144">
        <f t="shared" si="115"/>
        <v>0.21455267492836927</v>
      </c>
      <c r="BS107" s="144">
        <f t="shared" si="116"/>
        <v>0.78544732507163062</v>
      </c>
      <c r="BT107" s="144" t="str">
        <f t="shared" si="124"/>
        <v>ok</v>
      </c>
      <c r="BU107" s="145">
        <f t="shared" si="90"/>
        <v>0.11947095757020235</v>
      </c>
      <c r="BV107" s="145">
        <f t="shared" si="91"/>
        <v>9.1992637329055812E-2</v>
      </c>
      <c r="BZ107" s="136"/>
    </row>
    <row r="108" spans="1:78" x14ac:dyDescent="0.3">
      <c r="A108" s="136"/>
      <c r="B108">
        <f>IF(C108&lt;=Presentation!$F$34,1,0)</f>
        <v>1</v>
      </c>
      <c r="C108" s="146">
        <v>14</v>
      </c>
      <c r="D108" s="144">
        <f t="shared" si="103"/>
        <v>0.96307245775308781</v>
      </c>
      <c r="E108" s="144"/>
      <c r="F108" s="144">
        <f t="shared" si="104"/>
        <v>3.6927542246912207E-2</v>
      </c>
      <c r="G108" s="144" t="str">
        <f t="shared" si="117"/>
        <v>ok</v>
      </c>
      <c r="H108" s="145">
        <f t="shared" si="79"/>
        <v>0.51073788656490093</v>
      </c>
      <c r="I108" s="145">
        <f t="shared" si="93"/>
        <v>0.42391244584886778</v>
      </c>
      <c r="L108" s="80">
        <v>14</v>
      </c>
      <c r="M108" s="145">
        <f t="shared" si="94"/>
        <v>0.99538637502848659</v>
      </c>
      <c r="N108" s="145">
        <f>INDEX('Table of Life'!$E$8:$E$108,MATCH(MIN(idade_entrada+Markov!C108,100),'Table of Life'!$D$8:$D$108))</f>
        <v>4.6136249715134124E-3</v>
      </c>
      <c r="Q108">
        <f>IF(R108&lt;=Presentation!$F$34,1,0)</f>
        <v>1</v>
      </c>
      <c r="R108" s="146">
        <v>14</v>
      </c>
      <c r="S108" s="144">
        <f t="shared" si="105"/>
        <v>0.9220092711489638</v>
      </c>
      <c r="T108" s="144"/>
      <c r="U108" s="144">
        <f t="shared" si="106"/>
        <v>7.7990728851036112E-2</v>
      </c>
      <c r="V108" s="144" t="str">
        <f t="shared" si="118"/>
        <v>ok</v>
      </c>
      <c r="W108" s="145">
        <f t="shared" si="80"/>
        <v>0.48896120198320214</v>
      </c>
      <c r="X108" s="145">
        <f t="shared" si="81"/>
        <v>0.39605857360639374</v>
      </c>
      <c r="AA108">
        <f>IF(AB108&lt;=Presentation!$F$34,1,0)</f>
        <v>1</v>
      </c>
      <c r="AB108" s="146">
        <v>14</v>
      </c>
      <c r="AC108" s="144">
        <f t="shared" si="96"/>
        <v>0.7827045382418687</v>
      </c>
      <c r="AD108" s="144"/>
      <c r="AE108" s="144">
        <f t="shared" si="97"/>
        <v>0.21729546175813133</v>
      </c>
      <c r="AF108" s="144" t="str">
        <f t="shared" si="119"/>
        <v>ok</v>
      </c>
      <c r="AG108" s="145">
        <f t="shared" si="82"/>
        <v>0.41508492787662948</v>
      </c>
      <c r="AH108" s="145">
        <f t="shared" si="83"/>
        <v>0.3320679423013036</v>
      </c>
      <c r="AK108">
        <f>IF(AL108&lt;=Presentation!$F$34,1,0)</f>
        <v>1</v>
      </c>
      <c r="AL108" s="146">
        <v>14</v>
      </c>
      <c r="AM108" s="144">
        <f t="shared" si="107"/>
        <v>0.9639162019556391</v>
      </c>
      <c r="AN108" s="144">
        <f t="shared" si="120"/>
        <v>1.773056738131787E-4</v>
      </c>
      <c r="AO108" s="144">
        <f t="shared" si="108"/>
        <v>3.5906492370546876E-2</v>
      </c>
      <c r="AP108" s="144" t="str">
        <f t="shared" si="121"/>
        <v>checar</v>
      </c>
      <c r="AQ108" s="145">
        <f t="shared" si="84"/>
        <v>0.5112793711144108</v>
      </c>
      <c r="AR108" s="145">
        <f t="shared" si="85"/>
        <v>0.4141325294432962</v>
      </c>
      <c r="AU108">
        <f>IF(AV108&lt;=Presentation!$F$34,1,0)</f>
        <v>1</v>
      </c>
      <c r="AV108" s="146">
        <v>14</v>
      </c>
      <c r="AW108" s="144">
        <f t="shared" si="109"/>
        <v>0.17156098788049073</v>
      </c>
      <c r="AX108" s="144">
        <f t="shared" si="110"/>
        <v>0.30049347952306149</v>
      </c>
      <c r="AY108" s="144">
        <f t="shared" si="111"/>
        <v>0.52794553259644761</v>
      </c>
      <c r="AZ108" s="144" t="str">
        <f t="shared" si="122"/>
        <v>ok</v>
      </c>
      <c r="BA108" s="145">
        <f t="shared" si="86"/>
        <v>0.25034056273159699</v>
      </c>
      <c r="BB108" s="145">
        <f t="shared" si="87"/>
        <v>0.19640153149576262</v>
      </c>
      <c r="BE108">
        <f>IF(BF108&lt;=Presentation!$F$34,1,0)</f>
        <v>1</v>
      </c>
      <c r="BF108" s="146">
        <v>14</v>
      </c>
      <c r="BG108" s="144">
        <f t="shared" si="112"/>
        <v>0.13731459327426573</v>
      </c>
      <c r="BH108" s="144">
        <f t="shared" si="113"/>
        <v>0.27206470058688037</v>
      </c>
      <c r="BI108" s="144">
        <f t="shared" si="114"/>
        <v>0.59062070613885387</v>
      </c>
      <c r="BJ108" s="144" t="str">
        <f t="shared" si="123"/>
        <v>ok</v>
      </c>
      <c r="BK108" s="145">
        <f t="shared" si="88"/>
        <v>0.21710258004666</v>
      </c>
      <c r="BL108" s="145">
        <f t="shared" si="89"/>
        <v>0.1700818210586689</v>
      </c>
      <c r="BO108">
        <f>IF(BP108&lt;=Presentation!$F$34,1,0)</f>
        <v>1</v>
      </c>
      <c r="BP108" s="146">
        <v>14</v>
      </c>
      <c r="BQ108" s="144"/>
      <c r="BR108" s="144">
        <f t="shared" si="115"/>
        <v>0.19059586169236983</v>
      </c>
      <c r="BS108" s="144">
        <f t="shared" si="116"/>
        <v>0.80940413830763003</v>
      </c>
      <c r="BT108" s="144" t="str">
        <f t="shared" si="124"/>
        <v>ok</v>
      </c>
      <c r="BU108" s="145">
        <f t="shared" si="90"/>
        <v>0.10107705480010135</v>
      </c>
      <c r="BV108" s="145">
        <f t="shared" si="91"/>
        <v>7.7829332196078044E-2</v>
      </c>
      <c r="BZ108" s="136"/>
    </row>
    <row r="109" spans="1:78" x14ac:dyDescent="0.3">
      <c r="A109" s="136"/>
      <c r="B109">
        <f>IF(C109&lt;=Presentation!$F$34,1,0)</f>
        <v>1</v>
      </c>
      <c r="C109" s="146">
        <v>15</v>
      </c>
      <c r="D109" s="144">
        <f t="shared" si="103"/>
        <v>0.95862920261262141</v>
      </c>
      <c r="E109" s="144"/>
      <c r="F109" s="144">
        <f t="shared" si="104"/>
        <v>4.1370797387378651E-2</v>
      </c>
      <c r="G109" s="144" t="str">
        <f t="shared" si="117"/>
        <v>ok</v>
      </c>
      <c r="H109" s="145">
        <f t="shared" si="79"/>
        <v>0.48417288904528322</v>
      </c>
      <c r="I109" s="145">
        <f t="shared" si="93"/>
        <v>0.40186349790758508</v>
      </c>
      <c r="L109" s="80">
        <v>15</v>
      </c>
      <c r="M109" s="145">
        <f t="shared" si="94"/>
        <v>0.99502225629147212</v>
      </c>
      <c r="N109" s="145">
        <f>INDEX('Table of Life'!$E$8:$E$108,MATCH(MIN(idade_entrada+Markov!C109,100),'Table of Life'!$D$8:$D$108))</f>
        <v>4.9777437085279019E-3</v>
      </c>
      <c r="Q109">
        <f>IF(R109&lt;=Presentation!$F$34,1,0)</f>
        <v>1</v>
      </c>
      <c r="R109" s="146">
        <v>15</v>
      </c>
      <c r="S109" s="144">
        <f t="shared" si="105"/>
        <v>0.91667709563315269</v>
      </c>
      <c r="T109" s="144"/>
      <c r="U109" s="144">
        <f t="shared" si="106"/>
        <v>8.3322904366847236E-2</v>
      </c>
      <c r="V109" s="144" t="str">
        <f t="shared" si="118"/>
        <v>ok</v>
      </c>
      <c r="W109" s="145">
        <f t="shared" si="80"/>
        <v>0.4629842242493139</v>
      </c>
      <c r="X109" s="145">
        <f t="shared" si="81"/>
        <v>0.37501722164194429</v>
      </c>
      <c r="AA109">
        <f>IF(AB109&lt;=Presentation!$F$34,1,0)</f>
        <v>1</v>
      </c>
      <c r="AB109" s="146">
        <v>15</v>
      </c>
      <c r="AC109" s="144">
        <f t="shared" si="96"/>
        <v>0.76912636436857107</v>
      </c>
      <c r="AD109" s="144"/>
      <c r="AE109" s="144">
        <f t="shared" si="97"/>
        <v>0.23087363563142896</v>
      </c>
      <c r="AF109" s="144" t="str">
        <f t="shared" si="119"/>
        <v>ok</v>
      </c>
      <c r="AG109" s="145">
        <f t="shared" si="82"/>
        <v>0.38846107844651978</v>
      </c>
      <c r="AH109" s="145">
        <f t="shared" si="83"/>
        <v>0.31076886275721582</v>
      </c>
      <c r="AK109">
        <f>IF(AL109&lt;=Presentation!$F$34,1,0)</f>
        <v>1</v>
      </c>
      <c r="AL109" s="146">
        <v>15</v>
      </c>
      <c r="AM109" s="144">
        <f t="shared" si="107"/>
        <v>0.96138917714047067</v>
      </c>
      <c r="AN109" s="144">
        <f t="shared" si="120"/>
        <v>1.8160574173585583E-4</v>
      </c>
      <c r="AO109" s="144">
        <f t="shared" si="108"/>
        <v>3.8429217117792576E-2</v>
      </c>
      <c r="AP109" s="144" t="str">
        <f t="shared" si="121"/>
        <v>checar</v>
      </c>
      <c r="AQ109" s="145">
        <f t="shared" si="84"/>
        <v>0.48565858697061459</v>
      </c>
      <c r="AR109" s="145">
        <f t="shared" si="85"/>
        <v>0.39337978651658856</v>
      </c>
      <c r="AU109">
        <f>IF(AV109&lt;=Presentation!$F$34,1,0)</f>
        <v>1</v>
      </c>
      <c r="AV109" s="146">
        <v>15</v>
      </c>
      <c r="AW109" s="144">
        <f t="shared" si="109"/>
        <v>0.15126350109186279</v>
      </c>
      <c r="AX109" s="144">
        <f t="shared" si="110"/>
        <v>0.28495447522933348</v>
      </c>
      <c r="AY109" s="144">
        <f t="shared" si="111"/>
        <v>0.56378202367880359</v>
      </c>
      <c r="AZ109" s="144" t="str">
        <f t="shared" si="122"/>
        <v>ok</v>
      </c>
      <c r="BA109" s="145">
        <f t="shared" si="86"/>
        <v>0.22031972036039435</v>
      </c>
      <c r="BB109" s="145">
        <f t="shared" si="87"/>
        <v>0.17270211855187972</v>
      </c>
      <c r="BE109">
        <f>IF(BF109&lt;=Presentation!$F$34,1,0)</f>
        <v>1</v>
      </c>
      <c r="BF109" s="146">
        <v>15</v>
      </c>
      <c r="BG109" s="144">
        <f t="shared" si="112"/>
        <v>0.11915850072665306</v>
      </c>
      <c r="BH109" s="144">
        <f t="shared" si="113"/>
        <v>0.25610416397099661</v>
      </c>
      <c r="BI109" s="144">
        <f t="shared" si="114"/>
        <v>0.62473733530235032</v>
      </c>
      <c r="BJ109" s="144" t="str">
        <f t="shared" si="123"/>
        <v>ok</v>
      </c>
      <c r="BK109" s="145">
        <f t="shared" si="88"/>
        <v>0.18953314589448569</v>
      </c>
      <c r="BL109" s="145">
        <f t="shared" si="89"/>
        <v>0.14834784794051503</v>
      </c>
      <c r="BO109">
        <f>IF(BP109&lt;=Presentation!$F$34,1,0)</f>
        <v>1</v>
      </c>
      <c r="BP109" s="146">
        <v>15</v>
      </c>
      <c r="BQ109" s="144"/>
      <c r="BR109" s="144">
        <f t="shared" si="115"/>
        <v>0.16931405076345499</v>
      </c>
      <c r="BS109" s="144">
        <f t="shared" si="116"/>
        <v>0.83068594923654493</v>
      </c>
      <c r="BT109" s="144" t="str">
        <f t="shared" si="124"/>
        <v>ok</v>
      </c>
      <c r="BU109" s="145">
        <f t="shared" si="90"/>
        <v>8.5515101032477586E-2</v>
      </c>
      <c r="BV109" s="145">
        <f t="shared" si="91"/>
        <v>6.5846627795007745E-2</v>
      </c>
      <c r="BZ109" s="136"/>
    </row>
    <row r="110" spans="1:78" x14ac:dyDescent="0.3">
      <c r="A110" s="136"/>
      <c r="B110">
        <f>IF(C110&lt;=Presentation!$F$34,1,0)</f>
        <v>1</v>
      </c>
      <c r="C110" s="146">
        <v>16</v>
      </c>
      <c r="D110" s="144">
        <f t="shared" si="103"/>
        <v>0.95385739213050535</v>
      </c>
      <c r="E110" s="144"/>
      <c r="F110" s="144">
        <f t="shared" si="104"/>
        <v>4.6142607869494749E-2</v>
      </c>
      <c r="G110" s="144" t="str">
        <f t="shared" si="117"/>
        <v>ok</v>
      </c>
      <c r="H110" s="145">
        <f t="shared" si="79"/>
        <v>0.45882171475523631</v>
      </c>
      <c r="I110" s="145">
        <f t="shared" si="93"/>
        <v>0.38082202324684611</v>
      </c>
      <c r="L110" s="80">
        <v>16</v>
      </c>
      <c r="M110" s="145">
        <f t="shared" si="94"/>
        <v>0.99462261798303819</v>
      </c>
      <c r="N110" s="145">
        <f>INDEX('Table of Life'!$E$8:$E$108,MATCH(MIN(idade_entrada+Markov!C110,100),'Table of Life'!$D$8:$D$108))</f>
        <v>5.3773820169618217E-3</v>
      </c>
      <c r="Q110">
        <f>IF(R110&lt;=Presentation!$F$34,1,0)</f>
        <v>1</v>
      </c>
      <c r="R110" s="146">
        <v>16</v>
      </c>
      <c r="S110" s="144">
        <f t="shared" si="105"/>
        <v>0.91137575722128517</v>
      </c>
      <c r="T110" s="144"/>
      <c r="U110" s="144">
        <f t="shared" si="106"/>
        <v>8.8624242778714724E-2</v>
      </c>
      <c r="V110" s="144" t="str">
        <f t="shared" si="118"/>
        <v>ok</v>
      </c>
      <c r="W110" s="145">
        <f t="shared" si="80"/>
        <v>0.43838732200904318</v>
      </c>
      <c r="X110" s="145">
        <f t="shared" si="81"/>
        <v>0.35509373082732498</v>
      </c>
      <c r="AA110">
        <f>IF(AB110&lt;=Presentation!$F$34,1,0)</f>
        <v>1</v>
      </c>
      <c r="AB110" s="146">
        <v>16</v>
      </c>
      <c r="AC110" s="144">
        <f t="shared" si="96"/>
        <v>0.75578374145572602</v>
      </c>
      <c r="AD110" s="144"/>
      <c r="AE110" s="144">
        <f t="shared" si="97"/>
        <v>0.24421625854427398</v>
      </c>
      <c r="AF110" s="144" t="str">
        <f t="shared" si="119"/>
        <v>ok</v>
      </c>
      <c r="AG110" s="145">
        <f t="shared" si="82"/>
        <v>0.3635449020993694</v>
      </c>
      <c r="AH110" s="145">
        <f t="shared" si="83"/>
        <v>0.29083592167949551</v>
      </c>
      <c r="AK110">
        <f>IF(AL110&lt;=Presentation!$F$34,1,0)</f>
        <v>1</v>
      </c>
      <c r="AL110" s="146">
        <v>16</v>
      </c>
      <c r="AM110" s="144">
        <f t="shared" si="107"/>
        <v>0.95886877723149588</v>
      </c>
      <c r="AN110" s="144">
        <f t="shared" si="120"/>
        <v>1.8536249122865449E-4</v>
      </c>
      <c r="AO110" s="144">
        <f t="shared" si="108"/>
        <v>4.0945860277274523E-2</v>
      </c>
      <c r="AP110" s="144" t="str">
        <f t="shared" si="121"/>
        <v>checar</v>
      </c>
      <c r="AQ110" s="145">
        <f t="shared" si="84"/>
        <v>0.46132143920155683</v>
      </c>
      <c r="AR110" s="145">
        <f t="shared" si="85"/>
        <v>0.37366679925215607</v>
      </c>
      <c r="AU110">
        <f>IF(AV110&lt;=Presentation!$F$34,1,0)</f>
        <v>1</v>
      </c>
      <c r="AV110" s="146">
        <v>16</v>
      </c>
      <c r="AW110" s="144">
        <f t="shared" si="109"/>
        <v>0.13336742254309364</v>
      </c>
      <c r="AX110" s="144">
        <f t="shared" si="110"/>
        <v>0.26901931001523194</v>
      </c>
      <c r="AY110" s="144">
        <f t="shared" si="111"/>
        <v>0.5976132674416742</v>
      </c>
      <c r="AZ110" s="144" t="str">
        <f t="shared" si="122"/>
        <v>ok</v>
      </c>
      <c r="BA110" s="145">
        <f t="shared" si="86"/>
        <v>0.1935548984055131</v>
      </c>
      <c r="BB110" s="145">
        <f t="shared" si="87"/>
        <v>0.15160335219510712</v>
      </c>
      <c r="BE110">
        <f>IF(BF110&lt;=Presentation!$F$34,1,0)</f>
        <v>1</v>
      </c>
      <c r="BF110" s="146">
        <v>16</v>
      </c>
      <c r="BG110" s="144">
        <f t="shared" si="112"/>
        <v>0.10340305394244487</v>
      </c>
      <c r="BH110" s="144">
        <f t="shared" si="113"/>
        <v>0.24001938085713156</v>
      </c>
      <c r="BI110" s="144">
        <f t="shared" si="114"/>
        <v>0.65657756520042354</v>
      </c>
      <c r="BJ110" s="144" t="str">
        <f t="shared" si="123"/>
        <v>ok</v>
      </c>
      <c r="BK110" s="145">
        <f t="shared" si="88"/>
        <v>0.1651920630066277</v>
      </c>
      <c r="BL110" s="145">
        <f t="shared" si="89"/>
        <v>0.12918743399274887</v>
      </c>
      <c r="BO110">
        <f>IF(BP110&lt;=Presentation!$F$34,1,0)</f>
        <v>1</v>
      </c>
      <c r="BP110" s="146">
        <v>16</v>
      </c>
      <c r="BQ110" s="144"/>
      <c r="BR110" s="144">
        <f t="shared" si="115"/>
        <v>0.15040855311014056</v>
      </c>
      <c r="BS110" s="144">
        <f t="shared" si="116"/>
        <v>0.84959144688985933</v>
      </c>
      <c r="BT110" s="144" t="str">
        <f t="shared" si="124"/>
        <v>ok</v>
      </c>
      <c r="BU110" s="145">
        <f t="shared" si="90"/>
        <v>7.2349085745101391E-2</v>
      </c>
      <c r="BV110" s="145">
        <f t="shared" si="91"/>
        <v>5.5708796023728073E-2</v>
      </c>
      <c r="BZ110" s="136"/>
    </row>
    <row r="111" spans="1:78" x14ac:dyDescent="0.3">
      <c r="A111" s="136"/>
      <c r="B111">
        <f>IF(C111&lt;=Presentation!$F$34,1,0)</f>
        <v>1</v>
      </c>
      <c r="C111" s="146">
        <v>17</v>
      </c>
      <c r="D111" s="144">
        <f t="shared" si="103"/>
        <v>0.94872813654331667</v>
      </c>
      <c r="E111" s="144"/>
      <c r="F111" s="144">
        <f t="shared" si="104"/>
        <v>5.1271863456683428E-2</v>
      </c>
      <c r="G111" s="144" t="str">
        <f t="shared" si="117"/>
        <v>ok</v>
      </c>
      <c r="H111" s="145">
        <f t="shared" si="79"/>
        <v>0.43462329058792376</v>
      </c>
      <c r="I111" s="145">
        <f t="shared" si="93"/>
        <v>0.36073733118797668</v>
      </c>
      <c r="L111" s="80">
        <v>17</v>
      </c>
      <c r="M111" s="145">
        <f t="shared" si="94"/>
        <v>0.99419152928193055</v>
      </c>
      <c r="N111" s="145">
        <f>INDEX('Table of Life'!$E$8:$E$108,MATCH(MIN(idade_entrada+Markov!C111,100),'Table of Life'!$D$8:$D$108))</f>
        <v>5.8084707180694264E-3</v>
      </c>
      <c r="Q111">
        <f>IF(R111&lt;=Presentation!$F$34,1,0)</f>
        <v>1</v>
      </c>
      <c r="R111" s="146">
        <v>17</v>
      </c>
      <c r="S111" s="144">
        <f t="shared" si="105"/>
        <v>0.90610507757583725</v>
      </c>
      <c r="T111" s="144"/>
      <c r="U111" s="144">
        <f t="shared" si="106"/>
        <v>9.3894922424162697E-2</v>
      </c>
      <c r="V111" s="144" t="str">
        <f t="shared" si="118"/>
        <v>ok</v>
      </c>
      <c r="W111" s="145">
        <f t="shared" si="80"/>
        <v>0.41509717617240255</v>
      </c>
      <c r="X111" s="145">
        <f t="shared" si="81"/>
        <v>0.3362287126996461</v>
      </c>
      <c r="AA111">
        <f>IF(AB111&lt;=Presentation!$F$34,1,0)</f>
        <v>1</v>
      </c>
      <c r="AB111" s="146">
        <v>17</v>
      </c>
      <c r="AC111" s="144">
        <f t="shared" si="96"/>
        <v>0.74267258322078289</v>
      </c>
      <c r="AD111" s="144"/>
      <c r="AE111" s="144">
        <f t="shared" si="97"/>
        <v>0.25732741677921717</v>
      </c>
      <c r="AF111" s="144" t="str">
        <f t="shared" si="119"/>
        <v>ok</v>
      </c>
      <c r="AG111" s="145">
        <f t="shared" si="82"/>
        <v>0.34022686744055769</v>
      </c>
      <c r="AH111" s="145">
        <f t="shared" si="83"/>
        <v>0.27218149395244617</v>
      </c>
      <c r="AK111">
        <f>IF(AL111&lt;=Presentation!$F$34,1,0)</f>
        <v>1</v>
      </c>
      <c r="AL111" s="146">
        <v>17</v>
      </c>
      <c r="AM111" s="144">
        <f t="shared" si="107"/>
        <v>0.9563549848607088</v>
      </c>
      <c r="AN111" s="144">
        <f t="shared" si="120"/>
        <v>1.8863675449951736E-4</v>
      </c>
      <c r="AO111" s="144">
        <f t="shared" si="108"/>
        <v>4.3456378384790745E-2</v>
      </c>
      <c r="AP111" s="144" t="str">
        <f t="shared" si="121"/>
        <v>checar</v>
      </c>
      <c r="AQ111" s="145">
        <f t="shared" si="84"/>
        <v>0.43820365434930914</v>
      </c>
      <c r="AR111" s="145">
        <f t="shared" si="85"/>
        <v>0.35494150335611213</v>
      </c>
      <c r="AU111">
        <f>IF(AV111&lt;=Presentation!$F$34,1,0)</f>
        <v>1</v>
      </c>
      <c r="AV111" s="146">
        <v>17</v>
      </c>
      <c r="AW111" s="144">
        <f t="shared" si="109"/>
        <v>0.1175886401372269</v>
      </c>
      <c r="AX111" s="144">
        <f t="shared" si="110"/>
        <v>0.25298436681867642</v>
      </c>
      <c r="AY111" s="144">
        <f t="shared" si="111"/>
        <v>0.62942699304409644</v>
      </c>
      <c r="AZ111" s="144" t="str">
        <f t="shared" si="122"/>
        <v>ok</v>
      </c>
      <c r="BA111" s="145">
        <f t="shared" si="86"/>
        <v>0.1697637642254986</v>
      </c>
      <c r="BB111" s="145">
        <f t="shared" si="87"/>
        <v>0.13287284688972048</v>
      </c>
      <c r="BE111">
        <f>IF(BF111&lt;=Presentation!$F$34,1,0)</f>
        <v>1</v>
      </c>
      <c r="BF111" s="146">
        <v>17</v>
      </c>
      <c r="BG111" s="144">
        <f t="shared" si="112"/>
        <v>8.973083329700339E-2</v>
      </c>
      <c r="BH111" s="144">
        <f t="shared" si="113"/>
        <v>0.22407629233423354</v>
      </c>
      <c r="BI111" s="144">
        <f t="shared" si="114"/>
        <v>0.68619287436876297</v>
      </c>
      <c r="BJ111" s="144" t="str">
        <f t="shared" si="123"/>
        <v>ok</v>
      </c>
      <c r="BK111" s="145">
        <f t="shared" si="88"/>
        <v>0.14375865993467249</v>
      </c>
      <c r="BL111" s="145">
        <f t="shared" si="89"/>
        <v>0.11233843729414769</v>
      </c>
      <c r="BO111">
        <f>IF(BP111&lt;=Presentation!$F$34,1,0)</f>
        <v>1</v>
      </c>
      <c r="BP111" s="146">
        <v>17</v>
      </c>
      <c r="BQ111" s="144"/>
      <c r="BR111" s="144">
        <f t="shared" si="115"/>
        <v>0.13361403112545991</v>
      </c>
      <c r="BS111" s="144">
        <f t="shared" si="116"/>
        <v>0.86638596887454</v>
      </c>
      <c r="BT111" s="144" t="str">
        <f t="shared" si="124"/>
        <v>ok</v>
      </c>
      <c r="BU111" s="145">
        <f t="shared" si="90"/>
        <v>6.1210127158290759E-2</v>
      </c>
      <c r="BV111" s="145">
        <f t="shared" si="91"/>
        <v>4.7131797911883884E-2</v>
      </c>
      <c r="BZ111" s="136"/>
    </row>
    <row r="112" spans="1:78" x14ac:dyDescent="0.3">
      <c r="A112" s="136"/>
      <c r="B112">
        <f>IF(C112&lt;=Presentation!$F$34,1,0)</f>
        <v>1</v>
      </c>
      <c r="C112" s="146">
        <v>18</v>
      </c>
      <c r="D112" s="144">
        <f t="shared" si="103"/>
        <v>0.94321747694279623</v>
      </c>
      <c r="E112" s="144"/>
      <c r="F112" s="144">
        <f t="shared" si="104"/>
        <v>5.6782523057203854E-2</v>
      </c>
      <c r="G112" s="144" t="str">
        <f t="shared" si="117"/>
        <v>ok</v>
      </c>
      <c r="H112" s="145">
        <f t="shared" si="79"/>
        <v>0.41152266088681216</v>
      </c>
      <c r="I112" s="145">
        <f t="shared" si="93"/>
        <v>0.34156380853605406</v>
      </c>
      <c r="L112" s="80">
        <v>18</v>
      </c>
      <c r="M112" s="145">
        <f t="shared" si="94"/>
        <v>0.9937271040137502</v>
      </c>
      <c r="N112" s="145">
        <f>INDEX('Table of Life'!$E$8:$E$108,MATCH(MIN(idade_entrada+Markov!C112,100),'Table of Life'!$D$8:$D$108))</f>
        <v>6.2728959862498115E-3</v>
      </c>
      <c r="Q112">
        <f>IF(R112&lt;=Presentation!$F$34,1,0)</f>
        <v>1</v>
      </c>
      <c r="R112" s="146">
        <v>18</v>
      </c>
      <c r="S112" s="144">
        <f t="shared" si="105"/>
        <v>0.90086487939064852</v>
      </c>
      <c r="T112" s="144"/>
      <c r="U112" s="144">
        <f t="shared" si="106"/>
        <v>9.9135120609351465E-2</v>
      </c>
      <c r="V112" s="144" t="str">
        <f t="shared" si="118"/>
        <v>ok</v>
      </c>
      <c r="W112" s="145">
        <f t="shared" si="80"/>
        <v>0.39304436286309441</v>
      </c>
      <c r="X112" s="145">
        <f t="shared" si="81"/>
        <v>0.3183659339191065</v>
      </c>
      <c r="AA112">
        <f>IF(AB112&lt;=Presentation!$F$34,1,0)</f>
        <v>1</v>
      </c>
      <c r="AB112" s="146">
        <v>18</v>
      </c>
      <c r="AC112" s="144">
        <f t="shared" si="96"/>
        <v>0.72978887426905747</v>
      </c>
      <c r="AD112" s="144"/>
      <c r="AE112" s="144">
        <f t="shared" si="97"/>
        <v>0.27021112573094264</v>
      </c>
      <c r="AF112" s="144" t="str">
        <f t="shared" si="119"/>
        <v>ok</v>
      </c>
      <c r="AG112" s="145">
        <f t="shared" si="82"/>
        <v>0.31840446849884618</v>
      </c>
      <c r="AH112" s="145">
        <f t="shared" si="83"/>
        <v>0.25472357479907698</v>
      </c>
      <c r="AK112">
        <f>IF(AL112&lt;=Presentation!$F$34,1,0)</f>
        <v>1</v>
      </c>
      <c r="AL112" s="146">
        <v>18</v>
      </c>
      <c r="AM112" s="144">
        <f t="shared" si="107"/>
        <v>0.95384778270563575</v>
      </c>
      <c r="AN112" s="144">
        <f t="shared" si="120"/>
        <v>1.9148257083710191E-4</v>
      </c>
      <c r="AO112" s="144">
        <f t="shared" si="108"/>
        <v>4.5960734723526193E-2</v>
      </c>
      <c r="AP112" s="144" t="str">
        <f t="shared" si="121"/>
        <v>checar</v>
      </c>
      <c r="AQ112" s="145">
        <f t="shared" si="84"/>
        <v>0.41624417129082109</v>
      </c>
      <c r="AR112" s="145">
        <f t="shared" si="85"/>
        <v>0.33715443701710945</v>
      </c>
      <c r="AU112">
        <f>IF(AV112&lt;=Presentation!$F$34,1,0)</f>
        <v>1</v>
      </c>
      <c r="AV112" s="146">
        <v>18</v>
      </c>
      <c r="AW112" s="144">
        <f t="shared" si="109"/>
        <v>0.10367665525555497</v>
      </c>
      <c r="AX112" s="144">
        <f t="shared" si="110"/>
        <v>0.23708310287980772</v>
      </c>
      <c r="AY112" s="144">
        <f t="shared" si="111"/>
        <v>0.65924024186463714</v>
      </c>
      <c r="AZ112" s="144" t="str">
        <f t="shared" si="122"/>
        <v>ok</v>
      </c>
      <c r="BA112" s="145">
        <f t="shared" si="86"/>
        <v>0.14867235374553561</v>
      </c>
      <c r="BB112" s="145">
        <f t="shared" si="87"/>
        <v>0.11628706363488528</v>
      </c>
      <c r="BE112">
        <f>IF(BF112&lt;=Presentation!$F$34,1,0)</f>
        <v>1</v>
      </c>
      <c r="BF112" s="146">
        <v>18</v>
      </c>
      <c r="BG112" s="144">
        <f t="shared" si="112"/>
        <v>7.786638921376754E-2</v>
      </c>
      <c r="BH112" s="144">
        <f t="shared" si="113"/>
        <v>0.20847781562027837</v>
      </c>
      <c r="BI112" s="144">
        <f t="shared" si="114"/>
        <v>0.71365579516595401</v>
      </c>
      <c r="BJ112" s="144" t="str">
        <f t="shared" si="123"/>
        <v>ok</v>
      </c>
      <c r="BK112" s="145">
        <f t="shared" si="88"/>
        <v>0.12493102808565903</v>
      </c>
      <c r="BL112" s="145">
        <f t="shared" si="89"/>
        <v>9.7555805533564854E-2</v>
      </c>
      <c r="BO112">
        <f>IF(BP112&lt;=Presentation!$F$34,1,0)</f>
        <v>1</v>
      </c>
      <c r="BP112" s="146">
        <v>18</v>
      </c>
      <c r="BQ112" s="144"/>
      <c r="BR112" s="144">
        <f t="shared" si="115"/>
        <v>0.11869477462842329</v>
      </c>
      <c r="BS112" s="144">
        <f t="shared" si="116"/>
        <v>0.88130522537157663</v>
      </c>
      <c r="BT112" s="144" t="str">
        <f t="shared" si="124"/>
        <v>ok</v>
      </c>
      <c r="BU112" s="145">
        <f t="shared" si="90"/>
        <v>5.1786137007098304E-2</v>
      </c>
      <c r="BV112" s="145">
        <f t="shared" si="91"/>
        <v>3.9875325495465692E-2</v>
      </c>
      <c r="BZ112" s="136"/>
    </row>
    <row r="113" spans="1:78" x14ac:dyDescent="0.3">
      <c r="A113" s="136"/>
      <c r="B113">
        <f>IF(C113&lt;=Presentation!$F$34,1,0)</f>
        <v>1</v>
      </c>
      <c r="C113" s="146">
        <v>19</v>
      </c>
      <c r="D113" s="144">
        <f t="shared" si="103"/>
        <v>0.93730077181752114</v>
      </c>
      <c r="E113" s="144"/>
      <c r="F113" s="144">
        <f t="shared" si="104"/>
        <v>6.2699228182479E-2</v>
      </c>
      <c r="G113" s="144" t="str">
        <f t="shared" si="117"/>
        <v>ok</v>
      </c>
      <c r="H113" s="145">
        <f t="shared" si="79"/>
        <v>0.38946783051341377</v>
      </c>
      <c r="I113" s="145">
        <f t="shared" si="93"/>
        <v>0.32325829932613342</v>
      </c>
      <c r="L113" s="80">
        <v>19</v>
      </c>
      <c r="M113" s="145">
        <f t="shared" si="94"/>
        <v>0.99322110950644227</v>
      </c>
      <c r="N113" s="145">
        <f>INDEX('Table of Life'!$E$8:$E$108,MATCH(MIN(idade_entrada+Markov!C113,100),'Table of Life'!$D$8:$D$108))</f>
        <v>6.7788904935577703E-3</v>
      </c>
      <c r="Q113">
        <f>IF(R113&lt;=Presentation!$F$34,1,0)</f>
        <v>1</v>
      </c>
      <c r="R113" s="146">
        <v>19</v>
      </c>
      <c r="S113" s="144">
        <f t="shared" si="105"/>
        <v>0.89565498638495789</v>
      </c>
      <c r="T113" s="144"/>
      <c r="U113" s="144">
        <f t="shared" si="106"/>
        <v>0.10434501361504216</v>
      </c>
      <c r="V113" s="144" t="str">
        <f t="shared" si="118"/>
        <v>ok</v>
      </c>
      <c r="W113" s="145">
        <f t="shared" si="80"/>
        <v>0.37216314647800441</v>
      </c>
      <c r="X113" s="145">
        <f t="shared" si="81"/>
        <v>0.30145214864718362</v>
      </c>
      <c r="AA113">
        <f>IF(AB113&lt;=Presentation!$F$34,1,0)</f>
        <v>1</v>
      </c>
      <c r="AB113" s="146">
        <v>19</v>
      </c>
      <c r="AC113" s="144">
        <f t="shared" si="96"/>
        <v>0.7171286688639863</v>
      </c>
      <c r="AD113" s="144"/>
      <c r="AE113" s="144">
        <f t="shared" si="97"/>
        <v>0.28287133113601376</v>
      </c>
      <c r="AF113" s="144" t="str">
        <f t="shared" si="119"/>
        <v>ok</v>
      </c>
      <c r="AG113" s="145">
        <f t="shared" si="82"/>
        <v>0.29798177411061005</v>
      </c>
      <c r="AH113" s="145">
        <f t="shared" si="83"/>
        <v>0.23838541928848805</v>
      </c>
      <c r="AK113">
        <f>IF(AL113&lt;=Presentation!$F$34,1,0)</f>
        <v>1</v>
      </c>
      <c r="AL113" s="146">
        <v>19</v>
      </c>
      <c r="AM113" s="144">
        <f t="shared" si="107"/>
        <v>0.95134715348921606</v>
      </c>
      <c r="AN113" s="144">
        <f t="shared" si="120"/>
        <v>1.9394794510490266E-4</v>
      </c>
      <c r="AO113" s="144">
        <f t="shared" si="108"/>
        <v>4.8458898565677984E-2</v>
      </c>
      <c r="AP113" s="144" t="str">
        <f t="shared" si="121"/>
        <v>checar</v>
      </c>
      <c r="AQ113" s="145">
        <f t="shared" si="84"/>
        <v>0.39538498160131524</v>
      </c>
      <c r="AR113" s="145">
        <f t="shared" si="85"/>
        <v>0.32025861152197899</v>
      </c>
      <c r="AU113">
        <f>IF(AV113&lt;=Presentation!$F$34,1,0)</f>
        <v>1</v>
      </c>
      <c r="AV113" s="146">
        <v>19</v>
      </c>
      <c r="AW113" s="144">
        <f t="shared" si="109"/>
        <v>9.1410605926177904E-2</v>
      </c>
      <c r="AX113" s="144">
        <f t="shared" si="110"/>
        <v>0.22149660539901347</v>
      </c>
      <c r="AY113" s="144">
        <f t="shared" si="111"/>
        <v>0.6870927886748085</v>
      </c>
      <c r="AZ113" s="144" t="str">
        <f t="shared" si="122"/>
        <v>ok</v>
      </c>
      <c r="BA113" s="145">
        <f t="shared" si="86"/>
        <v>0.13001940936260145</v>
      </c>
      <c r="BB113" s="145">
        <f t="shared" si="87"/>
        <v>0.10163426500265428</v>
      </c>
      <c r="BE113">
        <f>IF(BF113&lt;=Presentation!$F$34,1,0)</f>
        <v>1</v>
      </c>
      <c r="BF113" s="146">
        <v>19</v>
      </c>
      <c r="BG113" s="144">
        <f t="shared" si="112"/>
        <v>6.7570692775371977E-2</v>
      </c>
      <c r="BH113" s="144">
        <f t="shared" si="113"/>
        <v>0.1933752881220821</v>
      </c>
      <c r="BI113" s="144">
        <f t="shared" si="114"/>
        <v>0.73905401910254587</v>
      </c>
      <c r="BJ113" s="144" t="str">
        <f t="shared" si="123"/>
        <v>ok</v>
      </c>
      <c r="BK113" s="145">
        <f t="shared" si="88"/>
        <v>0.10842844486754787</v>
      </c>
      <c r="BL113" s="145">
        <f t="shared" si="89"/>
        <v>8.4612983288486737E-2</v>
      </c>
      <c r="BO113">
        <f>IF(BP113&lt;=Presentation!$F$34,1,0)</f>
        <v>1</v>
      </c>
      <c r="BP113" s="146">
        <v>19</v>
      </c>
      <c r="BQ113" s="144"/>
      <c r="BR113" s="144">
        <f t="shared" si="115"/>
        <v>0.10544139268475126</v>
      </c>
      <c r="BS113" s="144">
        <f t="shared" si="116"/>
        <v>0.89455860731524861</v>
      </c>
      <c r="BT113" s="144" t="str">
        <f t="shared" si="124"/>
        <v>ok</v>
      </c>
      <c r="BU113" s="145">
        <f t="shared" si="90"/>
        <v>4.3813076538507294E-2</v>
      </c>
      <c r="BV113" s="145">
        <f t="shared" si="91"/>
        <v>3.3736068934650615E-2</v>
      </c>
      <c r="BZ113" s="136"/>
    </row>
    <row r="114" spans="1:78" x14ac:dyDescent="0.3">
      <c r="A114" s="136"/>
      <c r="B114">
        <f>IF(C114&lt;=Presentation!$F$34,1,0)</f>
        <v>1</v>
      </c>
      <c r="C114" s="146">
        <v>20</v>
      </c>
      <c r="D114" s="144">
        <f t="shared" si="103"/>
        <v>0.93094691252584305</v>
      </c>
      <c r="E114" s="144"/>
      <c r="F114" s="144">
        <f t="shared" si="104"/>
        <v>6.9053087474157157E-2</v>
      </c>
      <c r="G114" s="144" t="str">
        <f t="shared" si="117"/>
        <v>ok</v>
      </c>
      <c r="H114" s="145">
        <f t="shared" si="79"/>
        <v>0.36840730546628553</v>
      </c>
      <c r="I114" s="145">
        <f t="shared" si="93"/>
        <v>0.30577806353701698</v>
      </c>
      <c r="L114" s="80">
        <v>20</v>
      </c>
      <c r="M114" s="145">
        <f t="shared" si="94"/>
        <v>0.99266470095671777</v>
      </c>
      <c r="N114" s="145">
        <f>INDEX('Table of Life'!$E$8:$E$108,MATCH(MIN(idade_entrada+Markov!C114,100),'Table of Life'!$D$8:$D$108))</f>
        <v>7.3352990432822051E-3</v>
      </c>
      <c r="Q114">
        <f>IF(R114&lt;=Presentation!$F$34,1,0)</f>
        <v>1</v>
      </c>
      <c r="R114" s="146">
        <v>20</v>
      </c>
      <c r="S114" s="144">
        <f t="shared" si="105"/>
        <v>0.8904752232974732</v>
      </c>
      <c r="T114" s="144"/>
      <c r="U114" s="144">
        <f t="shared" si="106"/>
        <v>0.10952477670252679</v>
      </c>
      <c r="V114" s="144" t="str">
        <f t="shared" si="118"/>
        <v>ok</v>
      </c>
      <c r="W114" s="145">
        <f t="shared" si="80"/>
        <v>0.35239128374079459</v>
      </c>
      <c r="X114" s="145">
        <f t="shared" si="81"/>
        <v>0.28543693983004365</v>
      </c>
      <c r="AA114">
        <f>IF(AB114&lt;=Presentation!$F$34,1,0)</f>
        <v>1</v>
      </c>
      <c r="AB114" s="146">
        <v>20</v>
      </c>
      <c r="AC114" s="144">
        <f t="shared" si="96"/>
        <v>0.70468808971871411</v>
      </c>
      <c r="AD114" s="144"/>
      <c r="AE114" s="144">
        <f t="shared" si="97"/>
        <v>0.29531191028128595</v>
      </c>
      <c r="AF114" s="144" t="str">
        <f t="shared" si="119"/>
        <v>ok</v>
      </c>
      <c r="AG114" s="145">
        <f t="shared" si="82"/>
        <v>0.2788690062068912</v>
      </c>
      <c r="AH114" s="145">
        <f t="shared" si="83"/>
        <v>0.22309520496551297</v>
      </c>
      <c r="AK114">
        <f>IF(AL114&lt;=Presentation!$F$34,1,0)</f>
        <v>1</v>
      </c>
      <c r="AL114" s="146">
        <v>20</v>
      </c>
      <c r="AM114" s="144">
        <f t="shared" si="107"/>
        <v>0.94885307997968316</v>
      </c>
      <c r="AN114" s="144">
        <f t="shared" si="120"/>
        <v>1.9607552154240641E-4</v>
      </c>
      <c r="AO114" s="144">
        <f t="shared" si="108"/>
        <v>5.0950844498773303E-2</v>
      </c>
      <c r="AP114" s="144" t="str">
        <f t="shared" si="121"/>
        <v>checar</v>
      </c>
      <c r="AQ114" s="145">
        <f t="shared" si="84"/>
        <v>0.37557097770981057</v>
      </c>
      <c r="AR114" s="145">
        <f t="shared" si="85"/>
        <v>0.304209388195266</v>
      </c>
      <c r="AU114">
        <f>IF(AV114&lt;=Presentation!$F$34,1,0)</f>
        <v>1</v>
      </c>
      <c r="AV114" s="146">
        <v>20</v>
      </c>
      <c r="AW114" s="144">
        <f t="shared" si="109"/>
        <v>8.0595760493954435E-2</v>
      </c>
      <c r="AX114" s="144">
        <f t="shared" si="110"/>
        <v>0.2063625509896885</v>
      </c>
      <c r="AY114" s="144">
        <f t="shared" si="111"/>
        <v>0.71304168851635696</v>
      </c>
      <c r="AZ114" s="144" t="str">
        <f t="shared" si="122"/>
        <v>ok</v>
      </c>
      <c r="BA114" s="145">
        <f t="shared" si="86"/>
        <v>0.11355914810223858</v>
      </c>
      <c r="BB114" s="145">
        <f t="shared" si="87"/>
        <v>8.8716323207485265E-2</v>
      </c>
      <c r="BE114">
        <f>IF(BF114&lt;=Presentation!$F$34,1,0)</f>
        <v>1</v>
      </c>
      <c r="BF114" s="146">
        <v>20</v>
      </c>
      <c r="BG114" s="144">
        <f t="shared" si="112"/>
        <v>5.8636320089392673E-2</v>
      </c>
      <c r="BH114" s="144">
        <f t="shared" si="113"/>
        <v>0.17887805097294729</v>
      </c>
      <c r="BI114" s="144">
        <f t="shared" si="114"/>
        <v>0.76248562893765992</v>
      </c>
      <c r="BJ114" s="144" t="str">
        <f t="shared" si="123"/>
        <v>ok</v>
      </c>
      <c r="BK114" s="145">
        <f t="shared" si="88"/>
        <v>9.3992501908820844E-2</v>
      </c>
      <c r="BL114" s="145">
        <f t="shared" si="89"/>
        <v>7.3302401788746863E-2</v>
      </c>
      <c r="BO114">
        <f>IF(BP114&lt;=Presentation!$F$34,1,0)</f>
        <v>1</v>
      </c>
      <c r="BP114" s="146">
        <v>20</v>
      </c>
      <c r="BQ114" s="144"/>
      <c r="BR114" s="144">
        <f t="shared" si="115"/>
        <v>9.3667874816770316E-2</v>
      </c>
      <c r="BS114" s="144">
        <f t="shared" si="116"/>
        <v>0.90633212518322959</v>
      </c>
      <c r="BT114" s="144" t="str">
        <f t="shared" si="124"/>
        <v>ok</v>
      </c>
      <c r="BU114" s="145">
        <f t="shared" si="90"/>
        <v>3.7067558746580791E-2</v>
      </c>
      <c r="BV114" s="145">
        <f t="shared" si="91"/>
        <v>2.854202023486721E-2</v>
      </c>
      <c r="BZ114" s="136"/>
    </row>
    <row r="115" spans="1:78" x14ac:dyDescent="0.3">
      <c r="A115" s="136"/>
      <c r="B115">
        <f>IF(C115&lt;=Presentation!$F$34,1,0)</f>
        <v>1</v>
      </c>
      <c r="C115" s="146">
        <v>21</v>
      </c>
      <c r="D115" s="144">
        <f t="shared" si="103"/>
        <v>0.92411813852904567</v>
      </c>
      <c r="E115" s="144"/>
      <c r="F115" s="144">
        <f t="shared" si="104"/>
        <v>7.5881861470954493E-2</v>
      </c>
      <c r="G115" s="144" t="str">
        <f t="shared" si="117"/>
        <v>ok</v>
      </c>
      <c r="H115" s="145">
        <f t="shared" si="79"/>
        <v>0.34829040734377198</v>
      </c>
      <c r="I115" s="145">
        <f t="shared" si="93"/>
        <v>0.28908103809533076</v>
      </c>
      <c r="L115" s="80">
        <v>21</v>
      </c>
      <c r="M115" s="145">
        <f t="shared" si="94"/>
        <v>0.99204526507162172</v>
      </c>
      <c r="N115" s="145">
        <f>INDEX('Table of Life'!$E$8:$E$108,MATCH(MIN(idade_entrada+Markov!C115,100),'Table of Life'!$D$8:$D$108))</f>
        <v>7.9547349283782976E-3</v>
      </c>
      <c r="Q115">
        <f>IF(R115&lt;=Presentation!$F$34,1,0)</f>
        <v>1</v>
      </c>
      <c r="R115" s="146">
        <v>21</v>
      </c>
      <c r="S115" s="144">
        <f t="shared" si="105"/>
        <v>0.88532541588047586</v>
      </c>
      <c r="T115" s="144"/>
      <c r="U115" s="144">
        <f t="shared" si="106"/>
        <v>0.11467458411952411</v>
      </c>
      <c r="V115" s="144" t="str">
        <f t="shared" si="118"/>
        <v>ok</v>
      </c>
      <c r="W115" s="145">
        <f t="shared" si="80"/>
        <v>0.33366983816551676</v>
      </c>
      <c r="X115" s="145">
        <f t="shared" si="81"/>
        <v>0.27027256891406859</v>
      </c>
      <c r="AA115">
        <f>IF(AB115&lt;=Presentation!$F$34,1,0)</f>
        <v>1</v>
      </c>
      <c r="AB115" s="146">
        <v>21</v>
      </c>
      <c r="AC115" s="144">
        <f t="shared" si="96"/>
        <v>0.69246332680864409</v>
      </c>
      <c r="AD115" s="144"/>
      <c r="AE115" s="144">
        <f t="shared" si="97"/>
        <v>0.30753667319135597</v>
      </c>
      <c r="AF115" s="144" t="str">
        <f t="shared" si="119"/>
        <v>ok</v>
      </c>
      <c r="AG115" s="145">
        <f t="shared" si="82"/>
        <v>0.26098214514942747</v>
      </c>
      <c r="AH115" s="145">
        <f t="shared" si="83"/>
        <v>0.208785716119542</v>
      </c>
      <c r="AK115">
        <f>IF(AL115&lt;=Presentation!$F$34,1,0)</f>
        <v>1</v>
      </c>
      <c r="AL115" s="146">
        <v>21</v>
      </c>
      <c r="AM115" s="144">
        <f t="shared" si="107"/>
        <v>0.94636554499044556</v>
      </c>
      <c r="AN115" s="144">
        <f t="shared" si="120"/>
        <v>1.9790318233004224E-4</v>
      </c>
      <c r="AO115" s="144">
        <f t="shared" si="108"/>
        <v>5.3436551827223198E-2</v>
      </c>
      <c r="AP115" s="144" t="str">
        <f t="shared" si="121"/>
        <v>checar</v>
      </c>
      <c r="AQ115" s="145">
        <f t="shared" si="84"/>
        <v>0.35674980848832172</v>
      </c>
      <c r="AR115" s="145">
        <f t="shared" si="85"/>
        <v>0.28896436137041875</v>
      </c>
      <c r="AU115">
        <f>IF(AV115&lt;=Presentation!$F$34,1,0)</f>
        <v>1</v>
      </c>
      <c r="AV115" s="146">
        <v>21</v>
      </c>
      <c r="AW115" s="144">
        <f t="shared" si="109"/>
        <v>7.1060426126533904E-2</v>
      </c>
      <c r="AX115" s="144">
        <f t="shared" si="110"/>
        <v>0.19178279655962605</v>
      </c>
      <c r="AY115" s="144">
        <f t="shared" si="111"/>
        <v>0.73715677731383999</v>
      </c>
      <c r="AZ115" s="144" t="str">
        <f t="shared" si="122"/>
        <v>ok</v>
      </c>
      <c r="BA115" s="145">
        <f t="shared" si="86"/>
        <v>9.906284627485977E-2</v>
      </c>
      <c r="BB115" s="145">
        <f t="shared" si="87"/>
        <v>7.7349668721864606E-2</v>
      </c>
      <c r="BE115">
        <f>IF(BF115&lt;=Presentation!$F$34,1,0)</f>
        <v>1</v>
      </c>
      <c r="BF115" s="146">
        <v>21</v>
      </c>
      <c r="BG115" s="144">
        <f t="shared" si="112"/>
        <v>5.0883273389774525E-2</v>
      </c>
      <c r="BH115" s="144">
        <f t="shared" si="113"/>
        <v>0.16506145683708309</v>
      </c>
      <c r="BI115" s="144">
        <f t="shared" si="114"/>
        <v>0.78405526977314222</v>
      </c>
      <c r="BJ115" s="144" t="str">
        <f t="shared" si="123"/>
        <v>ok</v>
      </c>
      <c r="BK115" s="145">
        <f t="shared" si="88"/>
        <v>8.1387297704349992E-2</v>
      </c>
      <c r="BL115" s="145">
        <f t="shared" si="89"/>
        <v>6.3435314056139808E-2</v>
      </c>
      <c r="BO115">
        <f>IF(BP115&lt;=Presentation!$F$34,1,0)</f>
        <v>1</v>
      </c>
      <c r="BP115" s="146">
        <v>21</v>
      </c>
      <c r="BQ115" s="144"/>
      <c r="BR115" s="144">
        <f t="shared" si="115"/>
        <v>8.3208980356715131E-2</v>
      </c>
      <c r="BS115" s="144">
        <f t="shared" si="116"/>
        <v>0.9167910196432848</v>
      </c>
      <c r="BT115" s="144" t="str">
        <f t="shared" si="124"/>
        <v>ok</v>
      </c>
      <c r="BU115" s="145">
        <f t="shared" si="90"/>
        <v>3.1360589577032034E-2</v>
      </c>
      <c r="BV115" s="145">
        <f t="shared" si="91"/>
        <v>2.4147653974314669E-2</v>
      </c>
      <c r="BZ115" s="136"/>
    </row>
    <row r="116" spans="1:78" x14ac:dyDescent="0.3">
      <c r="A116" s="136"/>
      <c r="B116">
        <f>IF(C116&lt;=Presentation!$F$34,1,0)</f>
        <v>1</v>
      </c>
      <c r="C116" s="146">
        <v>22</v>
      </c>
      <c r="D116" s="144">
        <f t="shared" si="103"/>
        <v>0.91676702369454077</v>
      </c>
      <c r="E116" s="144"/>
      <c r="F116" s="144">
        <f t="shared" si="104"/>
        <v>8.3232976305459422E-2</v>
      </c>
      <c r="G116" s="144" t="str">
        <f t="shared" si="117"/>
        <v>ok</v>
      </c>
      <c r="H116" s="145">
        <f t="shared" si="79"/>
        <v>0.32906652330976705</v>
      </c>
      <c r="I116" s="145">
        <f t="shared" si="93"/>
        <v>0.27312521434710663</v>
      </c>
      <c r="L116" s="80">
        <v>22</v>
      </c>
      <c r="M116" s="145">
        <f t="shared" si="94"/>
        <v>0.99135151936124632</v>
      </c>
      <c r="N116" s="145">
        <f>INDEX('Table of Life'!$E$8:$E$108,MATCH(MIN(idade_entrada+Markov!C116,100),'Table of Life'!$D$8:$D$108))</f>
        <v>8.6484806387537097E-3</v>
      </c>
      <c r="Q116">
        <f>IF(R116&lt;=Presentation!$F$34,1,0)</f>
        <v>1</v>
      </c>
      <c r="R116" s="146">
        <v>22</v>
      </c>
      <c r="S116" s="144">
        <f t="shared" si="105"/>
        <v>0.88020539089395866</v>
      </c>
      <c r="T116" s="144"/>
      <c r="U116" s="144">
        <f t="shared" si="106"/>
        <v>0.11979460910604127</v>
      </c>
      <c r="V116" s="144" t="str">
        <f t="shared" si="118"/>
        <v>ok</v>
      </c>
      <c r="W116" s="145">
        <f t="shared" si="80"/>
        <v>0.31594300437719186</v>
      </c>
      <c r="X116" s="145">
        <f t="shared" si="81"/>
        <v>0.25591383354552544</v>
      </c>
      <c r="AA116">
        <f>IF(AB116&lt;=Presentation!$F$34,1,0)</f>
        <v>1</v>
      </c>
      <c r="AB116" s="146">
        <v>22</v>
      </c>
      <c r="AC116" s="144">
        <f t="shared" si="96"/>
        <v>0.68045063620458834</v>
      </c>
      <c r="AD116" s="144"/>
      <c r="AE116" s="144">
        <f t="shared" si="97"/>
        <v>0.31954936379541171</v>
      </c>
      <c r="AF116" s="144" t="str">
        <f t="shared" si="119"/>
        <v>ok</v>
      </c>
      <c r="AG116" s="145">
        <f t="shared" si="82"/>
        <v>0.24424256038071579</v>
      </c>
      <c r="AH116" s="145">
        <f t="shared" si="83"/>
        <v>0.19539404830457263</v>
      </c>
      <c r="AK116">
        <f>IF(AL116&lt;=Presentation!$F$34,1,0)</f>
        <v>1</v>
      </c>
      <c r="AL116" s="146">
        <v>22</v>
      </c>
      <c r="AM116" s="144">
        <f t="shared" si="107"/>
        <v>0.94388453137996853</v>
      </c>
      <c r="AN116" s="144">
        <f t="shared" si="120"/>
        <v>1.9946457931875226E-4</v>
      </c>
      <c r="AO116" s="144">
        <f t="shared" si="108"/>
        <v>5.5916004040711453E-2</v>
      </c>
      <c r="AP116" s="144" t="str">
        <f t="shared" si="121"/>
        <v>checar</v>
      </c>
      <c r="AQ116" s="145">
        <f t="shared" si="84"/>
        <v>0.33887174192930647</v>
      </c>
      <c r="AR116" s="145">
        <f t="shared" si="85"/>
        <v>0.27448324711122774</v>
      </c>
      <c r="AU116">
        <f>IF(AV116&lt;=Presentation!$F$34,1,0)</f>
        <v>1</v>
      </c>
      <c r="AV116" s="146">
        <v>22</v>
      </c>
      <c r="AW116" s="144">
        <f t="shared" si="109"/>
        <v>6.2653223076955214E-2</v>
      </c>
      <c r="AX116" s="144">
        <f t="shared" si="110"/>
        <v>0.17782979799262449</v>
      </c>
      <c r="AY116" s="144">
        <f t="shared" si="111"/>
        <v>0.75951697893042025</v>
      </c>
      <c r="AZ116" s="144" t="str">
        <f t="shared" si="122"/>
        <v>ok</v>
      </c>
      <c r="BA116" s="145">
        <f t="shared" si="86"/>
        <v>8.6319544238715046E-2</v>
      </c>
      <c r="BB116" s="145">
        <f t="shared" si="87"/>
        <v>6.7365604905555376E-2</v>
      </c>
      <c r="BE116">
        <f>IF(BF116&lt;=Presentation!$F$34,1,0)</f>
        <v>1</v>
      </c>
      <c r="BF116" s="146">
        <v>22</v>
      </c>
      <c r="BG116" s="144">
        <f t="shared" si="112"/>
        <v>4.4155354683093534E-2</v>
      </c>
      <c r="BH116" s="144">
        <f t="shared" si="113"/>
        <v>0.1519735447834008</v>
      </c>
      <c r="BI116" s="144">
        <f t="shared" si="114"/>
        <v>0.80387110053350552</v>
      </c>
      <c r="BJ116" s="144" t="str">
        <f t="shared" si="123"/>
        <v>ok</v>
      </c>
      <c r="BK116" s="145">
        <f t="shared" si="88"/>
        <v>7.0398970948931217E-2</v>
      </c>
      <c r="BL116" s="145">
        <f t="shared" si="89"/>
        <v>5.4841176727537425E-2</v>
      </c>
      <c r="BO116">
        <f>IF(BP116&lt;=Presentation!$F$34,1,0)</f>
        <v>1</v>
      </c>
      <c r="BP116" s="146">
        <v>22</v>
      </c>
      <c r="BQ116" s="144"/>
      <c r="BR116" s="144">
        <f t="shared" si="115"/>
        <v>7.3917919303156623E-2</v>
      </c>
      <c r="BS116" s="144">
        <f t="shared" si="116"/>
        <v>0.92608208069684328</v>
      </c>
      <c r="BT116" s="144" t="str">
        <f t="shared" si="124"/>
        <v>ok</v>
      </c>
      <c r="BU116" s="145">
        <f t="shared" si="90"/>
        <v>2.6532272744014183E-2</v>
      </c>
      <c r="BV116" s="145">
        <f t="shared" si="91"/>
        <v>2.042985001289092E-2</v>
      </c>
      <c r="BZ116" s="136"/>
    </row>
    <row r="117" spans="1:78" x14ac:dyDescent="0.3">
      <c r="A117" s="136"/>
      <c r="B117">
        <f>IF(C117&lt;=Presentation!$F$34,1,0)</f>
        <v>1</v>
      </c>
      <c r="C117" s="146">
        <v>23</v>
      </c>
      <c r="D117" s="144">
        <f t="shared" si="103"/>
        <v>0.90883838183987076</v>
      </c>
      <c r="E117" s="144"/>
      <c r="F117" s="144">
        <f t="shared" si="104"/>
        <v>9.1161618160129521E-2</v>
      </c>
      <c r="G117" s="144" t="str">
        <f t="shared" si="117"/>
        <v>ok</v>
      </c>
      <c r="H117" s="145">
        <f t="shared" si="79"/>
        <v>0.31068628367053386</v>
      </c>
      <c r="I117" s="145">
        <f t="shared" si="93"/>
        <v>0.25786961544654308</v>
      </c>
      <c r="L117" s="80">
        <v>23</v>
      </c>
      <c r="M117" s="145">
        <f t="shared" si="94"/>
        <v>0.99057250416024767</v>
      </c>
      <c r="N117" s="145">
        <f>INDEX('Table of Life'!$E$8:$E$108,MATCH(MIN(idade_entrada+Markov!C117,100),'Table of Life'!$D$8:$D$108))</f>
        <v>9.4274958397523798E-3</v>
      </c>
      <c r="Q117">
        <f>IF(R117&lt;=Presentation!$F$34,1,0)</f>
        <v>1</v>
      </c>
      <c r="R117" s="146">
        <v>23</v>
      </c>
      <c r="S117" s="144">
        <f t="shared" si="105"/>
        <v>0.87511497609979827</v>
      </c>
      <c r="T117" s="144"/>
      <c r="U117" s="144">
        <f t="shared" si="106"/>
        <v>0.12488502390020166</v>
      </c>
      <c r="V117" s="144" t="str">
        <f t="shared" si="118"/>
        <v>ok</v>
      </c>
      <c r="W117" s="145">
        <f t="shared" si="80"/>
        <v>0.29915794176568827</v>
      </c>
      <c r="X117" s="145">
        <f t="shared" si="81"/>
        <v>0.24231793283020753</v>
      </c>
      <c r="AA117">
        <f>IF(AB117&lt;=Presentation!$F$34,1,0)</f>
        <v>1</v>
      </c>
      <c r="AB117" s="146">
        <v>23</v>
      </c>
      <c r="AC117" s="144">
        <f t="shared" si="96"/>
        <v>0.6686463389261601</v>
      </c>
      <c r="AD117" s="144"/>
      <c r="AE117" s="144">
        <f t="shared" si="97"/>
        <v>0.3313536610738399</v>
      </c>
      <c r="AF117" s="144" t="str">
        <f t="shared" si="119"/>
        <v>ok</v>
      </c>
      <c r="AG117" s="145">
        <f t="shared" si="82"/>
        <v>0.22857666476444952</v>
      </c>
      <c r="AH117" s="145">
        <f t="shared" si="83"/>
        <v>0.18286133181155961</v>
      </c>
      <c r="AK117">
        <f>IF(AL117&lt;=Presentation!$F$34,1,0)</f>
        <v>1</v>
      </c>
      <c r="AL117" s="146">
        <v>23</v>
      </c>
      <c r="AM117" s="144">
        <f t="shared" si="107"/>
        <v>0.94141002205165603</v>
      </c>
      <c r="AN117" s="144">
        <f t="shared" si="120"/>
        <v>2.007896063869789E-4</v>
      </c>
      <c r="AO117" s="144">
        <f t="shared" si="108"/>
        <v>5.8389188341955695E-2</v>
      </c>
      <c r="AP117" s="144" t="str">
        <f t="shared" si="121"/>
        <v>checar</v>
      </c>
      <c r="AQ117" s="145">
        <f t="shared" si="84"/>
        <v>0.32188953457907143</v>
      </c>
      <c r="AR117" s="145">
        <f t="shared" si="85"/>
        <v>0.26072777741300551</v>
      </c>
      <c r="AU117">
        <f>IF(AV117&lt;=Presentation!$F$34,1,0)</f>
        <v>1</v>
      </c>
      <c r="AV117" s="146">
        <v>23</v>
      </c>
      <c r="AW117" s="144">
        <f t="shared" si="109"/>
        <v>5.5240681429926899E-2</v>
      </c>
      <c r="AX117" s="144">
        <f t="shared" si="110"/>
        <v>0.16455202592182075</v>
      </c>
      <c r="AY117" s="144">
        <f t="shared" si="111"/>
        <v>0.78020729264825228</v>
      </c>
      <c r="AZ117" s="144" t="str">
        <f t="shared" si="122"/>
        <v>ok</v>
      </c>
      <c r="BA117" s="145">
        <f t="shared" si="86"/>
        <v>7.513610867397455E-2</v>
      </c>
      <c r="BB117" s="145">
        <f t="shared" si="87"/>
        <v>5.8610164471982709E-2</v>
      </c>
      <c r="BE117">
        <f>IF(BF117&lt;=Presentation!$F$34,1,0)</f>
        <v>1</v>
      </c>
      <c r="BF117" s="146">
        <v>23</v>
      </c>
      <c r="BG117" s="144">
        <f t="shared" si="112"/>
        <v>3.8317018880738907E-2</v>
      </c>
      <c r="BH117" s="144">
        <f t="shared" si="113"/>
        <v>0.13964058908006619</v>
      </c>
      <c r="BI117" s="144">
        <f t="shared" si="114"/>
        <v>0.82204239203919471</v>
      </c>
      <c r="BJ117" s="144" t="str">
        <f t="shared" si="123"/>
        <v>ok</v>
      </c>
      <c r="BK117" s="145">
        <f t="shared" si="88"/>
        <v>6.0834785340284823E-2</v>
      </c>
      <c r="BL117" s="145">
        <f t="shared" si="89"/>
        <v>4.7366731430611479E-2</v>
      </c>
      <c r="BO117">
        <f>IF(BP117&lt;=Presentation!$F$34,1,0)</f>
        <v>1</v>
      </c>
      <c r="BP117" s="146">
        <v>23</v>
      </c>
      <c r="BQ117" s="144"/>
      <c r="BR117" s="144">
        <f t="shared" si="115"/>
        <v>6.5664292131504653E-2</v>
      </c>
      <c r="BS117" s="144">
        <f t="shared" si="116"/>
        <v>0.93433570786849529</v>
      </c>
      <c r="BT117" s="144" t="str">
        <f t="shared" si="124"/>
        <v>ok</v>
      </c>
      <c r="BU117" s="145">
        <f t="shared" si="90"/>
        <v>2.2447329800149147E-2</v>
      </c>
      <c r="BV117" s="145">
        <f t="shared" si="91"/>
        <v>1.7284443946114843E-2</v>
      </c>
      <c r="BZ117" s="136"/>
    </row>
    <row r="118" spans="1:78" x14ac:dyDescent="0.3">
      <c r="A118" s="136"/>
      <c r="B118">
        <f>IF(C118&lt;=Presentation!$F$34,1,0)</f>
        <v>1</v>
      </c>
      <c r="C118" s="146">
        <v>24</v>
      </c>
      <c r="D118" s="144">
        <f t="shared" si="103"/>
        <v>0.90027031177606809</v>
      </c>
      <c r="E118" s="144"/>
      <c r="F118" s="144">
        <f t="shared" si="104"/>
        <v>9.9729688223932189E-2</v>
      </c>
      <c r="G118" s="144" t="str">
        <f t="shared" si="117"/>
        <v>ok</v>
      </c>
      <c r="H118" s="145">
        <f t="shared" si="79"/>
        <v>0.29310218097501112</v>
      </c>
      <c r="I118" s="145">
        <f t="shared" si="93"/>
        <v>0.24327481020925923</v>
      </c>
      <c r="L118" s="80">
        <v>24</v>
      </c>
      <c r="M118" s="145">
        <f t="shared" si="94"/>
        <v>0.98970353595780791</v>
      </c>
      <c r="N118" s="145">
        <f>INDEX('Table of Life'!$E$8:$E$108,MATCH(MIN(idade_entrada+Markov!C118,100),'Table of Life'!$D$8:$D$108))</f>
        <v>1.0296464042192095E-2</v>
      </c>
      <c r="Q118">
        <f>IF(R118&lt;=Presentation!$F$34,1,0)</f>
        <v>1</v>
      </c>
      <c r="R118" s="146">
        <v>24</v>
      </c>
      <c r="S118" s="144">
        <f t="shared" si="105"/>
        <v>0.87005400025596091</v>
      </c>
      <c r="T118" s="144"/>
      <c r="U118" s="144">
        <f t="shared" si="106"/>
        <v>0.129945999744039</v>
      </c>
      <c r="V118" s="144" t="str">
        <f t="shared" si="118"/>
        <v>ok</v>
      </c>
      <c r="W118" s="145">
        <f t="shared" si="80"/>
        <v>0.28326461697704747</v>
      </c>
      <c r="X118" s="145">
        <f t="shared" si="81"/>
        <v>0.22944433975140846</v>
      </c>
      <c r="AA118">
        <f>IF(AB118&lt;=Presentation!$F$34,1,0)</f>
        <v>1</v>
      </c>
      <c r="AB118" s="146">
        <v>24</v>
      </c>
      <c r="AC118" s="144">
        <f t="shared" si="96"/>
        <v>0.65704681981505753</v>
      </c>
      <c r="AD118" s="144"/>
      <c r="AE118" s="144">
        <f t="shared" si="97"/>
        <v>0.34295318018494253</v>
      </c>
      <c r="AF118" s="144" t="str">
        <f t="shared" si="119"/>
        <v>ok</v>
      </c>
      <c r="AG118" s="145">
        <f t="shared" si="82"/>
        <v>0.21391559109681166</v>
      </c>
      <c r="AH118" s="145">
        <f t="shared" si="83"/>
        <v>0.17113247287744934</v>
      </c>
      <c r="AK118">
        <f>IF(AL118&lt;=Presentation!$F$34,1,0)</f>
        <v>1</v>
      </c>
      <c r="AL118" s="146">
        <v>24</v>
      </c>
      <c r="AM118" s="144">
        <f t="shared" si="107"/>
        <v>0.93894199995373273</v>
      </c>
      <c r="AN118" s="144">
        <f t="shared" si="120"/>
        <v>2.0190481905457271E-4</v>
      </c>
      <c r="AO118" s="144">
        <f t="shared" si="108"/>
        <v>6.0856095227211325E-2</v>
      </c>
      <c r="AP118" s="144" t="str">
        <f t="shared" si="121"/>
        <v>checar</v>
      </c>
      <c r="AQ118" s="145">
        <f t="shared" si="84"/>
        <v>0.30575830740796567</v>
      </c>
      <c r="AR118" s="145">
        <f t="shared" si="85"/>
        <v>0.2476615996238288</v>
      </c>
      <c r="AU118">
        <f>IF(AV118&lt;=Presentation!$F$34,1,0)</f>
        <v>1</v>
      </c>
      <c r="AV118" s="146">
        <v>24</v>
      </c>
      <c r="AW118" s="144">
        <f t="shared" si="109"/>
        <v>4.8705122178543912E-2</v>
      </c>
      <c r="AX118" s="144">
        <f t="shared" si="110"/>
        <v>0.15197852443962717</v>
      </c>
      <c r="AY118" s="144">
        <f t="shared" si="111"/>
        <v>0.79931635338182883</v>
      </c>
      <c r="AZ118" s="144" t="str">
        <f t="shared" si="122"/>
        <v>ok</v>
      </c>
      <c r="BA118" s="145">
        <f t="shared" si="86"/>
        <v>6.5336836881538046E-2</v>
      </c>
      <c r="BB118" s="145">
        <f t="shared" si="87"/>
        <v>5.0943644007850709E-2</v>
      </c>
      <c r="BE118">
        <f>IF(BF118&lt;=Presentation!$F$34,1,0)</f>
        <v>1</v>
      </c>
      <c r="BF118" s="146">
        <v>24</v>
      </c>
      <c r="BG118" s="144">
        <f t="shared" si="112"/>
        <v>3.3250643018140055E-2</v>
      </c>
      <c r="BH118" s="144">
        <f t="shared" si="113"/>
        <v>0.12807169799311177</v>
      </c>
      <c r="BI118" s="144">
        <f t="shared" si="114"/>
        <v>0.83867765898874791</v>
      </c>
      <c r="BJ118" s="144" t="str">
        <f t="shared" si="123"/>
        <v>ok</v>
      </c>
      <c r="BK118" s="145">
        <f t="shared" si="88"/>
        <v>5.2521925217227115E-2</v>
      </c>
      <c r="BL118" s="145">
        <f t="shared" si="89"/>
        <v>4.0874900627904831E-2</v>
      </c>
      <c r="BO118">
        <f>IF(BP118&lt;=Presentation!$F$34,1,0)</f>
        <v>1</v>
      </c>
      <c r="BP118" s="146">
        <v>24</v>
      </c>
      <c r="BQ118" s="144"/>
      <c r="BR118" s="144">
        <f t="shared" si="115"/>
        <v>5.8332259643940641E-2</v>
      </c>
      <c r="BS118" s="144">
        <f t="shared" si="116"/>
        <v>0.94166774035605927</v>
      </c>
      <c r="BT118" s="144" t="str">
        <f t="shared" si="124"/>
        <v>ok</v>
      </c>
      <c r="BU118" s="145">
        <f t="shared" si="90"/>
        <v>1.8991309942354723E-2</v>
      </c>
      <c r="BV118" s="145">
        <f t="shared" si="91"/>
        <v>1.4623308655613136E-2</v>
      </c>
      <c r="BZ118" s="136"/>
    </row>
    <row r="119" spans="1:78" x14ac:dyDescent="0.3">
      <c r="A119" s="136"/>
      <c r="B119">
        <f>IF(C119&lt;=Presentation!$F$34,1,0)</f>
        <v>1</v>
      </c>
      <c r="C119" s="146">
        <v>25</v>
      </c>
      <c r="D119" s="144">
        <f t="shared" si="103"/>
        <v>0.89100071088261279</v>
      </c>
      <c r="E119" s="144"/>
      <c r="F119" s="144">
        <f t="shared" si="104"/>
        <v>0.10899928911738754</v>
      </c>
      <c r="G119" s="144" t="str">
        <f t="shared" si="117"/>
        <v>ok</v>
      </c>
      <c r="H119" s="145">
        <f t="shared" si="79"/>
        <v>0.27627072848372758</v>
      </c>
      <c r="I119" s="145">
        <f t="shared" si="93"/>
        <v>0.22930470464149388</v>
      </c>
      <c r="L119" s="80">
        <v>25</v>
      </c>
      <c r="M119" s="145">
        <f t="shared" si="94"/>
        <v>0.98875277291709684</v>
      </c>
      <c r="N119" s="145">
        <f>INDEX('Table of Life'!$E$8:$E$108,MATCH(MIN(idade_entrada+Markov!C119,100),'Table of Life'!$D$8:$D$108))</f>
        <v>1.1247227082903139E-2</v>
      </c>
      <c r="Q119">
        <f>IF(R119&lt;=Presentation!$F$34,1,0)</f>
        <v>1</v>
      </c>
      <c r="R119" s="146">
        <v>25</v>
      </c>
      <c r="S119" s="144">
        <f t="shared" si="105"/>
        <v>0.86502229311074197</v>
      </c>
      <c r="T119" s="144"/>
      <c r="U119" s="144">
        <f t="shared" si="106"/>
        <v>0.13497770688925795</v>
      </c>
      <c r="V119" s="144" t="str">
        <f t="shared" si="118"/>
        <v>ok</v>
      </c>
      <c r="W119" s="145">
        <f t="shared" si="80"/>
        <v>0.26821565477275394</v>
      </c>
      <c r="X119" s="145">
        <f t="shared" si="81"/>
        <v>0.21725468036593071</v>
      </c>
      <c r="AA119">
        <f>IF(AB119&lt;=Presentation!$F$34,1,0)</f>
        <v>1</v>
      </c>
      <c r="AB119" s="146">
        <v>25</v>
      </c>
      <c r="AC119" s="144">
        <f t="shared" si="96"/>
        <v>0.64564852642789283</v>
      </c>
      <c r="AD119" s="144"/>
      <c r="AE119" s="144">
        <f t="shared" si="97"/>
        <v>0.35435147357210728</v>
      </c>
      <c r="AF119" s="144" t="str">
        <f t="shared" si="119"/>
        <v>ok</v>
      </c>
      <c r="AG119" s="145">
        <f t="shared" si="82"/>
        <v>0.20019488936656921</v>
      </c>
      <c r="AH119" s="145">
        <f t="shared" si="83"/>
        <v>0.16015591149325537</v>
      </c>
      <c r="AK119">
        <f>IF(AL119&lt;=Presentation!$F$34,1,0)</f>
        <v>1</v>
      </c>
      <c r="AL119" s="146">
        <v>25</v>
      </c>
      <c r="AM119" s="144">
        <f t="shared" si="107"/>
        <v>0.93648044807912678</v>
      </c>
      <c r="AN119" s="144">
        <f t="shared" si="120"/>
        <v>2.028338072428791E-4</v>
      </c>
      <c r="AO119" s="144">
        <f t="shared" si="108"/>
        <v>6.331671811362892E-2</v>
      </c>
      <c r="AP119" s="144" t="str">
        <f t="shared" si="121"/>
        <v>checar</v>
      </c>
      <c r="AQ119" s="145">
        <f t="shared" si="84"/>
        <v>0.29043542781120124</v>
      </c>
      <c r="AR119" s="145">
        <f t="shared" si="85"/>
        <v>0.23525018083688315</v>
      </c>
      <c r="AU119">
        <f>IF(AV119&lt;=Presentation!$F$34,1,0)</f>
        <v>1</v>
      </c>
      <c r="AV119" s="146">
        <v>25</v>
      </c>
      <c r="AW119" s="144">
        <f t="shared" si="109"/>
        <v>4.2942788992131178E-2</v>
      </c>
      <c r="AX119" s="144">
        <f t="shared" si="110"/>
        <v>0.14012273829811389</v>
      </c>
      <c r="AY119" s="144">
        <f t="shared" si="111"/>
        <v>0.81693447270975483</v>
      </c>
      <c r="AZ119" s="144" t="str">
        <f t="shared" si="122"/>
        <v>ok</v>
      </c>
      <c r="BA119" s="145">
        <f t="shared" si="86"/>
        <v>5.6762745491677764E-2</v>
      </c>
      <c r="BB119" s="145">
        <f t="shared" si="87"/>
        <v>4.4239921262371834E-2</v>
      </c>
      <c r="BE119">
        <f>IF(BF119&lt;=Presentation!$F$34,1,0)</f>
        <v>1</v>
      </c>
      <c r="BF119" s="146">
        <v>25</v>
      </c>
      <c r="BG119" s="144">
        <f t="shared" si="112"/>
        <v>2.8854156544927578E-2</v>
      </c>
      <c r="BH119" s="144">
        <f t="shared" si="113"/>
        <v>0.11726261235418237</v>
      </c>
      <c r="BI119" s="144">
        <f t="shared" si="114"/>
        <v>0.85388323110088982</v>
      </c>
      <c r="BJ119" s="144" t="str">
        <f t="shared" si="123"/>
        <v>ok</v>
      </c>
      <c r="BK119" s="145">
        <f t="shared" si="88"/>
        <v>4.5306121189799958E-2</v>
      </c>
      <c r="BL119" s="145">
        <f t="shared" si="89"/>
        <v>3.5243583237060137E-2</v>
      </c>
      <c r="BO119">
        <f>IF(BP119&lt;=Presentation!$F$34,1,0)</f>
        <v>1</v>
      </c>
      <c r="BP119" s="146">
        <v>25</v>
      </c>
      <c r="BQ119" s="144"/>
      <c r="BR119" s="144">
        <f t="shared" si="115"/>
        <v>5.1818917172725736E-2</v>
      </c>
      <c r="BS119" s="144">
        <f t="shared" si="116"/>
        <v>0.9481810828272742</v>
      </c>
      <c r="BT119" s="144" t="str">
        <f t="shared" si="124"/>
        <v>ok</v>
      </c>
      <c r="BU119" s="145">
        <f t="shared" si="90"/>
        <v>1.6067383360856807E-2</v>
      </c>
      <c r="BV119" s="145">
        <f t="shared" si="91"/>
        <v>1.2371885187859743E-2</v>
      </c>
      <c r="BZ119" s="136"/>
    </row>
    <row r="120" spans="1:78" x14ac:dyDescent="0.3">
      <c r="A120" s="136"/>
      <c r="B120">
        <f>IF(C120&lt;=Presentation!$F$34,1,0)</f>
        <v>1</v>
      </c>
      <c r="C120" s="146">
        <v>26</v>
      </c>
      <c r="D120" s="144">
        <f t="shared" si="103"/>
        <v>0.88097942355628789</v>
      </c>
      <c r="E120" s="144"/>
      <c r="F120" s="144">
        <f t="shared" si="104"/>
        <v>0.11902057644371242</v>
      </c>
      <c r="G120" s="144" t="str">
        <f t="shared" si="117"/>
        <v>ok</v>
      </c>
      <c r="H120" s="145">
        <f t="shared" si="79"/>
        <v>0.26015566558486852</v>
      </c>
      <c r="I120" s="145">
        <f t="shared" si="93"/>
        <v>0.21592920243544086</v>
      </c>
      <c r="L120" s="80">
        <v>26</v>
      </c>
      <c r="M120" s="145">
        <f t="shared" si="94"/>
        <v>0.98770798057355236</v>
      </c>
      <c r="N120" s="145">
        <f>INDEX('Table of Life'!$E$8:$E$108,MATCH(MIN(idade_entrada+Markov!C120,100),'Table of Life'!$D$8:$D$108))</f>
        <v>1.2292019426447606E-2</v>
      </c>
      <c r="Q120">
        <f>IF(R120&lt;=Presentation!$F$34,1,0)</f>
        <v>1</v>
      </c>
      <c r="R120" s="146">
        <v>26</v>
      </c>
      <c r="S120" s="144">
        <f t="shared" si="105"/>
        <v>0.86001968539703855</v>
      </c>
      <c r="T120" s="144"/>
      <c r="U120" s="144">
        <f t="shared" si="106"/>
        <v>0.1399803146029614</v>
      </c>
      <c r="V120" s="144" t="str">
        <f t="shared" si="118"/>
        <v>ok</v>
      </c>
      <c r="W120" s="145">
        <f t="shared" si="80"/>
        <v>0.25396619681238286</v>
      </c>
      <c r="X120" s="145">
        <f t="shared" si="81"/>
        <v>0.20571261941803012</v>
      </c>
      <c r="AA120">
        <f>IF(AB120&lt;=Presentation!$F$34,1,0)</f>
        <v>1</v>
      </c>
      <c r="AB120" s="146">
        <v>26</v>
      </c>
      <c r="AC120" s="144">
        <f t="shared" si="96"/>
        <v>0.634447967948229</v>
      </c>
      <c r="AD120" s="144"/>
      <c r="AE120" s="144">
        <f t="shared" si="97"/>
        <v>0.36555203205177111</v>
      </c>
      <c r="AF120" s="144" t="str">
        <f t="shared" si="119"/>
        <v>ok</v>
      </c>
      <c r="AG120" s="145">
        <f t="shared" si="82"/>
        <v>0.18735424343312496</v>
      </c>
      <c r="AH120" s="145">
        <f t="shared" si="83"/>
        <v>0.14988339474649998</v>
      </c>
      <c r="AK120">
        <f>IF(AL120&lt;=Presentation!$F$34,1,0)</f>
        <v>1</v>
      </c>
      <c r="AL120" s="146">
        <v>26</v>
      </c>
      <c r="AM120" s="144">
        <f t="shared" si="107"/>
        <v>0.93402534946535232</v>
      </c>
      <c r="AN120" s="144">
        <f t="shared" si="120"/>
        <v>2.0359752641267134E-4</v>
      </c>
      <c r="AO120" s="144">
        <f t="shared" si="108"/>
        <v>6.5771053008233507E-2</v>
      </c>
      <c r="AP120" s="144" t="str">
        <f t="shared" si="121"/>
        <v>checar</v>
      </c>
      <c r="AQ120" s="145">
        <f t="shared" si="84"/>
        <v>0.27588039744694987</v>
      </c>
      <c r="AR120" s="145">
        <f t="shared" si="85"/>
        <v>0.22346071701547496</v>
      </c>
      <c r="AU120">
        <f>IF(AV120&lt;=Presentation!$F$34,1,0)</f>
        <v>1</v>
      </c>
      <c r="AV120" s="146">
        <v>26</v>
      </c>
      <c r="AW120" s="144">
        <f t="shared" si="109"/>
        <v>3.7862201015791262E-2</v>
      </c>
      <c r="AX120" s="144">
        <f t="shared" si="110"/>
        <v>0.12898571660228961</v>
      </c>
      <c r="AY120" s="144">
        <f t="shared" si="111"/>
        <v>0.83315208238191907</v>
      </c>
      <c r="AZ120" s="144" t="str">
        <f t="shared" si="122"/>
        <v>ok</v>
      </c>
      <c r="BA120" s="145">
        <f t="shared" si="86"/>
        <v>4.9270652524619152E-2</v>
      </c>
      <c r="BB120" s="145">
        <f t="shared" si="87"/>
        <v>3.8385634960058389E-2</v>
      </c>
      <c r="BE120">
        <f>IF(BF120&lt;=Presentation!$F$34,1,0)</f>
        <v>1</v>
      </c>
      <c r="BF120" s="146">
        <v>26</v>
      </c>
      <c r="BG120" s="144">
        <f t="shared" si="112"/>
        <v>2.5038984944290504E-2</v>
      </c>
      <c r="BH120" s="144">
        <f t="shared" si="113"/>
        <v>0.10719883116312412</v>
      </c>
      <c r="BI120" s="144">
        <f t="shared" si="114"/>
        <v>0.86776218389258508</v>
      </c>
      <c r="BJ120" s="144" t="str">
        <f t="shared" si="123"/>
        <v>ok</v>
      </c>
      <c r="BK120" s="145">
        <f t="shared" si="88"/>
        <v>3.9050193619778503E-2</v>
      </c>
      <c r="BL120" s="145">
        <f t="shared" si="89"/>
        <v>3.0364412353411356E-2</v>
      </c>
      <c r="BO120">
        <f>IF(BP120&lt;=Presentation!$F$34,1,0)</f>
        <v>1</v>
      </c>
      <c r="BP120" s="146">
        <v>26</v>
      </c>
      <c r="BQ120" s="144"/>
      <c r="BR120" s="144">
        <f t="shared" si="115"/>
        <v>4.603285031891851E-2</v>
      </c>
      <c r="BS120" s="144">
        <f t="shared" si="116"/>
        <v>0.95396714968108143</v>
      </c>
      <c r="BT120" s="144" t="str">
        <f t="shared" si="124"/>
        <v>ok</v>
      </c>
      <c r="BU120" s="145">
        <f t="shared" si="90"/>
        <v>1.3593628288324848E-2</v>
      </c>
      <c r="BV120" s="145">
        <f t="shared" si="91"/>
        <v>1.0467093782010134E-2</v>
      </c>
      <c r="BZ120" s="136"/>
    </row>
    <row r="121" spans="1:78" x14ac:dyDescent="0.3">
      <c r="A121" s="136"/>
      <c r="B121">
        <f>IF(C121&lt;=Presentation!$F$34,1,0)</f>
        <v>1</v>
      </c>
      <c r="C121" s="146">
        <v>27</v>
      </c>
      <c r="D121" s="144">
        <f t="shared" si="103"/>
        <v>0.87015040736763338</v>
      </c>
      <c r="E121" s="144"/>
      <c r="F121" s="144">
        <f t="shared" si="104"/>
        <v>0.12984959263236692</v>
      </c>
      <c r="G121" s="144" t="str">
        <f t="shared" si="117"/>
        <v>ok</v>
      </c>
      <c r="H121" s="145">
        <f t="shared" si="79"/>
        <v>0.24472174008533229</v>
      </c>
      <c r="I121" s="145">
        <f t="shared" si="93"/>
        <v>0.20311904427082578</v>
      </c>
      <c r="L121" s="80">
        <v>27</v>
      </c>
      <c r="M121" s="145">
        <f t="shared" si="94"/>
        <v>0.9865388758689847</v>
      </c>
      <c r="N121" s="145">
        <f>INDEX('Table of Life'!$E$8:$E$108,MATCH(MIN(idade_entrada+Markov!C121,100),'Table of Life'!$D$8:$D$108))</f>
        <v>1.3461124131015263E-2</v>
      </c>
      <c r="Q121">
        <f>IF(R121&lt;=Presentation!$F$34,1,0)</f>
        <v>1</v>
      </c>
      <c r="R121" s="146">
        <v>27</v>
      </c>
      <c r="S121" s="144">
        <f t="shared" si="105"/>
        <v>0.85504600882665538</v>
      </c>
      <c r="T121" s="144"/>
      <c r="U121" s="144">
        <f t="shared" si="106"/>
        <v>0.14495399117334457</v>
      </c>
      <c r="V121" s="144" t="str">
        <f t="shared" si="118"/>
        <v>ok</v>
      </c>
      <c r="W121" s="145">
        <f t="shared" si="80"/>
        <v>0.24047376793868616</v>
      </c>
      <c r="X121" s="145">
        <f t="shared" si="81"/>
        <v>0.19478375203033579</v>
      </c>
      <c r="AA121">
        <f>IF(AB121&lt;=Presentation!$F$34,1,0)</f>
        <v>1</v>
      </c>
      <c r="AB121" s="146">
        <v>27</v>
      </c>
      <c r="AC121" s="144">
        <f t="shared" si="96"/>
        <v>0.62344171411748994</v>
      </c>
      <c r="AD121" s="144"/>
      <c r="AE121" s="144">
        <f t="shared" si="97"/>
        <v>0.37655828588251017</v>
      </c>
      <c r="AF121" s="144" t="str">
        <f t="shared" si="119"/>
        <v>ok</v>
      </c>
      <c r="AG121" s="145">
        <f t="shared" si="82"/>
        <v>0.17533720587704626</v>
      </c>
      <c r="AH121" s="145">
        <f t="shared" si="83"/>
        <v>0.14026976470163702</v>
      </c>
      <c r="AK121">
        <f>IF(AL121&lt;=Presentation!$F$34,1,0)</f>
        <v>1</v>
      </c>
      <c r="AL121" s="146">
        <v>27</v>
      </c>
      <c r="AM121" s="144">
        <f t="shared" si="107"/>
        <v>0.93157668719439291</v>
      </c>
      <c r="AN121" s="144">
        <f t="shared" si="120"/>
        <v>2.0421459172743274E-4</v>
      </c>
      <c r="AO121" s="144">
        <f t="shared" si="108"/>
        <v>6.8219098213878157E-2</v>
      </c>
      <c r="AP121" s="144" t="str">
        <f t="shared" si="121"/>
        <v>checar</v>
      </c>
      <c r="AQ121" s="145">
        <f t="shared" si="84"/>
        <v>0.26205474563093484</v>
      </c>
      <c r="AR121" s="145">
        <f t="shared" si="85"/>
        <v>0.21226204662258261</v>
      </c>
      <c r="AU121">
        <f>IF(AV121&lt;=Presentation!$F$34,1,0)</f>
        <v>1</v>
      </c>
      <c r="AV121" s="146">
        <v>27</v>
      </c>
      <c r="AW121" s="144">
        <f t="shared" si="109"/>
        <v>3.3382700551258263E-2</v>
      </c>
      <c r="AX121" s="144">
        <f t="shared" si="110"/>
        <v>0.1185587858250105</v>
      </c>
      <c r="AY121" s="144">
        <f t="shared" si="111"/>
        <v>0.84805851362373119</v>
      </c>
      <c r="AZ121" s="144" t="str">
        <f t="shared" si="122"/>
        <v>ok</v>
      </c>
      <c r="BA121" s="145">
        <f t="shared" si="86"/>
        <v>4.2732135297895157E-2</v>
      </c>
      <c r="BB121" s="145">
        <f t="shared" si="87"/>
        <v>3.3279287188885676E-2</v>
      </c>
      <c r="BE121">
        <f>IF(BF121&lt;=Presentation!$F$34,1,0)</f>
        <v>1</v>
      </c>
      <c r="BF121" s="146">
        <v>27</v>
      </c>
      <c r="BG121" s="144">
        <f t="shared" si="112"/>
        <v>2.1728265252328835E-2</v>
      </c>
      <c r="BH121" s="144">
        <f t="shared" si="113"/>
        <v>9.7858172267838078E-2</v>
      </c>
      <c r="BI121" s="144">
        <f t="shared" si="114"/>
        <v>0.88041356247983282</v>
      </c>
      <c r="BJ121" s="144" t="str">
        <f t="shared" si="123"/>
        <v>ok</v>
      </c>
      <c r="BK121" s="145">
        <f t="shared" si="88"/>
        <v>3.3632577578253844E-2</v>
      </c>
      <c r="BL121" s="145">
        <f t="shared" si="89"/>
        <v>2.6141519666805821E-2</v>
      </c>
      <c r="BO121">
        <f>IF(BP121&lt;=Presentation!$F$34,1,0)</f>
        <v>1</v>
      </c>
      <c r="BP121" s="146">
        <v>27</v>
      </c>
      <c r="BQ121" s="144"/>
      <c r="BR121" s="144">
        <f t="shared" si="115"/>
        <v>4.0892851956375466E-2</v>
      </c>
      <c r="BS121" s="144">
        <f t="shared" si="116"/>
        <v>0.95910714804362451</v>
      </c>
      <c r="BT121" s="144" t="str">
        <f t="shared" si="124"/>
        <v>ok</v>
      </c>
      <c r="BU121" s="145">
        <f t="shared" si="90"/>
        <v>1.1500735738422788E-2</v>
      </c>
      <c r="BV121" s="145">
        <f t="shared" si="91"/>
        <v>8.8555665185855465E-3</v>
      </c>
      <c r="BZ121" s="136"/>
    </row>
    <row r="122" spans="1:78" x14ac:dyDescent="0.3">
      <c r="A122" s="136"/>
      <c r="B122">
        <f>IF(C122&lt;=Presentation!$F$34,1,0)</f>
        <v>1</v>
      </c>
      <c r="C122" s="146">
        <v>28</v>
      </c>
      <c r="D122" s="144">
        <f t="shared" si="103"/>
        <v>0.85843720472140417</v>
      </c>
      <c r="E122" s="144"/>
      <c r="F122" s="144">
        <f t="shared" si="104"/>
        <v>0.14156279527859614</v>
      </c>
      <c r="G122" s="144" t="str">
        <f t="shared" si="117"/>
        <v>ok</v>
      </c>
      <c r="H122" s="145">
        <f t="shared" si="79"/>
        <v>0.22993096225189102</v>
      </c>
      <c r="I122" s="145">
        <f t="shared" si="93"/>
        <v>0.19084269866906955</v>
      </c>
      <c r="L122" s="80">
        <v>28</v>
      </c>
      <c r="M122" s="145">
        <f t="shared" si="94"/>
        <v>0.98522747270245326</v>
      </c>
      <c r="N122" s="145">
        <f>INDEX('Table of Life'!$E$8:$E$108,MATCH(MIN(idade_entrada+Markov!C122,100),'Table of Life'!$D$8:$D$108))</f>
        <v>1.4772527297546783E-2</v>
      </c>
      <c r="Q122">
        <f>IF(R122&lt;=Presentation!$F$34,1,0)</f>
        <v>1</v>
      </c>
      <c r="R122" s="146">
        <v>28</v>
      </c>
      <c r="S122" s="144">
        <f t="shared" si="105"/>
        <v>0.85010109608464357</v>
      </c>
      <c r="T122" s="144"/>
      <c r="U122" s="144">
        <f t="shared" si="106"/>
        <v>0.14989890391535635</v>
      </c>
      <c r="V122" s="144" t="str">
        <f t="shared" si="118"/>
        <v>ok</v>
      </c>
      <c r="W122" s="145">
        <f t="shared" si="80"/>
        <v>0.22769814956653134</v>
      </c>
      <c r="X122" s="145">
        <f t="shared" si="81"/>
        <v>0.1844355011488904</v>
      </c>
      <c r="AA122">
        <f>IF(AB122&lt;=Presentation!$F$34,1,0)</f>
        <v>1</v>
      </c>
      <c r="AB122" s="146">
        <v>28</v>
      </c>
      <c r="AC122" s="144">
        <f t="shared" si="96"/>
        <v>0.61262639418441689</v>
      </c>
      <c r="AD122" s="144"/>
      <c r="AE122" s="144">
        <f t="shared" si="97"/>
        <v>0.38737360581558317</v>
      </c>
      <c r="AF122" s="144" t="str">
        <f t="shared" si="119"/>
        <v>ok</v>
      </c>
      <c r="AG122" s="145">
        <f t="shared" si="82"/>
        <v>0.16409094985747305</v>
      </c>
      <c r="AH122" s="145">
        <f t="shared" si="83"/>
        <v>0.13127275988597845</v>
      </c>
      <c r="AK122">
        <f>IF(AL122&lt;=Presentation!$F$34,1,0)</f>
        <v>1</v>
      </c>
      <c r="AL122" s="146">
        <v>28</v>
      </c>
      <c r="AM122" s="144">
        <f t="shared" si="107"/>
        <v>0.92913444439258452</v>
      </c>
      <c r="AN122" s="144">
        <f t="shared" si="120"/>
        <v>2.0470153937055368E-4</v>
      </c>
      <c r="AO122" s="144">
        <f t="shared" si="108"/>
        <v>7.0660854068043358E-2</v>
      </c>
      <c r="AP122" s="144" t="str">
        <f t="shared" si="121"/>
        <v>checar</v>
      </c>
      <c r="AQ122" s="145">
        <f t="shared" si="84"/>
        <v>0.24892192801899077</v>
      </c>
      <c r="AR122" s="145">
        <f t="shared" si="85"/>
        <v>0.20162456853685387</v>
      </c>
      <c r="AU122">
        <f>IF(AV122&lt;=Presentation!$F$34,1,0)</f>
        <v>1</v>
      </c>
      <c r="AV122" s="146">
        <v>28</v>
      </c>
      <c r="AW122" s="144">
        <f t="shared" si="109"/>
        <v>2.9433172562529891E-2</v>
      </c>
      <c r="AX122" s="144">
        <f t="shared" si="110"/>
        <v>0.10882577186125886</v>
      </c>
      <c r="AY122" s="144">
        <f t="shared" si="111"/>
        <v>0.86174105557621117</v>
      </c>
      <c r="AZ122" s="144" t="str">
        <f t="shared" si="122"/>
        <v>ok</v>
      </c>
      <c r="BA122" s="145">
        <f t="shared" si="86"/>
        <v>3.7032425850659106E-2</v>
      </c>
      <c r="BB122" s="145">
        <f t="shared" si="87"/>
        <v>2.8830312936756215E-2</v>
      </c>
      <c r="BE122">
        <f>IF(BF122&lt;=Presentation!$F$34,1,0)</f>
        <v>1</v>
      </c>
      <c r="BF122" s="146">
        <v>28</v>
      </c>
      <c r="BG122" s="144">
        <f t="shared" si="112"/>
        <v>1.8855297526077026E-2</v>
      </c>
      <c r="BH122" s="144">
        <f t="shared" si="113"/>
        <v>8.9212859749805404E-2</v>
      </c>
      <c r="BI122" s="144">
        <f t="shared" si="114"/>
        <v>0.8919318427241173</v>
      </c>
      <c r="BJ122" s="144" t="str">
        <f t="shared" si="123"/>
        <v>ok</v>
      </c>
      <c r="BK122" s="145">
        <f t="shared" si="88"/>
        <v>2.8945874263798414E-2</v>
      </c>
      <c r="BL122" s="145">
        <f t="shared" si="89"/>
        <v>2.2490337572989145E-2</v>
      </c>
      <c r="BO122">
        <f>IF(BP122&lt;=Presentation!$F$34,1,0)</f>
        <v>1</v>
      </c>
      <c r="BP122" s="146">
        <v>28</v>
      </c>
      <c r="BQ122" s="144"/>
      <c r="BR122" s="144">
        <f t="shared" si="115"/>
        <v>3.6326782494256978E-2</v>
      </c>
      <c r="BS122" s="144">
        <f t="shared" si="116"/>
        <v>0.96367321750574297</v>
      </c>
      <c r="BT122" s="144" t="str">
        <f t="shared" si="124"/>
        <v>ok</v>
      </c>
      <c r="BU122" s="145">
        <f t="shared" si="90"/>
        <v>9.7300676257739936E-3</v>
      </c>
      <c r="BV122" s="145">
        <f t="shared" si="91"/>
        <v>7.4921520718459755E-3</v>
      </c>
      <c r="BZ122" s="136"/>
    </row>
    <row r="123" spans="1:78" x14ac:dyDescent="0.3">
      <c r="A123" s="136"/>
      <c r="B123">
        <f>IF(C123&lt;=Presentation!$F$34,1,0)</f>
        <v>1</v>
      </c>
      <c r="C123" s="146">
        <v>29</v>
      </c>
      <c r="D123" s="144">
        <f t="shared" si="103"/>
        <v>0.84575591768142755</v>
      </c>
      <c r="E123" s="144"/>
      <c r="F123" s="144">
        <f t="shared" si="104"/>
        <v>0.15424408231857284</v>
      </c>
      <c r="G123" s="144" t="str">
        <f t="shared" si="117"/>
        <v>ok</v>
      </c>
      <c r="H123" s="145">
        <f t="shared" si="79"/>
        <v>0.21574695317664175</v>
      </c>
      <c r="I123" s="145">
        <f t="shared" si="93"/>
        <v>0.17906997113661263</v>
      </c>
      <c r="L123" s="80">
        <v>29</v>
      </c>
      <c r="M123" s="145">
        <f t="shared" si="94"/>
        <v>0.98377081130749411</v>
      </c>
      <c r="N123" s="145">
        <f>INDEX('Table of Life'!$E$8:$E$108,MATCH(MIN(idade_entrada+Markov!C123,100),'Table of Life'!$D$8:$D$108))</f>
        <v>1.6229188692505867E-2</v>
      </c>
      <c r="Q123">
        <f>IF(R123&lt;=Presentation!$F$34,1,0)</f>
        <v>1</v>
      </c>
      <c r="R123" s="146">
        <v>29</v>
      </c>
      <c r="S123" s="144">
        <f t="shared" si="105"/>
        <v>0.84518478082367221</v>
      </c>
      <c r="T123" s="144"/>
      <c r="U123" s="144">
        <f t="shared" si="106"/>
        <v>0.15481521917632771</v>
      </c>
      <c r="V123" s="144" t="str">
        <f t="shared" si="118"/>
        <v>ok</v>
      </c>
      <c r="W123" s="145">
        <f t="shared" si="80"/>
        <v>0.21560125979829048</v>
      </c>
      <c r="X123" s="145">
        <f t="shared" si="81"/>
        <v>0.1746370204366153</v>
      </c>
      <c r="AA123">
        <f>IF(AB123&lt;=Presentation!$F$34,1,0)</f>
        <v>1</v>
      </c>
      <c r="AB123" s="146">
        <v>29</v>
      </c>
      <c r="AC123" s="144">
        <f t="shared" si="96"/>
        <v>0.60199869587274968</v>
      </c>
      <c r="AD123" s="144"/>
      <c r="AE123" s="144">
        <f t="shared" si="97"/>
        <v>0.39800130412725038</v>
      </c>
      <c r="AF123" s="144" t="str">
        <f t="shared" si="119"/>
        <v>ok</v>
      </c>
      <c r="AG123" s="145">
        <f t="shared" si="82"/>
        <v>0.15356603688557274</v>
      </c>
      <c r="AH123" s="145">
        <f t="shared" si="83"/>
        <v>0.1228528295084582</v>
      </c>
      <c r="AK123">
        <f>IF(AL123&lt;=Presentation!$F$34,1,0)</f>
        <v>1</v>
      </c>
      <c r="AL123" s="146">
        <v>29</v>
      </c>
      <c r="AM123" s="144">
        <f t="shared" si="107"/>
        <v>0.92669860423049977</v>
      </c>
      <c r="AN123" s="144">
        <f t="shared" si="120"/>
        <v>2.0507305868401599E-4</v>
      </c>
      <c r="AO123" s="144">
        <f t="shared" si="108"/>
        <v>7.3096322710814648E-2</v>
      </c>
      <c r="AP123" s="144" t="str">
        <f t="shared" si="121"/>
        <v>checar</v>
      </c>
      <c r="AQ123" s="145">
        <f t="shared" si="84"/>
        <v>0.23644723032099688</v>
      </c>
      <c r="AR123" s="145">
        <f t="shared" si="85"/>
        <v>0.19152016404671071</v>
      </c>
      <c r="AU123">
        <f>IF(AV123&lt;=Presentation!$F$34,1,0)</f>
        <v>1</v>
      </c>
      <c r="AV123" s="146">
        <v>29</v>
      </c>
      <c r="AW123" s="144">
        <f t="shared" si="109"/>
        <v>2.5950915677581673E-2</v>
      </c>
      <c r="AX123" s="144">
        <f t="shared" si="110"/>
        <v>9.9764839517366144E-2</v>
      </c>
      <c r="AY123" s="144">
        <f t="shared" si="111"/>
        <v>0.87428424480505207</v>
      </c>
      <c r="AZ123" s="144" t="str">
        <f t="shared" si="122"/>
        <v>ok</v>
      </c>
      <c r="BA123" s="145">
        <f t="shared" si="86"/>
        <v>3.2069289238868745E-2</v>
      </c>
      <c r="BB123" s="145">
        <f t="shared" si="87"/>
        <v>2.4958149252624445E-2</v>
      </c>
      <c r="BE123">
        <f>IF(BF123&lt;=Presentation!$F$34,1,0)</f>
        <v>1</v>
      </c>
      <c r="BF123" s="146">
        <v>29</v>
      </c>
      <c r="BG123" s="144">
        <f t="shared" si="112"/>
        <v>1.6362201062451662E-2</v>
      </c>
      <c r="BH123" s="144">
        <f t="shared" si="113"/>
        <v>8.1231215637634482E-2</v>
      </c>
      <c r="BI123" s="144">
        <f t="shared" si="114"/>
        <v>0.90240658329991363</v>
      </c>
      <c r="BJ123" s="144" t="str">
        <f t="shared" si="123"/>
        <v>ok</v>
      </c>
      <c r="BK123" s="145">
        <f t="shared" si="88"/>
        <v>2.4895459627245528E-2</v>
      </c>
      <c r="BL123" s="145">
        <f t="shared" si="89"/>
        <v>1.9336459648206548E-2</v>
      </c>
      <c r="BO123">
        <f>IF(BP123&lt;=Presentation!$F$34,1,0)</f>
        <v>1</v>
      </c>
      <c r="BP123" s="146">
        <v>29</v>
      </c>
      <c r="BQ123" s="144"/>
      <c r="BR123" s="144">
        <f t="shared" si="115"/>
        <v>3.2270557401886356E-2</v>
      </c>
      <c r="BS123" s="144">
        <f t="shared" si="116"/>
        <v>0.96772944259811355</v>
      </c>
      <c r="BT123" s="144" t="str">
        <f t="shared" si="124"/>
        <v>ok</v>
      </c>
      <c r="BU123" s="145">
        <f t="shared" si="90"/>
        <v>8.2320138602818491E-3</v>
      </c>
      <c r="BV123" s="145">
        <f t="shared" si="91"/>
        <v>6.3386506724170243E-3</v>
      </c>
      <c r="BZ123" s="136"/>
    </row>
    <row r="124" spans="1:78" x14ac:dyDescent="0.3">
      <c r="A124" s="136"/>
      <c r="B124">
        <f>IF(C124&lt;=Presentation!$F$34,1,0)</f>
        <v>1</v>
      </c>
      <c r="C124" s="146">
        <v>30</v>
      </c>
      <c r="D124" s="144">
        <f t="shared" si="103"/>
        <v>0.83202998530557215</v>
      </c>
      <c r="E124" s="144"/>
      <c r="F124" s="144">
        <f t="shared" si="104"/>
        <v>0.16797001469442818</v>
      </c>
      <c r="G124" s="144" t="str">
        <f t="shared" si="117"/>
        <v>ok</v>
      </c>
      <c r="H124" s="145">
        <f t="shared" si="79"/>
        <v>0.20213862396543308</v>
      </c>
      <c r="I124" s="145">
        <f t="shared" si="93"/>
        <v>0.16777505789130945</v>
      </c>
      <c r="L124" s="80">
        <v>30</v>
      </c>
      <c r="M124" s="145">
        <f t="shared" si="94"/>
        <v>0.98219409732519769</v>
      </c>
      <c r="N124" s="145">
        <f>INDEX('Table of Life'!$E$8:$E$108,MATCH(MIN(idade_entrada+Markov!C124,100),'Table of Life'!$D$8:$D$108))</f>
        <v>1.7805902674802261E-2</v>
      </c>
      <c r="Q124">
        <f>IF(R124&lt;=Presentation!$F$34,1,0)</f>
        <v>1</v>
      </c>
      <c r="R124" s="146">
        <v>30</v>
      </c>
      <c r="S124" s="144">
        <f t="shared" si="105"/>
        <v>0.8402968976584323</v>
      </c>
      <c r="T124" s="144"/>
      <c r="U124" s="144">
        <f t="shared" si="106"/>
        <v>0.15970310234156765</v>
      </c>
      <c r="V124" s="144" t="str">
        <f t="shared" si="118"/>
        <v>ok</v>
      </c>
      <c r="W124" s="145">
        <f t="shared" si="80"/>
        <v>0.20414703990832278</v>
      </c>
      <c r="X124" s="145">
        <f t="shared" si="81"/>
        <v>0.16535910232574147</v>
      </c>
      <c r="AA124">
        <f>IF(AB124&lt;=Presentation!$F$34,1,0)</f>
        <v>1</v>
      </c>
      <c r="AB124" s="146">
        <v>30</v>
      </c>
      <c r="AC124" s="144">
        <f t="shared" si="96"/>
        <v>0.59155536436681599</v>
      </c>
      <c r="AD124" s="144"/>
      <c r="AE124" s="144">
        <f t="shared" si="97"/>
        <v>0.40844463563318412</v>
      </c>
      <c r="AF124" s="144" t="str">
        <f t="shared" si="119"/>
        <v>ok</v>
      </c>
      <c r="AG124" s="145">
        <f t="shared" si="82"/>
        <v>0.14371619949317441</v>
      </c>
      <c r="AH124" s="145">
        <f t="shared" si="83"/>
        <v>0.11497295959453953</v>
      </c>
      <c r="AK124">
        <f>IF(AL124&lt;=Presentation!$F$34,1,0)</f>
        <v>1</v>
      </c>
      <c r="AL124" s="146">
        <v>30</v>
      </c>
      <c r="AM124" s="144">
        <f t="shared" si="107"/>
        <v>0.92426914992283149</v>
      </c>
      <c r="AN124" s="144">
        <f t="shared" si="120"/>
        <v>2.0534219838661886E-4</v>
      </c>
      <c r="AO124" s="144">
        <f t="shared" si="108"/>
        <v>7.5525507878780318E-2</v>
      </c>
      <c r="AP124" s="144" t="str">
        <f t="shared" si="121"/>
        <v>checar</v>
      </c>
      <c r="AQ124" s="145">
        <f t="shared" si="84"/>
        <v>0.22459767680114898</v>
      </c>
      <c r="AR124" s="145">
        <f t="shared" si="85"/>
        <v>0.18192212272366418</v>
      </c>
      <c r="AU124">
        <f>IF(AV124&lt;=Presentation!$F$34,1,0)</f>
        <v>1</v>
      </c>
      <c r="AV124" s="146">
        <v>30</v>
      </c>
      <c r="AW124" s="144">
        <f t="shared" si="109"/>
        <v>2.2880646762567979E-2</v>
      </c>
      <c r="AX124" s="144">
        <f t="shared" si="110"/>
        <v>9.1350008059236529E-2</v>
      </c>
      <c r="AY124" s="144">
        <f t="shared" si="111"/>
        <v>0.88576934517819539</v>
      </c>
      <c r="AZ124" s="144" t="str">
        <f t="shared" si="122"/>
        <v>ok</v>
      </c>
      <c r="BA124" s="145">
        <f t="shared" si="86"/>
        <v>2.7751917344504971E-2</v>
      </c>
      <c r="BB124" s="145">
        <f t="shared" si="87"/>
        <v>2.1591327113472628E-2</v>
      </c>
      <c r="BE124">
        <f>IF(BF124&lt;=Presentation!$F$34,1,0)</f>
        <v>1</v>
      </c>
      <c r="BF124" s="146">
        <v>30</v>
      </c>
      <c r="BG124" s="144">
        <f t="shared" si="112"/>
        <v>1.4198748295423776E-2</v>
      </c>
      <c r="BH124" s="144">
        <f t="shared" si="113"/>
        <v>7.3879021627954372E-2</v>
      </c>
      <c r="BI124" s="144">
        <f t="shared" si="114"/>
        <v>0.91192223007662165</v>
      </c>
      <c r="BJ124" s="144" t="str">
        <f t="shared" si="123"/>
        <v>ok</v>
      </c>
      <c r="BK124" s="145">
        <f t="shared" si="88"/>
        <v>2.1398170172577353E-2</v>
      </c>
      <c r="BL124" s="145">
        <f t="shared" si="89"/>
        <v>1.6614572379382041E-2</v>
      </c>
      <c r="BO124">
        <f>IF(BP124&lt;=Presentation!$F$34,1,0)</f>
        <v>1</v>
      </c>
      <c r="BP124" s="146">
        <v>30</v>
      </c>
      <c r="BQ124" s="144"/>
      <c r="BR124" s="144">
        <f t="shared" si="115"/>
        <v>2.8667247785929814E-2</v>
      </c>
      <c r="BS124" s="144">
        <f t="shared" si="116"/>
        <v>0.97133275221407012</v>
      </c>
      <c r="BT124" s="144" t="str">
        <f t="shared" si="124"/>
        <v>ok</v>
      </c>
      <c r="BU124" s="145">
        <f t="shared" si="90"/>
        <v>6.9646023853284231E-3</v>
      </c>
      <c r="BV124" s="145">
        <f t="shared" si="91"/>
        <v>5.3627438367028863E-3</v>
      </c>
      <c r="BZ124" s="136"/>
    </row>
    <row r="125" spans="1:78" x14ac:dyDescent="0.3">
      <c r="A125" s="136"/>
      <c r="B125">
        <f>IF(C125&lt;=Presentation!$F$34,1,0)</f>
        <v>0</v>
      </c>
      <c r="C125" s="146">
        <v>31</v>
      </c>
      <c r="D125" s="144">
        <f t="shared" si="103"/>
        <v>0</v>
      </c>
      <c r="E125" s="144"/>
      <c r="F125" s="144">
        <f t="shared" si="104"/>
        <v>0</v>
      </c>
      <c r="G125" s="144" t="str">
        <f t="shared" si="117"/>
        <v>ok</v>
      </c>
      <c r="H125" s="145">
        <f t="shared" si="79"/>
        <v>0</v>
      </c>
      <c r="I125" s="145">
        <f t="shared" si="93"/>
        <v>0</v>
      </c>
      <c r="L125" s="80">
        <v>31</v>
      </c>
      <c r="M125" s="145">
        <f t="shared" si="94"/>
        <v>0.98048003754807933</v>
      </c>
      <c r="N125" s="145">
        <f>INDEX('Table of Life'!$E$8:$E$108,MATCH(MIN(idade_entrada+Markov!C125,100),'Table of Life'!$D$8:$D$108))</f>
        <v>1.9519962451920669E-2</v>
      </c>
      <c r="Q125">
        <f>IF(R125&lt;=Presentation!$F$34,1,0)</f>
        <v>0</v>
      </c>
      <c r="R125" s="146">
        <v>31</v>
      </c>
      <c r="S125" s="144">
        <f t="shared" si="105"/>
        <v>0</v>
      </c>
      <c r="T125" s="144"/>
      <c r="U125" s="144">
        <f t="shared" si="106"/>
        <v>0</v>
      </c>
      <c r="V125" s="144" t="str">
        <f t="shared" si="118"/>
        <v>ok</v>
      </c>
      <c r="W125" s="145">
        <f t="shared" si="80"/>
        <v>0</v>
      </c>
      <c r="X125" s="145">
        <f t="shared" si="81"/>
        <v>0</v>
      </c>
      <c r="AA125">
        <f>IF(AB125&lt;=Presentation!$F$34,1,0)</f>
        <v>0</v>
      </c>
      <c r="AB125" s="146">
        <v>31</v>
      </c>
      <c r="AC125" s="144">
        <f t="shared" si="96"/>
        <v>0</v>
      </c>
      <c r="AD125" s="144"/>
      <c r="AE125" s="144">
        <f t="shared" si="97"/>
        <v>0</v>
      </c>
      <c r="AF125" s="144" t="str">
        <f t="shared" si="119"/>
        <v>ok</v>
      </c>
      <c r="AG125" s="145">
        <f t="shared" si="82"/>
        <v>0</v>
      </c>
      <c r="AH125" s="145">
        <f t="shared" si="83"/>
        <v>0</v>
      </c>
      <c r="AK125">
        <f>IF(AL125&lt;=Presentation!$F$34,1,0)</f>
        <v>0</v>
      </c>
      <c r="AL125" s="146">
        <v>31</v>
      </c>
      <c r="AM125" s="144">
        <f t="shared" si="107"/>
        <v>0</v>
      </c>
      <c r="AN125" s="144">
        <f t="shared" si="120"/>
        <v>0</v>
      </c>
      <c r="AO125" s="144">
        <f t="shared" si="108"/>
        <v>0</v>
      </c>
      <c r="AP125" s="144" t="str">
        <f t="shared" si="121"/>
        <v>ok</v>
      </c>
      <c r="AQ125" s="145">
        <f t="shared" si="84"/>
        <v>0</v>
      </c>
      <c r="AR125" s="145">
        <f t="shared" si="85"/>
        <v>0</v>
      </c>
      <c r="AU125">
        <f>IF(AV125&lt;=Presentation!$F$34,1,0)</f>
        <v>0</v>
      </c>
      <c r="AV125" s="146">
        <v>31</v>
      </c>
      <c r="AW125" s="144">
        <f t="shared" si="109"/>
        <v>0</v>
      </c>
      <c r="AX125" s="144">
        <f t="shared" si="110"/>
        <v>0</v>
      </c>
      <c r="AY125" s="144">
        <f t="shared" si="111"/>
        <v>0</v>
      </c>
      <c r="AZ125" s="144" t="str">
        <f t="shared" si="122"/>
        <v>ok</v>
      </c>
      <c r="BA125" s="145">
        <f t="shared" si="86"/>
        <v>0</v>
      </c>
      <c r="BB125" s="145">
        <f t="shared" si="87"/>
        <v>0</v>
      </c>
      <c r="BE125">
        <f>IF(BF125&lt;=Presentation!$F$34,1,0)</f>
        <v>0</v>
      </c>
      <c r="BF125" s="146">
        <v>31</v>
      </c>
      <c r="BG125" s="144">
        <f t="shared" si="112"/>
        <v>0</v>
      </c>
      <c r="BH125" s="144">
        <f t="shared" si="113"/>
        <v>0</v>
      </c>
      <c r="BI125" s="144">
        <f t="shared" si="114"/>
        <v>0</v>
      </c>
      <c r="BJ125" s="144" t="str">
        <f t="shared" si="123"/>
        <v>ok</v>
      </c>
      <c r="BK125" s="145">
        <f t="shared" si="88"/>
        <v>0</v>
      </c>
      <c r="BL125" s="145">
        <f t="shared" si="89"/>
        <v>0</v>
      </c>
      <c r="BO125">
        <f>IF(BP125&lt;=Presentation!$F$34,1,0)</f>
        <v>0</v>
      </c>
      <c r="BP125" s="146">
        <v>31</v>
      </c>
      <c r="BQ125" s="144"/>
      <c r="BR125" s="144">
        <f t="shared" si="115"/>
        <v>0</v>
      </c>
      <c r="BS125" s="144">
        <f t="shared" si="116"/>
        <v>0</v>
      </c>
      <c r="BT125" s="144" t="str">
        <f t="shared" si="124"/>
        <v>ok</v>
      </c>
      <c r="BU125" s="145">
        <f t="shared" si="90"/>
        <v>0</v>
      </c>
      <c r="BV125" s="145">
        <f t="shared" si="91"/>
        <v>0</v>
      </c>
      <c r="BZ125" s="136"/>
    </row>
    <row r="126" spans="1:78" ht="15" thickBot="1" x14ac:dyDescent="0.35">
      <c r="A126" s="136"/>
      <c r="C126" s="63"/>
      <c r="G126" s="101"/>
      <c r="H126" s="147">
        <f>SUM(H94:H125)</f>
        <v>16.502042260491297</v>
      </c>
      <c r="I126" s="147">
        <f>SUM(I94:I125)</f>
        <v>13.752006582017597</v>
      </c>
      <c r="R126" s="63"/>
      <c r="V126" s="101"/>
      <c r="W126" s="147">
        <f>SUM(W94:W125)</f>
        <v>16.075524973259121</v>
      </c>
      <c r="X126" s="147">
        <f>SUM(X94:X125)</f>
        <v>13.021175228339882</v>
      </c>
      <c r="AB126" s="63"/>
      <c r="AF126" s="101"/>
      <c r="AG126" s="147">
        <f>SUM(AG94:AG125)</f>
        <v>14.223331338605737</v>
      </c>
      <c r="AH126" s="147">
        <f>SUM(AH94:AH125)</f>
        <v>11.378665070884589</v>
      </c>
      <c r="AL126" s="63"/>
      <c r="AP126" s="101"/>
      <c r="AQ126" s="147">
        <f>SUM(AQ94:AQ125)</f>
        <v>16.647708113831477</v>
      </c>
      <c r="AR126" s="147">
        <f>SUM(AR94:AR125)</f>
        <v>13.484552651287368</v>
      </c>
      <c r="AV126" s="63"/>
      <c r="AZ126" s="101"/>
      <c r="BA126" s="147">
        <f>SUM(BA94:BA125)</f>
        <v>10.581359654314978</v>
      </c>
      <c r="BB126" s="147">
        <f>SUM(BB94:BB125)</f>
        <v>8.4064977095008881</v>
      </c>
      <c r="BF126" s="63"/>
      <c r="BJ126" s="101"/>
      <c r="BK126" s="147">
        <f>SUM(BK94:BK125)</f>
        <v>9.8020735258090834</v>
      </c>
      <c r="BL126" s="147">
        <f>SUM(BL94:BL125)</f>
        <v>7.786951215749534</v>
      </c>
      <c r="BP126" s="63"/>
      <c r="BT126" s="101"/>
      <c r="BU126" s="147">
        <f>SUM(BU94:BU125)</f>
        <v>6.7316246237048531</v>
      </c>
      <c r="BV126" s="147">
        <f>SUM(BV94:BV125)</f>
        <v>5.183350960252735</v>
      </c>
      <c r="BZ126" s="136"/>
    </row>
    <row r="127" spans="1:78" ht="15" thickBot="1" x14ac:dyDescent="0.35">
      <c r="A127" s="136"/>
      <c r="C127" s="148"/>
      <c r="F127" s="129" t="s">
        <v>428</v>
      </c>
      <c r="G127" s="179">
        <f>Model!N26+Model!N30+Model!N43+Model!N53</f>
        <v>0.98684933548679576</v>
      </c>
      <c r="H127" s="93">
        <f>G127*H126</f>
        <v>16.285029438940857</v>
      </c>
      <c r="I127" s="93">
        <f>G127*I126</f>
        <v>13.571158557074106</v>
      </c>
      <c r="R127" s="148"/>
      <c r="U127" s="129" t="s">
        <v>428</v>
      </c>
      <c r="V127" s="179">
        <f>Model!N23+Model!N39</f>
        <v>2.2993384524303676E-3</v>
      </c>
      <c r="W127" s="93">
        <f>V127*W126</f>
        <v>3.6963072714019357E-2</v>
      </c>
      <c r="X127" s="93">
        <f>V127*X126</f>
        <v>2.9940088898355661E-2</v>
      </c>
      <c r="AB127" s="148"/>
      <c r="AE127" s="129" t="s">
        <v>428</v>
      </c>
      <c r="AF127" s="179">
        <f>Model!J48</f>
        <v>1.8756789129340714E-3</v>
      </c>
      <c r="AG127" s="93">
        <f>AF127*AG126</f>
        <v>2.6678402663497119E-2</v>
      </c>
      <c r="AH127" s="93">
        <f>AF127*AH126</f>
        <v>2.1342722130797694E-2</v>
      </c>
      <c r="AL127" s="148" t="s">
        <v>446</v>
      </c>
      <c r="AO127" s="129" t="s">
        <v>428</v>
      </c>
      <c r="AP127" s="179">
        <f>(Model!$N$17+Model!$N$34)*Parameters!D24</f>
        <v>4.4878235739199013E-3</v>
      </c>
      <c r="AQ127" s="93">
        <f>AP127*AQ126</f>
        <v>7.4711976924990514E-2</v>
      </c>
      <c r="AR127" s="93">
        <f>AP127*AR126</f>
        <v>6.0516293272211558E-2</v>
      </c>
      <c r="AV127" s="148"/>
      <c r="AY127" s="129" t="s">
        <v>428</v>
      </c>
      <c r="AZ127" s="179">
        <f>(Model!$N$17+Model!$N$34)*Parameters!D25</f>
        <v>2.6926941443519412E-3</v>
      </c>
      <c r="BA127" s="93">
        <f>AZ127*BA126</f>
        <v>2.8492365180455823E-2</v>
      </c>
      <c r="BB127" s="93">
        <f>AZ127*BB126</f>
        <v>2.2636127156881049E-2</v>
      </c>
      <c r="BF127" s="148"/>
      <c r="BI127" s="129" t="s">
        <v>428</v>
      </c>
      <c r="BJ127" s="179">
        <f>(Model!$N$17+Model!$N$34)*Parameters!D26</f>
        <v>1.7951294295679605E-3</v>
      </c>
      <c r="BK127" s="93">
        <f>BJ127*BK126</f>
        <v>1.7595990656968867E-2</v>
      </c>
      <c r="BL127" s="93">
        <f>BJ127*BL126</f>
        <v>1.3978585294001998E-2</v>
      </c>
      <c r="BP127" s="148"/>
      <c r="BS127" s="129" t="s">
        <v>428</v>
      </c>
      <c r="BT127" s="179">
        <f>(Model!$N$17+Model!$N$34)*0</f>
        <v>0</v>
      </c>
      <c r="BU127" s="288">
        <f>BT127*BU126</f>
        <v>0</v>
      </c>
      <c r="BV127" s="289">
        <f>BT127*BV126</f>
        <v>0</v>
      </c>
      <c r="BZ127" s="136"/>
    </row>
    <row r="128" spans="1:78" x14ac:dyDescent="0.3">
      <c r="A128" s="136"/>
      <c r="C128" s="63"/>
      <c r="E128" s="39"/>
      <c r="R128" s="63"/>
      <c r="T128" s="39"/>
      <c r="AB128" s="63"/>
      <c r="AD128" s="39"/>
      <c r="AL128" s="63"/>
      <c r="AN128" s="39"/>
      <c r="AV128" s="63"/>
      <c r="AX128" s="39"/>
      <c r="BF128" s="63"/>
      <c r="BH128" s="39"/>
      <c r="BP128" s="63"/>
      <c r="BR128" s="39"/>
      <c r="BZ128" s="136"/>
    </row>
    <row r="129" spans="1:78" x14ac:dyDescent="0.3">
      <c r="A129" s="136"/>
      <c r="C129" s="149" t="s">
        <v>424</v>
      </c>
      <c r="D129" s="138" t="str">
        <f>D93</f>
        <v xml:space="preserve"> (1) Healthy</v>
      </c>
      <c r="E129" s="138" t="str">
        <f>E93</f>
        <v xml:space="preserve"> (2) NA</v>
      </c>
      <c r="F129" s="138" t="str">
        <f>F93</f>
        <v xml:space="preserve"> (3) Death</v>
      </c>
      <c r="G129" s="138" t="s">
        <v>429</v>
      </c>
      <c r="H129" s="138" t="s">
        <v>430</v>
      </c>
      <c r="K129" s="145"/>
      <c r="L129" s="145"/>
      <c r="M129" s="145"/>
      <c r="N129" s="145"/>
      <c r="R129" s="149" t="s">
        <v>424</v>
      </c>
      <c r="S129" s="138" t="str">
        <f>S93</f>
        <v xml:space="preserve"> (1) DCIS</v>
      </c>
      <c r="T129" s="138" t="str">
        <f>T93</f>
        <v xml:space="preserve"> (2) NA</v>
      </c>
      <c r="U129" s="138" t="str">
        <f>U93</f>
        <v xml:space="preserve"> (3) Death</v>
      </c>
      <c r="V129" s="138" t="s">
        <v>429</v>
      </c>
      <c r="W129" s="138" t="s">
        <v>430</v>
      </c>
      <c r="AB129" s="149" t="s">
        <v>424</v>
      </c>
      <c r="AC129" s="138" t="str">
        <f>AC93</f>
        <v>(1) Local/regional</v>
      </c>
      <c r="AD129" s="138" t="str">
        <f>AD93</f>
        <v>(2) Distant metastasis</v>
      </c>
      <c r="AE129" s="138" t="str">
        <f>AE93</f>
        <v>(3) Death</v>
      </c>
      <c r="AF129" s="138" t="s">
        <v>429</v>
      </c>
      <c r="AG129" s="138" t="s">
        <v>436</v>
      </c>
      <c r="AJ129" s="145"/>
      <c r="AL129" s="149" t="s">
        <v>424</v>
      </c>
      <c r="AM129" s="138" t="str">
        <f>AM93</f>
        <v>(1) Local/regional</v>
      </c>
      <c r="AN129" s="138" t="str">
        <f>AN93</f>
        <v>(2) Distant metastasis</v>
      </c>
      <c r="AO129" s="138" t="str">
        <f>AO93</f>
        <v>(3) Death</v>
      </c>
      <c r="AP129" s="138" t="s">
        <v>429</v>
      </c>
      <c r="AQ129" s="138" t="s">
        <v>436</v>
      </c>
      <c r="AT129" s="145"/>
      <c r="AV129" s="149" t="s">
        <v>424</v>
      </c>
      <c r="AW129" s="138" t="str">
        <f>AW93</f>
        <v>(1) Local/regional</v>
      </c>
      <c r="AX129" s="138" t="str">
        <f>AX93</f>
        <v>(2) Distant metastasis</v>
      </c>
      <c r="AY129" s="138" t="str">
        <f>AY93</f>
        <v>(3) Death</v>
      </c>
      <c r="AZ129" s="138" t="s">
        <v>429</v>
      </c>
      <c r="BA129" s="138" t="s">
        <v>436</v>
      </c>
      <c r="BF129" s="149" t="s">
        <v>424</v>
      </c>
      <c r="BG129" s="138" t="str">
        <f>BG93</f>
        <v>(1) Local/regional</v>
      </c>
      <c r="BH129" s="138" t="str">
        <f>BH93</f>
        <v>(2) Distant metastasis</v>
      </c>
      <c r="BI129" s="138" t="str">
        <f>BI93</f>
        <v>(3) Death</v>
      </c>
      <c r="BJ129" s="138" t="s">
        <v>429</v>
      </c>
      <c r="BK129" s="138" t="s">
        <v>436</v>
      </c>
      <c r="BP129" s="149" t="s">
        <v>424</v>
      </c>
      <c r="BQ129" s="138" t="str">
        <f>BQ93</f>
        <v>(1) Local/regional</v>
      </c>
      <c r="BR129" s="138" t="str">
        <f>BR93</f>
        <v>(2) Distant metastasis</v>
      </c>
      <c r="BS129" s="138" t="str">
        <f>BS93</f>
        <v>(3) Death</v>
      </c>
      <c r="BT129" s="138" t="s">
        <v>429</v>
      </c>
      <c r="BU129" s="138" t="s">
        <v>430</v>
      </c>
      <c r="BZ129" s="136"/>
    </row>
    <row r="130" spans="1:78" x14ac:dyDescent="0.3">
      <c r="A130" s="136"/>
      <c r="B130">
        <f>IF(C130&lt;=Presentation!$F$34,1,0)</f>
        <v>1</v>
      </c>
      <c r="C130" s="141">
        <v>0</v>
      </c>
      <c r="D130" s="150"/>
      <c r="E130" s="150"/>
      <c r="F130" s="150"/>
      <c r="G130" s="151"/>
      <c r="H130" s="152">
        <v>1</v>
      </c>
      <c r="K130" s="145"/>
      <c r="L130" s="145"/>
      <c r="M130" s="145"/>
      <c r="N130" s="145"/>
      <c r="Q130">
        <f>IF(R130&lt;=Presentation!$F$34,1,0)</f>
        <v>1</v>
      </c>
      <c r="R130" s="141">
        <v>0</v>
      </c>
      <c r="S130" s="150">
        <f>($V$127*S94*c_tto_DCIS)*W130</f>
        <v>12.15565994761679</v>
      </c>
      <c r="T130" s="150"/>
      <c r="U130" s="150"/>
      <c r="V130" s="151"/>
      <c r="W130" s="152">
        <v>1</v>
      </c>
      <c r="AA130">
        <f>IF(AB130&lt;=Presentation!$F$34,1,0)</f>
        <v>1</v>
      </c>
      <c r="AB130" s="141">
        <v>0</v>
      </c>
      <c r="AC130" s="150">
        <f>($AF$127*AC94*c_tto_local_1ano)*AG130</f>
        <v>120.4580886764964</v>
      </c>
      <c r="AD130" s="150"/>
      <c r="AE130" s="150"/>
      <c r="AF130" s="151"/>
      <c r="AG130" s="152">
        <v>1</v>
      </c>
      <c r="AJ130" s="145"/>
      <c r="AK130">
        <f>IF(AL130&lt;=Presentation!$F$34,1,0)</f>
        <v>1</v>
      </c>
      <c r="AL130" s="141">
        <v>0</v>
      </c>
      <c r="AM130" s="150">
        <f>($AP$127*AM94*c_tto_tnm1_1ano)*AQ130</f>
        <v>58.805961763329812</v>
      </c>
      <c r="AN130" s="150">
        <f t="shared" ref="AN130:AN161" si="125">($AP$127*AN94*c_tto_metast)*AQ130</f>
        <v>0</v>
      </c>
      <c r="AO130" s="150"/>
      <c r="AP130" s="151"/>
      <c r="AQ130" s="152">
        <v>1</v>
      </c>
      <c r="AT130" s="145"/>
      <c r="AU130">
        <f>IF(AV130&lt;=Presentation!$F$34,1,0)</f>
        <v>1</v>
      </c>
      <c r="AV130" s="141">
        <v>0</v>
      </c>
      <c r="AW130" s="150">
        <f>($AZ$127*AW94*c_tto_tnm2_1ano)*BA130</f>
        <v>95.773356740428724</v>
      </c>
      <c r="AX130" s="150">
        <f t="shared" ref="AX130:AX161" si="126">($AZ$127*AX94*c_tto_metast)*BA130</f>
        <v>0</v>
      </c>
      <c r="AY130" s="150"/>
      <c r="AZ130" s="151"/>
      <c r="BA130" s="152">
        <v>1</v>
      </c>
      <c r="BE130">
        <f>IF(BF130&lt;=Presentation!$F$34,1,0)</f>
        <v>1</v>
      </c>
      <c r="BF130" s="141">
        <v>0</v>
      </c>
      <c r="BG130" s="150">
        <f>($BJ$127*BG94*c_tto_tnm3_1ano)*BK130</f>
        <v>122.65210050947717</v>
      </c>
      <c r="BH130" s="150">
        <f t="shared" ref="BH130:BH161" si="127">($BJ$127*BH94*c_tto_metast)*BK130</f>
        <v>0</v>
      </c>
      <c r="BI130" s="150"/>
      <c r="BJ130" s="151"/>
      <c r="BK130" s="152">
        <v>1</v>
      </c>
      <c r="BO130">
        <f>IF(BP130&lt;=Presentation!$F$34,1,0)</f>
        <v>1</v>
      </c>
      <c r="BP130" s="141">
        <v>0</v>
      </c>
      <c r="BQ130" s="150"/>
      <c r="BR130" s="150"/>
      <c r="BS130" s="150"/>
      <c r="BT130" s="151"/>
      <c r="BU130" s="152">
        <v>1</v>
      </c>
      <c r="BZ130" s="136"/>
    </row>
    <row r="131" spans="1:78" x14ac:dyDescent="0.3">
      <c r="A131" s="136"/>
      <c r="B131">
        <f>IF(C131&lt;=Presentation!$F$34,1,0)</f>
        <v>1</v>
      </c>
      <c r="C131" s="146">
        <v>1</v>
      </c>
      <c r="D131" s="150"/>
      <c r="E131" s="150"/>
      <c r="F131" s="150"/>
      <c r="G131" s="151"/>
      <c r="H131" s="152">
        <f t="shared" ref="H131:H161" si="128">(1/(1+taxa_desconto)^ROUNDDOWN((C131-1),0))</f>
        <v>1</v>
      </c>
      <c r="K131" s="145"/>
      <c r="L131" s="145"/>
      <c r="M131" s="145"/>
      <c r="N131" s="145"/>
      <c r="Q131">
        <f>IF(R131&lt;=Presentation!$F$34,1,0)</f>
        <v>1</v>
      </c>
      <c r="R131" s="146">
        <v>1</v>
      </c>
      <c r="S131" s="150">
        <f t="shared" ref="S131:S161" si="129">($V$127*S95*c_tto_DCIS_2)*W131</f>
        <v>0.4423487172301277</v>
      </c>
      <c r="T131" s="150"/>
      <c r="U131" s="150"/>
      <c r="V131" s="151"/>
      <c r="W131" s="152">
        <f t="shared" ref="W131:W161" si="130">(1/(1+taxa_desconto)^ROUNDDOWN((R131-1),0))</f>
        <v>1</v>
      </c>
      <c r="AA131">
        <f>IF(AB131&lt;=Presentation!$F$34,1,0)</f>
        <v>1</v>
      </c>
      <c r="AB131" s="146">
        <v>1</v>
      </c>
      <c r="AC131" s="150">
        <f t="shared" ref="AC131:AC161" si="131">($AF$127*AC95*c_tto_local_anoseg)*AG131</f>
        <v>54.51545925108686</v>
      </c>
      <c r="AD131" s="150"/>
      <c r="AE131" s="150"/>
      <c r="AF131" s="151"/>
      <c r="AG131" s="152">
        <f t="shared" ref="AG131:AG161" si="132">(1/(1+taxa_desconto)^ROUNDDOWN((AB131-1),0))</f>
        <v>1</v>
      </c>
      <c r="AJ131" s="145"/>
      <c r="AK131">
        <f>IF(AL131&lt;=Presentation!$F$34,1,0)</f>
        <v>1</v>
      </c>
      <c r="AL131" s="146">
        <v>1</v>
      </c>
      <c r="AM131" s="150">
        <f t="shared" ref="AM131:AM161" si="133">($AP$127*AM95*c_tto_tnm1_segano)*AQ131</f>
        <v>3.4306653754685725</v>
      </c>
      <c r="AN131" s="150">
        <f t="shared" si="125"/>
        <v>9.0683586656476415E-3</v>
      </c>
      <c r="AO131" s="150"/>
      <c r="AP131" s="151"/>
      <c r="AQ131" s="152">
        <f t="shared" ref="AQ131:AQ161" si="134">(1/(1+taxa_desconto)^ROUNDDOWN((AL131-1),0))</f>
        <v>1</v>
      </c>
      <c r="AT131" s="145"/>
      <c r="AU131">
        <f>IF(AV131&lt;=Presentation!$F$34,1,0)</f>
        <v>1</v>
      </c>
      <c r="AV131" s="146">
        <v>1</v>
      </c>
      <c r="AW131" s="150">
        <f t="shared" ref="AW131:AW161" si="135">($AZ$127*AW95*c_tto_tnm2_segano)*BA131</f>
        <v>1.819639145096845</v>
      </c>
      <c r="AX131" s="150">
        <f t="shared" si="126"/>
        <v>22.852263837432059</v>
      </c>
      <c r="AY131" s="150"/>
      <c r="AZ131" s="151"/>
      <c r="BA131" s="152">
        <f t="shared" ref="BA131:BA161" si="136">(1/(1+taxa_desconto)^ROUNDDOWN((AV131-1),0))</f>
        <v>1</v>
      </c>
      <c r="BE131">
        <f>IF(BF131&lt;=Presentation!$F$34,1,0)</f>
        <v>1</v>
      </c>
      <c r="BF131" s="146">
        <v>1</v>
      </c>
      <c r="BG131" s="150">
        <f t="shared" ref="BG131:BG161" si="137">($BJ$127*BG95*c_tto_tnm3_segano)*BK131</f>
        <v>46.075009636966115</v>
      </c>
      <c r="BH131" s="150">
        <f t="shared" si="127"/>
        <v>15.234842558288037</v>
      </c>
      <c r="BI131" s="150"/>
      <c r="BJ131" s="151"/>
      <c r="BK131" s="152">
        <f t="shared" ref="BK131:BK161" si="138">(1/(1+taxa_desconto)^ROUNDDOWN((BF131-1),0))</f>
        <v>1</v>
      </c>
      <c r="BO131">
        <f>IF(BP131&lt;=Presentation!$F$34,1,0)</f>
        <v>1</v>
      </c>
      <c r="BP131" s="146">
        <v>1</v>
      </c>
      <c r="BQ131" s="150"/>
      <c r="BR131" s="150"/>
      <c r="BS131" s="150"/>
      <c r="BT131" s="151"/>
      <c r="BU131" s="152">
        <f t="shared" ref="BU131:BU161" si="139">(1/(1+taxa_desconto)^ROUNDDOWN((BP131-1),0))</f>
        <v>1</v>
      </c>
      <c r="BZ131" s="136"/>
    </row>
    <row r="132" spans="1:78" x14ac:dyDescent="0.3">
      <c r="A132" s="136"/>
      <c r="B132">
        <f>IF(C132&lt;=Presentation!$F$34,1,0)</f>
        <v>1</v>
      </c>
      <c r="C132" s="146">
        <v>2</v>
      </c>
      <c r="D132" s="150"/>
      <c r="E132" s="150"/>
      <c r="F132" s="150"/>
      <c r="G132" s="151"/>
      <c r="H132" s="152">
        <f t="shared" si="128"/>
        <v>0.95238095238095233</v>
      </c>
      <c r="K132" s="145"/>
      <c r="L132" s="145"/>
      <c r="M132" s="145"/>
      <c r="N132" s="145"/>
      <c r="Q132">
        <f>IF(R132&lt;=Presentation!$F$34,1,0)</f>
        <v>1</v>
      </c>
      <c r="R132" s="146">
        <v>2</v>
      </c>
      <c r="S132" s="150">
        <f t="shared" si="129"/>
        <v>0.41884811486843787</v>
      </c>
      <c r="T132" s="150"/>
      <c r="U132" s="150"/>
      <c r="V132" s="151"/>
      <c r="W132" s="152">
        <f t="shared" si="130"/>
        <v>0.95238095238095233</v>
      </c>
      <c r="AA132">
        <f>IF(AB132&lt;=Presentation!$F$34,1,0)</f>
        <v>1</v>
      </c>
      <c r="AB132" s="146">
        <v>2</v>
      </c>
      <c r="AC132" s="150">
        <f t="shared" si="131"/>
        <v>51.018798010846375</v>
      </c>
      <c r="AD132" s="150"/>
      <c r="AE132" s="150"/>
      <c r="AF132" s="151"/>
      <c r="AG132" s="152">
        <f t="shared" si="132"/>
        <v>0.95238095238095233</v>
      </c>
      <c r="AJ132" s="145"/>
      <c r="AK132">
        <f>IF(AL132&lt;=Presentation!$F$34,1,0)</f>
        <v>1</v>
      </c>
      <c r="AL132" s="146">
        <v>2</v>
      </c>
      <c r="AM132" s="150">
        <f t="shared" si="133"/>
        <v>3.2587347280608592</v>
      </c>
      <c r="AN132" s="150">
        <f t="shared" si="125"/>
        <v>1.6286072797452863E-2</v>
      </c>
      <c r="AO132" s="150"/>
      <c r="AP132" s="151"/>
      <c r="AQ132" s="152">
        <f t="shared" si="134"/>
        <v>0.95238095238095233</v>
      </c>
      <c r="AT132" s="145"/>
      <c r="AU132">
        <f>IF(AV132&lt;=Presentation!$F$34,1,0)</f>
        <v>1</v>
      </c>
      <c r="AV132" s="146">
        <v>2</v>
      </c>
      <c r="AW132" s="150">
        <f t="shared" si="135"/>
        <v>1.5279585811913989</v>
      </c>
      <c r="AX132" s="150">
        <f t="shared" si="126"/>
        <v>38.523041090704247</v>
      </c>
      <c r="AY132" s="150"/>
      <c r="AZ132" s="151"/>
      <c r="BA132" s="152">
        <f t="shared" si="136"/>
        <v>0.95238095238095233</v>
      </c>
      <c r="BE132">
        <f>IF(BF132&lt;=Presentation!$F$34,1,0)</f>
        <v>1</v>
      </c>
      <c r="BF132" s="146">
        <v>2</v>
      </c>
      <c r="BG132" s="150">
        <f t="shared" si="137"/>
        <v>38.078906728962338</v>
      </c>
      <c r="BH132" s="150">
        <f t="shared" si="127"/>
        <v>25.480173269366873</v>
      </c>
      <c r="BI132" s="150"/>
      <c r="BJ132" s="151"/>
      <c r="BK132" s="152">
        <f t="shared" si="138"/>
        <v>0.95238095238095233</v>
      </c>
      <c r="BO132">
        <f>IF(BP132&lt;=Presentation!$F$34,1,0)</f>
        <v>1</v>
      </c>
      <c r="BP132" s="146">
        <v>2</v>
      </c>
      <c r="BQ132" s="150"/>
      <c r="BR132" s="150"/>
      <c r="BS132" s="150"/>
      <c r="BT132" s="151"/>
      <c r="BU132" s="152">
        <f t="shared" si="139"/>
        <v>0.95238095238095233</v>
      </c>
      <c r="BZ132" s="136"/>
    </row>
    <row r="133" spans="1:78" x14ac:dyDescent="0.3">
      <c r="A133" s="136"/>
      <c r="B133">
        <f>IF(C133&lt;=Presentation!$F$34,1,0)</f>
        <v>1</v>
      </c>
      <c r="C133" s="146">
        <v>3</v>
      </c>
      <c r="D133" s="150"/>
      <c r="E133" s="150"/>
      <c r="F133" s="150"/>
      <c r="G133" s="151"/>
      <c r="H133" s="152">
        <f t="shared" si="128"/>
        <v>0.90702947845804982</v>
      </c>
      <c r="K133" s="145"/>
      <c r="L133" s="145"/>
      <c r="M133" s="145"/>
      <c r="N133" s="145"/>
      <c r="Q133">
        <f>IF(R133&lt;=Presentation!$F$34,1,0)</f>
        <v>1</v>
      </c>
      <c r="R133" s="146">
        <v>3</v>
      </c>
      <c r="S133" s="150">
        <f t="shared" si="129"/>
        <v>0.39659602593032139</v>
      </c>
      <c r="T133" s="150"/>
      <c r="U133" s="150"/>
      <c r="V133" s="151"/>
      <c r="W133" s="152">
        <f t="shared" si="130"/>
        <v>0.90702947845804982</v>
      </c>
      <c r="AA133">
        <f>IF(AB133&lt;=Presentation!$F$34,1,0)</f>
        <v>1</v>
      </c>
      <c r="AB133" s="146">
        <v>3</v>
      </c>
      <c r="AC133" s="150">
        <f t="shared" si="131"/>
        <v>47.7464151679076</v>
      </c>
      <c r="AD133" s="150"/>
      <c r="AE133" s="150"/>
      <c r="AF133" s="151"/>
      <c r="AG133" s="152">
        <f t="shared" si="132"/>
        <v>0.90702947845804982</v>
      </c>
      <c r="AJ133" s="145"/>
      <c r="AK133">
        <f>IF(AL133&lt;=Presentation!$F$34,1,0)</f>
        <v>1</v>
      </c>
      <c r="AL133" s="146">
        <v>3</v>
      </c>
      <c r="AM133" s="150">
        <f t="shared" si="133"/>
        <v>3.0954205279841536</v>
      </c>
      <c r="AN133" s="150">
        <f t="shared" si="125"/>
        <v>2.1960846073930278E-2</v>
      </c>
      <c r="AO133" s="150"/>
      <c r="AP133" s="151"/>
      <c r="AQ133" s="152">
        <f t="shared" si="134"/>
        <v>0.90702947845804982</v>
      </c>
      <c r="AT133" s="145"/>
      <c r="AU133">
        <f>IF(AV133&lt;=Presentation!$F$34,1,0)</f>
        <v>1</v>
      </c>
      <c r="AV133" s="146">
        <v>3</v>
      </c>
      <c r="AW133" s="150">
        <f t="shared" si="135"/>
        <v>1.2830331948657752</v>
      </c>
      <c r="AX133" s="150">
        <f t="shared" si="126"/>
        <v>48.705185964652124</v>
      </c>
      <c r="AY133" s="150"/>
      <c r="AZ133" s="151"/>
      <c r="BA133" s="152">
        <f t="shared" si="136"/>
        <v>0.90702947845804982</v>
      </c>
      <c r="BE133">
        <f>IF(BF133&lt;=Presentation!$F$34,1,0)</f>
        <v>1</v>
      </c>
      <c r="BF133" s="146">
        <v>3</v>
      </c>
      <c r="BG133" s="150">
        <f t="shared" si="137"/>
        <v>31.470490165880982</v>
      </c>
      <c r="BH133" s="150">
        <f t="shared" si="127"/>
        <v>31.963026539943897</v>
      </c>
      <c r="BI133" s="150"/>
      <c r="BJ133" s="151"/>
      <c r="BK133" s="152">
        <f t="shared" si="138"/>
        <v>0.90702947845804982</v>
      </c>
      <c r="BO133">
        <f>IF(BP133&lt;=Presentation!$F$34,1,0)</f>
        <v>1</v>
      </c>
      <c r="BP133" s="146">
        <v>3</v>
      </c>
      <c r="BQ133" s="150"/>
      <c r="BR133" s="150"/>
      <c r="BS133" s="150"/>
      <c r="BT133" s="151"/>
      <c r="BU133" s="152">
        <f t="shared" si="139"/>
        <v>0.90702947845804982</v>
      </c>
      <c r="BZ133" s="136"/>
    </row>
    <row r="134" spans="1:78" x14ac:dyDescent="0.3">
      <c r="A134" s="136"/>
      <c r="B134">
        <f>IF(C134&lt;=Presentation!$F$34,1,0)</f>
        <v>1</v>
      </c>
      <c r="C134" s="146">
        <v>4</v>
      </c>
      <c r="D134" s="150"/>
      <c r="E134" s="150"/>
      <c r="F134" s="150"/>
      <c r="G134" s="151"/>
      <c r="H134" s="152">
        <f t="shared" si="128"/>
        <v>0.86383759853147601</v>
      </c>
      <c r="K134" s="145"/>
      <c r="L134" s="145"/>
      <c r="M134" s="145"/>
      <c r="N134" s="145"/>
      <c r="Q134">
        <f>IF(R134&lt;=Presentation!$F$34,1,0)</f>
        <v>1</v>
      </c>
      <c r="R134" s="146">
        <v>4</v>
      </c>
      <c r="S134" s="150">
        <f t="shared" si="129"/>
        <v>0.37552612080665365</v>
      </c>
      <c r="T134" s="150"/>
      <c r="U134" s="150"/>
      <c r="V134" s="151"/>
      <c r="W134" s="152">
        <f t="shared" si="130"/>
        <v>0.86383759853147601</v>
      </c>
      <c r="AA134">
        <f>IF(AB134&lt;=Presentation!$F$34,1,0)</f>
        <v>1</v>
      </c>
      <c r="AB134" s="146">
        <v>4</v>
      </c>
      <c r="AC134" s="150">
        <f t="shared" si="131"/>
        <v>44.68392534260682</v>
      </c>
      <c r="AD134" s="150"/>
      <c r="AE134" s="150"/>
      <c r="AF134" s="151"/>
      <c r="AG134" s="152">
        <f t="shared" si="132"/>
        <v>0.86383759853147601</v>
      </c>
      <c r="AJ134" s="145"/>
      <c r="AK134">
        <f>IF(AL134&lt;=Presentation!$F$34,1,0)</f>
        <v>1</v>
      </c>
      <c r="AL134" s="146">
        <v>4</v>
      </c>
      <c r="AM134" s="150">
        <f t="shared" si="133"/>
        <v>2.940290954817097</v>
      </c>
      <c r="AN134" s="150">
        <f t="shared" si="125"/>
        <v>2.6351866277148077E-2</v>
      </c>
      <c r="AO134" s="150"/>
      <c r="AP134" s="151"/>
      <c r="AQ134" s="152">
        <f t="shared" si="134"/>
        <v>0.86383759853147601</v>
      </c>
      <c r="AT134" s="145"/>
      <c r="AU134">
        <f>IF(AV134&lt;=Presentation!$F$34,1,0)</f>
        <v>1</v>
      </c>
      <c r="AV134" s="146">
        <v>4</v>
      </c>
      <c r="AW134" s="150">
        <f t="shared" si="135"/>
        <v>1.0773683262041716</v>
      </c>
      <c r="AX134" s="150">
        <f t="shared" si="126"/>
        <v>54.736795618837469</v>
      </c>
      <c r="AY134" s="150"/>
      <c r="AZ134" s="151"/>
      <c r="BA134" s="152">
        <f t="shared" si="136"/>
        <v>0.86383759853147601</v>
      </c>
      <c r="BE134">
        <f>IF(BF134&lt;=Presentation!$F$34,1,0)</f>
        <v>1</v>
      </c>
      <c r="BF134" s="146">
        <v>4</v>
      </c>
      <c r="BG134" s="150">
        <f t="shared" si="137"/>
        <v>26.008933458363497</v>
      </c>
      <c r="BH134" s="150">
        <f t="shared" si="127"/>
        <v>35.641890962624565</v>
      </c>
      <c r="BI134" s="150"/>
      <c r="BJ134" s="151"/>
      <c r="BK134" s="152">
        <f t="shared" si="138"/>
        <v>0.86383759853147601</v>
      </c>
      <c r="BO134">
        <f>IF(BP134&lt;=Presentation!$F$34,1,0)</f>
        <v>1</v>
      </c>
      <c r="BP134" s="146">
        <v>4</v>
      </c>
      <c r="BQ134" s="150"/>
      <c r="BR134" s="150"/>
      <c r="BS134" s="150"/>
      <c r="BT134" s="151"/>
      <c r="BU134" s="152">
        <f t="shared" si="139"/>
        <v>0.86383759853147601</v>
      </c>
      <c r="BZ134" s="136"/>
    </row>
    <row r="135" spans="1:78" x14ac:dyDescent="0.3">
      <c r="A135" s="136"/>
      <c r="B135">
        <f>IF(C135&lt;=Presentation!$F$34,1,0)</f>
        <v>1</v>
      </c>
      <c r="C135" s="146">
        <v>5</v>
      </c>
      <c r="D135" s="150"/>
      <c r="E135" s="150"/>
      <c r="F135" s="150"/>
      <c r="G135" s="151"/>
      <c r="H135" s="152">
        <f t="shared" si="128"/>
        <v>0.82270247479188197</v>
      </c>
      <c r="K135" s="145"/>
      <c r="L135" s="145"/>
      <c r="M135" s="145"/>
      <c r="N135" s="145"/>
      <c r="Q135">
        <f>IF(R135&lt;=Presentation!$F$34,1,0)</f>
        <v>1</v>
      </c>
      <c r="R135" s="146">
        <v>5</v>
      </c>
      <c r="S135" s="150">
        <f t="shared" si="129"/>
        <v>0.35557559377276632</v>
      </c>
      <c r="T135" s="150"/>
      <c r="U135" s="150"/>
      <c r="V135" s="151"/>
      <c r="W135" s="152">
        <f t="shared" si="130"/>
        <v>0.82270247479188197</v>
      </c>
      <c r="AA135">
        <f>IF(AB135&lt;=Presentation!$F$34,1,0)</f>
        <v>1</v>
      </c>
      <c r="AB135" s="146">
        <v>5</v>
      </c>
      <c r="AC135" s="150">
        <f t="shared" si="131"/>
        <v>41.817865844003634</v>
      </c>
      <c r="AD135" s="150"/>
      <c r="AE135" s="150"/>
      <c r="AF135" s="151"/>
      <c r="AG135" s="152">
        <f t="shared" si="132"/>
        <v>0.82270247479188197</v>
      </c>
      <c r="AJ135" s="145"/>
      <c r="AK135">
        <f>IF(AL135&lt;=Presentation!$F$34,1,0)</f>
        <v>1</v>
      </c>
      <c r="AL135" s="146">
        <v>5</v>
      </c>
      <c r="AM135" s="150">
        <f t="shared" si="133"/>
        <v>2.792935829177746</v>
      </c>
      <c r="AN135" s="150">
        <f t="shared" si="125"/>
        <v>2.9677332067010283E-2</v>
      </c>
      <c r="AO135" s="150"/>
      <c r="AP135" s="151"/>
      <c r="AQ135" s="152">
        <f t="shared" si="134"/>
        <v>0.82270247479188197</v>
      </c>
      <c r="AT135" s="145"/>
      <c r="AU135">
        <f>IF(AV135&lt;=Presentation!$F$34,1,0)</f>
        <v>1</v>
      </c>
      <c r="AV135" s="146">
        <v>5</v>
      </c>
      <c r="AW135" s="150">
        <f t="shared" si="135"/>
        <v>0.90467067800954881</v>
      </c>
      <c r="AX135" s="150">
        <f t="shared" si="126"/>
        <v>57.670916548643191</v>
      </c>
      <c r="AY135" s="150"/>
      <c r="AZ135" s="151"/>
      <c r="BA135" s="152">
        <f t="shared" si="136"/>
        <v>0.82270247479188197</v>
      </c>
      <c r="BE135">
        <f>IF(BF135&lt;=Presentation!$F$34,1,0)</f>
        <v>1</v>
      </c>
      <c r="BF135" s="146">
        <v>5</v>
      </c>
      <c r="BG135" s="150">
        <f t="shared" si="137"/>
        <v>21.495204430434185</v>
      </c>
      <c r="BH135" s="150">
        <f t="shared" si="127"/>
        <v>37.261874393209048</v>
      </c>
      <c r="BI135" s="150"/>
      <c r="BJ135" s="151"/>
      <c r="BK135" s="152">
        <f t="shared" si="138"/>
        <v>0.82270247479188197</v>
      </c>
      <c r="BO135">
        <f>IF(BP135&lt;=Presentation!$F$34,1,0)</f>
        <v>1</v>
      </c>
      <c r="BP135" s="146">
        <v>5</v>
      </c>
      <c r="BQ135" s="150"/>
      <c r="BR135" s="150"/>
      <c r="BS135" s="150"/>
      <c r="BT135" s="151"/>
      <c r="BU135" s="152">
        <f t="shared" si="139"/>
        <v>0.82270247479188197</v>
      </c>
      <c r="BZ135" s="136"/>
    </row>
    <row r="136" spans="1:78" x14ac:dyDescent="0.3">
      <c r="A136" s="136"/>
      <c r="B136">
        <f>IF(C136&lt;=Presentation!$F$34,1,0)</f>
        <v>1</v>
      </c>
      <c r="C136" s="146">
        <v>6</v>
      </c>
      <c r="D136" s="150"/>
      <c r="E136" s="150"/>
      <c r="F136" s="150"/>
      <c r="G136" s="151"/>
      <c r="H136" s="152">
        <f t="shared" si="128"/>
        <v>0.78352616646845896</v>
      </c>
      <c r="K136" s="145"/>
      <c r="L136" s="145"/>
      <c r="M136" s="145"/>
      <c r="N136" s="145"/>
      <c r="Q136">
        <f>IF(R136&lt;=Presentation!$F$34,1,0)</f>
        <v>1</v>
      </c>
      <c r="R136" s="146">
        <v>6</v>
      </c>
      <c r="S136" s="150">
        <f t="shared" si="129"/>
        <v>0.33668497577549905</v>
      </c>
      <c r="T136" s="150"/>
      <c r="U136" s="150"/>
      <c r="V136" s="151"/>
      <c r="W136" s="152">
        <f t="shared" si="130"/>
        <v>0.78352616646845896</v>
      </c>
      <c r="AA136">
        <f>IF(AB136&lt;=Presentation!$F$34,1,0)</f>
        <v>1</v>
      </c>
      <c r="AB136" s="146">
        <v>6</v>
      </c>
      <c r="AC136" s="150">
        <f t="shared" si="131"/>
        <v>39.135637487954547</v>
      </c>
      <c r="AD136" s="150"/>
      <c r="AE136" s="150"/>
      <c r="AF136" s="151"/>
      <c r="AG136" s="152">
        <f t="shared" si="132"/>
        <v>0.78352616646845896</v>
      </c>
      <c r="AJ136" s="145"/>
      <c r="AK136">
        <f>IF(AL136&lt;=Presentation!$F$34,1,0)</f>
        <v>1</v>
      </c>
      <c r="AL136" s="146">
        <v>6</v>
      </c>
      <c r="AM136" s="150">
        <f t="shared" si="133"/>
        <v>2.6529655281648874</v>
      </c>
      <c r="AN136" s="150">
        <f t="shared" si="125"/>
        <v>3.2120818056819822E-2</v>
      </c>
      <c r="AO136" s="150"/>
      <c r="AP136" s="151"/>
      <c r="AQ136" s="152">
        <f t="shared" si="134"/>
        <v>0.78352616646845896</v>
      </c>
      <c r="AT136" s="145"/>
      <c r="AU136">
        <f>IF(AV136&lt;=Presentation!$F$34,1,0)</f>
        <v>1</v>
      </c>
      <c r="AV136" s="146">
        <v>6</v>
      </c>
      <c r="AW136" s="150">
        <f t="shared" si="135"/>
        <v>0.75965574237158007</v>
      </c>
      <c r="AX136" s="150">
        <f t="shared" si="126"/>
        <v>58.332100414090647</v>
      </c>
      <c r="AY136" s="150"/>
      <c r="AZ136" s="151"/>
      <c r="BA136" s="152">
        <f t="shared" si="136"/>
        <v>0.78352616646845896</v>
      </c>
      <c r="BE136">
        <f>IF(BF136&lt;=Presentation!$F$34,1,0)</f>
        <v>1</v>
      </c>
      <c r="BF136" s="146">
        <v>6</v>
      </c>
      <c r="BG136" s="150">
        <f t="shared" si="137"/>
        <v>17.76481201145068</v>
      </c>
      <c r="BH136" s="150">
        <f t="shared" si="127"/>
        <v>37.398977446135262</v>
      </c>
      <c r="BI136" s="150"/>
      <c r="BJ136" s="151"/>
      <c r="BK136" s="152">
        <f t="shared" si="138"/>
        <v>0.78352616646845896</v>
      </c>
      <c r="BO136">
        <f>IF(BP136&lt;=Presentation!$F$34,1,0)</f>
        <v>1</v>
      </c>
      <c r="BP136" s="146">
        <v>6</v>
      </c>
      <c r="BQ136" s="150"/>
      <c r="BR136" s="150"/>
      <c r="BS136" s="150"/>
      <c r="BT136" s="151"/>
      <c r="BU136" s="152">
        <f t="shared" si="139"/>
        <v>0.78352616646845896</v>
      </c>
      <c r="BZ136" s="136"/>
    </row>
    <row r="137" spans="1:78" x14ac:dyDescent="0.3">
      <c r="A137" s="136"/>
      <c r="B137">
        <f>IF(C137&lt;=Presentation!$F$34,1,0)</f>
        <v>1</v>
      </c>
      <c r="C137" s="146">
        <v>7</v>
      </c>
      <c r="D137" s="150"/>
      <c r="E137" s="150"/>
      <c r="F137" s="150"/>
      <c r="G137" s="151"/>
      <c r="H137" s="152">
        <f t="shared" si="128"/>
        <v>0.74621539663662761</v>
      </c>
      <c r="K137" s="145"/>
      <c r="L137" s="145"/>
      <c r="M137" s="145"/>
      <c r="N137" s="145"/>
      <c r="Q137">
        <f>IF(R137&lt;=Presentation!$F$34,1,0)</f>
        <v>1</v>
      </c>
      <c r="R137" s="146">
        <v>7</v>
      </c>
      <c r="S137" s="150">
        <f t="shared" si="129"/>
        <v>0.31879795716628978</v>
      </c>
      <c r="T137" s="150"/>
      <c r="U137" s="150"/>
      <c r="V137" s="151"/>
      <c r="W137" s="152">
        <f t="shared" si="130"/>
        <v>0.74621539663662761</v>
      </c>
      <c r="AA137">
        <f>IF(AB137&lt;=Presentation!$F$34,1,0)</f>
        <v>1</v>
      </c>
      <c r="AB137" s="146">
        <v>7</v>
      </c>
      <c r="AC137" s="150">
        <f t="shared" si="131"/>
        <v>36.625449211158461</v>
      </c>
      <c r="AD137" s="150"/>
      <c r="AE137" s="150"/>
      <c r="AF137" s="151"/>
      <c r="AG137" s="152">
        <f t="shared" si="132"/>
        <v>0.74621539663662761</v>
      </c>
      <c r="AJ137" s="145"/>
      <c r="AK137">
        <f>IF(AL137&lt;=Presentation!$F$34,1,0)</f>
        <v>1</v>
      </c>
      <c r="AL137" s="146">
        <v>7</v>
      </c>
      <c r="AM137" s="150">
        <f t="shared" si="133"/>
        <v>2.520009955152922</v>
      </c>
      <c r="AN137" s="150">
        <f t="shared" si="125"/>
        <v>3.3836657190430219E-2</v>
      </c>
      <c r="AO137" s="150"/>
      <c r="AP137" s="151"/>
      <c r="AQ137" s="152">
        <f t="shared" si="134"/>
        <v>0.74621539663662761</v>
      </c>
      <c r="AT137" s="145"/>
      <c r="AU137">
        <f>IF(AV137&lt;=Presentation!$F$34,1,0)</f>
        <v>1</v>
      </c>
      <c r="AV137" s="146">
        <v>7</v>
      </c>
      <c r="AW137" s="150">
        <f t="shared" si="135"/>
        <v>0.63788609595239409</v>
      </c>
      <c r="AX137" s="150">
        <f t="shared" si="126"/>
        <v>57.362221662691489</v>
      </c>
      <c r="AY137" s="150"/>
      <c r="AZ137" s="151"/>
      <c r="BA137" s="152">
        <f t="shared" si="136"/>
        <v>0.74621539663662761</v>
      </c>
      <c r="BE137">
        <f>IF(BF137&lt;=Presentation!$F$34,1,0)</f>
        <v>1</v>
      </c>
      <c r="BF137" s="146">
        <v>7</v>
      </c>
      <c r="BG137" s="150">
        <f t="shared" si="137"/>
        <v>14.681811788463541</v>
      </c>
      <c r="BH137" s="150">
        <f t="shared" si="127"/>
        <v>36.495568503033951</v>
      </c>
      <c r="BI137" s="150"/>
      <c r="BJ137" s="151"/>
      <c r="BK137" s="152">
        <f t="shared" si="138"/>
        <v>0.74621539663662761</v>
      </c>
      <c r="BO137">
        <f>IF(BP137&lt;=Presentation!$F$34,1,0)</f>
        <v>1</v>
      </c>
      <c r="BP137" s="146">
        <v>7</v>
      </c>
      <c r="BQ137" s="150"/>
      <c r="BR137" s="150"/>
      <c r="BS137" s="150"/>
      <c r="BT137" s="151"/>
      <c r="BU137" s="152">
        <f t="shared" si="139"/>
        <v>0.74621539663662761</v>
      </c>
      <c r="BZ137" s="136"/>
    </row>
    <row r="138" spans="1:78" x14ac:dyDescent="0.3">
      <c r="A138" s="136"/>
      <c r="B138">
        <f>IF(C138&lt;=Presentation!$F$34,1,0)</f>
        <v>1</v>
      </c>
      <c r="C138" s="146">
        <v>8</v>
      </c>
      <c r="D138" s="150"/>
      <c r="E138" s="150"/>
      <c r="F138" s="150"/>
      <c r="G138" s="151"/>
      <c r="H138" s="152">
        <f t="shared" si="128"/>
        <v>0.71068133013012147</v>
      </c>
      <c r="K138" s="145"/>
      <c r="L138" s="145"/>
      <c r="M138" s="145"/>
      <c r="N138" s="145"/>
      <c r="Q138">
        <f>IF(R138&lt;=Presentation!$F$34,1,0)</f>
        <v>1</v>
      </c>
      <c r="R138" s="146">
        <v>8</v>
      </c>
      <c r="S138" s="150">
        <f t="shared" si="129"/>
        <v>0.3018612198518999</v>
      </c>
      <c r="T138" s="150"/>
      <c r="U138" s="150"/>
      <c r="V138" s="151"/>
      <c r="W138" s="152">
        <f t="shared" si="130"/>
        <v>0.71068133013012147</v>
      </c>
      <c r="AA138">
        <f>IF(AB138&lt;=Presentation!$F$34,1,0)</f>
        <v>1</v>
      </c>
      <c r="AB138" s="146">
        <v>8</v>
      </c>
      <c r="AC138" s="150">
        <f t="shared" si="131"/>
        <v>34.27626623769757</v>
      </c>
      <c r="AD138" s="150"/>
      <c r="AE138" s="150"/>
      <c r="AF138" s="151"/>
      <c r="AG138" s="152">
        <f t="shared" si="132"/>
        <v>0.71068133013012147</v>
      </c>
      <c r="AJ138" s="145"/>
      <c r="AK138">
        <f>IF(AL138&lt;=Presentation!$F$34,1,0)</f>
        <v>1</v>
      </c>
      <c r="AL138" s="146">
        <v>8</v>
      </c>
      <c r="AM138" s="150">
        <f t="shared" si="133"/>
        <v>2.3937175612163237</v>
      </c>
      <c r="AN138" s="150">
        <f t="shared" si="125"/>
        <v>3.4954491854974727E-2</v>
      </c>
      <c r="AO138" s="150"/>
      <c r="AP138" s="151"/>
      <c r="AQ138" s="152">
        <f t="shared" si="134"/>
        <v>0.71068133013012147</v>
      </c>
      <c r="AT138" s="145"/>
      <c r="AU138">
        <f>IF(AV138&lt;=Presentation!$F$34,1,0)</f>
        <v>1</v>
      </c>
      <c r="AV138" s="146">
        <v>8</v>
      </c>
      <c r="AW138" s="150">
        <f t="shared" si="135"/>
        <v>0.53563561586342279</v>
      </c>
      <c r="AX138" s="150">
        <f t="shared" si="126"/>
        <v>55.257535742760908</v>
      </c>
      <c r="AY138" s="150"/>
      <c r="AZ138" s="151"/>
      <c r="BA138" s="152">
        <f t="shared" si="136"/>
        <v>0.71068133013012147</v>
      </c>
      <c r="BE138">
        <f>IF(BF138&lt;=Presentation!$F$34,1,0)</f>
        <v>1</v>
      </c>
      <c r="BF138" s="146">
        <v>8</v>
      </c>
      <c r="BG138" s="150">
        <f t="shared" si="137"/>
        <v>12.133851866989986</v>
      </c>
      <c r="BH138" s="150">
        <f t="shared" si="127"/>
        <v>34.888758841941083</v>
      </c>
      <c r="BI138" s="150"/>
      <c r="BJ138" s="151"/>
      <c r="BK138" s="152">
        <f t="shared" si="138"/>
        <v>0.71068133013012147</v>
      </c>
      <c r="BO138">
        <f>IF(BP138&lt;=Presentation!$F$34,1,0)</f>
        <v>1</v>
      </c>
      <c r="BP138" s="146">
        <v>8</v>
      </c>
      <c r="BQ138" s="150"/>
      <c r="BR138" s="150"/>
      <c r="BS138" s="150"/>
      <c r="BT138" s="151"/>
      <c r="BU138" s="152">
        <f t="shared" si="139"/>
        <v>0.71068133013012147</v>
      </c>
      <c r="BZ138" s="136"/>
    </row>
    <row r="139" spans="1:78" x14ac:dyDescent="0.3">
      <c r="A139" s="136"/>
      <c r="B139">
        <f>IF(C139&lt;=Presentation!$F$34,1,0)</f>
        <v>1</v>
      </c>
      <c r="C139" s="146">
        <v>9</v>
      </c>
      <c r="D139" s="150"/>
      <c r="E139" s="150"/>
      <c r="F139" s="150"/>
      <c r="G139" s="151"/>
      <c r="H139" s="152">
        <f t="shared" si="128"/>
        <v>0.67683936202868722</v>
      </c>
      <c r="J139" s="134"/>
      <c r="K139" s="145"/>
      <c r="L139" s="145"/>
      <c r="M139" s="145"/>
      <c r="N139" s="145"/>
      <c r="Q139">
        <f>IF(R139&lt;=Presentation!$F$34,1,0)</f>
        <v>1</v>
      </c>
      <c r="R139" s="146">
        <v>9</v>
      </c>
      <c r="S139" s="150">
        <f t="shared" si="129"/>
        <v>0.28582427836244695</v>
      </c>
      <c r="T139" s="150"/>
      <c r="U139" s="150"/>
      <c r="V139" s="151"/>
      <c r="W139" s="152">
        <f t="shared" si="130"/>
        <v>0.67683936202868722</v>
      </c>
      <c r="Y139" s="134"/>
      <c r="AA139">
        <f>IF(AB139&lt;=Presentation!$F$34,1,0)</f>
        <v>1</v>
      </c>
      <c r="AB139" s="146">
        <v>9</v>
      </c>
      <c r="AC139" s="150">
        <f t="shared" si="131"/>
        <v>32.077761570214086</v>
      </c>
      <c r="AD139" s="150"/>
      <c r="AE139" s="150"/>
      <c r="AF139" s="151"/>
      <c r="AG139" s="152">
        <f t="shared" si="132"/>
        <v>0.67683936202868722</v>
      </c>
      <c r="AI139" s="134"/>
      <c r="AJ139" s="145"/>
      <c r="AK139">
        <f>IF(AL139&lt;=Presentation!$F$34,1,0)</f>
        <v>1</v>
      </c>
      <c r="AL139" s="146">
        <v>9</v>
      </c>
      <c r="AM139" s="150">
        <f t="shared" si="133"/>
        <v>2.2737544155962355</v>
      </c>
      <c r="AN139" s="150">
        <f t="shared" si="125"/>
        <v>3.5583121841350353E-2</v>
      </c>
      <c r="AO139" s="150"/>
      <c r="AP139" s="151"/>
      <c r="AQ139" s="152">
        <f t="shared" si="134"/>
        <v>0.67683936202868722</v>
      </c>
      <c r="AS139" s="134"/>
      <c r="AT139" s="145"/>
      <c r="AU139">
        <f>IF(AV139&lt;=Presentation!$F$34,1,0)</f>
        <v>1</v>
      </c>
      <c r="AV139" s="146">
        <v>9</v>
      </c>
      <c r="AW139" s="150">
        <f t="shared" si="135"/>
        <v>0.44977546117073569</v>
      </c>
      <c r="AX139" s="150">
        <f t="shared" si="126"/>
        <v>52.39859986472711</v>
      </c>
      <c r="AY139" s="150"/>
      <c r="AZ139" s="151"/>
      <c r="BA139" s="152">
        <f t="shared" si="136"/>
        <v>0.67683936202868722</v>
      </c>
      <c r="BE139">
        <f>IF(BF139&lt;=Presentation!$F$34,1,0)</f>
        <v>1</v>
      </c>
      <c r="BF139" s="146">
        <v>9</v>
      </c>
      <c r="BG139" s="150">
        <f t="shared" si="137"/>
        <v>10.028078499531299</v>
      </c>
      <c r="BH139" s="150">
        <f t="shared" si="127"/>
        <v>32.833055278580062</v>
      </c>
      <c r="BI139" s="150"/>
      <c r="BJ139" s="151"/>
      <c r="BK139" s="152">
        <f t="shared" si="138"/>
        <v>0.67683936202868722</v>
      </c>
      <c r="BO139">
        <f>IF(BP139&lt;=Presentation!$F$34,1,0)</f>
        <v>1</v>
      </c>
      <c r="BP139" s="146">
        <v>9</v>
      </c>
      <c r="BQ139" s="150"/>
      <c r="BR139" s="150"/>
      <c r="BS139" s="150"/>
      <c r="BT139" s="151"/>
      <c r="BU139" s="152">
        <f t="shared" si="139"/>
        <v>0.67683936202868722</v>
      </c>
      <c r="BZ139" s="136"/>
    </row>
    <row r="140" spans="1:78" x14ac:dyDescent="0.3">
      <c r="A140" s="136"/>
      <c r="B140">
        <f>IF(C140&lt;=Presentation!$F$34,1,0)</f>
        <v>1</v>
      </c>
      <c r="C140" s="146">
        <v>10</v>
      </c>
      <c r="D140" s="150"/>
      <c r="E140" s="150"/>
      <c r="F140" s="150"/>
      <c r="G140" s="151"/>
      <c r="H140" s="152">
        <f t="shared" si="128"/>
        <v>0.64460891621779726</v>
      </c>
      <c r="K140" s="145"/>
      <c r="L140" s="145"/>
      <c r="M140" s="145"/>
      <c r="N140" s="145"/>
      <c r="Q140">
        <f>IF(R140&lt;=Presentation!$F$34,1,0)</f>
        <v>1</v>
      </c>
      <c r="R140" s="146">
        <v>10</v>
      </c>
      <c r="S140" s="150">
        <f t="shared" si="129"/>
        <v>0.27063932936299423</v>
      </c>
      <c r="T140" s="150"/>
      <c r="U140" s="150"/>
      <c r="V140" s="151"/>
      <c r="W140" s="152">
        <f t="shared" si="130"/>
        <v>0.64460891621779726</v>
      </c>
      <c r="AA140">
        <f>IF(AB140&lt;=Presentation!$F$34,1,0)</f>
        <v>1</v>
      </c>
      <c r="AB140" s="146">
        <v>10</v>
      </c>
      <c r="AC140" s="150">
        <f t="shared" si="131"/>
        <v>30.020270592478131</v>
      </c>
      <c r="AD140" s="150"/>
      <c r="AE140" s="150"/>
      <c r="AF140" s="151"/>
      <c r="AG140" s="152">
        <f t="shared" si="132"/>
        <v>0.64460891621779726</v>
      </c>
      <c r="AJ140" s="145"/>
      <c r="AK140">
        <f>IF(AL140&lt;=Presentation!$F$34,1,0)</f>
        <v>1</v>
      </c>
      <c r="AL140" s="146">
        <v>10</v>
      </c>
      <c r="AM140" s="150">
        <f t="shared" si="133"/>
        <v>2.1598033227513924</v>
      </c>
      <c r="AN140" s="150">
        <f t="shared" si="125"/>
        <v>3.5813757533820843E-2</v>
      </c>
      <c r="AO140" s="150"/>
      <c r="AP140" s="151"/>
      <c r="AQ140" s="152">
        <f t="shared" si="134"/>
        <v>0.64460891621779726</v>
      </c>
      <c r="AT140" s="145"/>
      <c r="AU140">
        <f>IF(AV140&lt;=Presentation!$F$34,1,0)</f>
        <v>1</v>
      </c>
      <c r="AV140" s="146">
        <v>10</v>
      </c>
      <c r="AW140" s="150">
        <f t="shared" si="135"/>
        <v>0.37767833108941401</v>
      </c>
      <c r="AX140" s="150">
        <f t="shared" si="126"/>
        <v>49.074384732825784</v>
      </c>
      <c r="AY140" s="150"/>
      <c r="AZ140" s="151"/>
      <c r="BA140" s="152">
        <f t="shared" si="136"/>
        <v>0.64460891621779726</v>
      </c>
      <c r="BE140">
        <f>IF(BF140&lt;=Presentation!$F$34,1,0)</f>
        <v>1</v>
      </c>
      <c r="BF140" s="146">
        <v>10</v>
      </c>
      <c r="BG140" s="150">
        <f t="shared" si="137"/>
        <v>8.2877522731541422</v>
      </c>
      <c r="BH140" s="150">
        <f t="shared" si="127"/>
        <v>30.518406309861771</v>
      </c>
      <c r="BI140" s="150"/>
      <c r="BJ140" s="151"/>
      <c r="BK140" s="152">
        <f t="shared" si="138"/>
        <v>0.64460891621779726</v>
      </c>
      <c r="BO140">
        <f>IF(BP140&lt;=Presentation!$F$34,1,0)</f>
        <v>1</v>
      </c>
      <c r="BP140" s="146">
        <v>10</v>
      </c>
      <c r="BQ140" s="150"/>
      <c r="BR140" s="150"/>
      <c r="BS140" s="150"/>
      <c r="BT140" s="151"/>
      <c r="BU140" s="152">
        <f t="shared" si="139"/>
        <v>0.64460891621779726</v>
      </c>
      <c r="BZ140" s="136"/>
    </row>
    <row r="141" spans="1:78" x14ac:dyDescent="0.3">
      <c r="A141" s="136"/>
      <c r="B141">
        <f>IF(C141&lt;=Presentation!$F$34,1,0)</f>
        <v>1</v>
      </c>
      <c r="C141" s="146">
        <v>11</v>
      </c>
      <c r="D141" s="150"/>
      <c r="E141" s="150"/>
      <c r="F141" s="150"/>
      <c r="G141" s="151"/>
      <c r="H141" s="152">
        <f t="shared" si="128"/>
        <v>0.61391325354075932</v>
      </c>
      <c r="J141" s="134"/>
      <c r="K141" s="145"/>
      <c r="L141" s="145"/>
      <c r="M141" s="145"/>
      <c r="N141" s="145"/>
      <c r="Q141">
        <f>IF(R141&lt;=Presentation!$F$34,1,0)</f>
        <v>1</v>
      </c>
      <c r="R141" s="146">
        <v>11</v>
      </c>
      <c r="S141" s="150">
        <f t="shared" si="129"/>
        <v>0.25626110916011907</v>
      </c>
      <c r="T141" s="150"/>
      <c r="U141" s="150"/>
      <c r="V141" s="151"/>
      <c r="W141" s="152">
        <f t="shared" si="130"/>
        <v>0.61391325354075932</v>
      </c>
      <c r="Y141" s="134"/>
      <c r="AA141">
        <f>IF(AB141&lt;=Presentation!$F$34,1,0)</f>
        <v>1</v>
      </c>
      <c r="AB141" s="146">
        <v>11</v>
      </c>
      <c r="AC141" s="150">
        <f t="shared" si="131"/>
        <v>28.094748583780085</v>
      </c>
      <c r="AD141" s="150"/>
      <c r="AE141" s="150"/>
      <c r="AF141" s="151"/>
      <c r="AG141" s="152">
        <f t="shared" si="132"/>
        <v>0.61391325354075932</v>
      </c>
      <c r="AI141" s="134"/>
      <c r="AJ141" s="145"/>
      <c r="AK141">
        <f>IF(AL141&lt;=Presentation!$F$34,1,0)</f>
        <v>1</v>
      </c>
      <c r="AL141" s="146">
        <v>11</v>
      </c>
      <c r="AM141" s="150">
        <f t="shared" si="133"/>
        <v>2.0515629836587879</v>
      </c>
      <c r="AN141" s="150">
        <f t="shared" si="125"/>
        <v>3.5722770017397487E-2</v>
      </c>
      <c r="AO141" s="150"/>
      <c r="AP141" s="151"/>
      <c r="AQ141" s="152">
        <f t="shared" si="134"/>
        <v>0.61391325354075932</v>
      </c>
      <c r="AS141" s="134"/>
      <c r="AT141" s="145"/>
      <c r="AU141">
        <f>IF(AV141&lt;=Presentation!$F$34,1,0)</f>
        <v>1</v>
      </c>
      <c r="AV141" s="146">
        <v>11</v>
      </c>
      <c r="AW141" s="150">
        <f t="shared" si="135"/>
        <v>0.31713807018995688</v>
      </c>
      <c r="AX141" s="150">
        <f t="shared" si="126"/>
        <v>45.501664351071497</v>
      </c>
      <c r="AY141" s="150"/>
      <c r="AZ141" s="151"/>
      <c r="BA141" s="152">
        <f t="shared" si="136"/>
        <v>0.61391325354075932</v>
      </c>
      <c r="BE141">
        <f>IF(BF141&lt;=Presentation!$F$34,1,0)</f>
        <v>1</v>
      </c>
      <c r="BF141" s="146">
        <v>11</v>
      </c>
      <c r="BG141" s="150">
        <f t="shared" si="137"/>
        <v>6.8494515419262028</v>
      </c>
      <c r="BH141" s="150">
        <f t="shared" si="127"/>
        <v>28.084545156247678</v>
      </c>
      <c r="BI141" s="150"/>
      <c r="BJ141" s="151"/>
      <c r="BK141" s="152">
        <f t="shared" si="138"/>
        <v>0.61391325354075932</v>
      </c>
      <c r="BO141">
        <f>IF(BP141&lt;=Presentation!$F$34,1,0)</f>
        <v>1</v>
      </c>
      <c r="BP141" s="146">
        <v>11</v>
      </c>
      <c r="BQ141" s="150"/>
      <c r="BR141" s="150"/>
      <c r="BS141" s="150"/>
      <c r="BT141" s="151"/>
      <c r="BU141" s="152">
        <f t="shared" si="139"/>
        <v>0.61391325354075932</v>
      </c>
      <c r="BZ141" s="136"/>
    </row>
    <row r="142" spans="1:78" x14ac:dyDescent="0.3">
      <c r="A142" s="136"/>
      <c r="B142">
        <f>IF(C142&lt;=Presentation!$F$34,1,0)</f>
        <v>1</v>
      </c>
      <c r="C142" s="146">
        <v>12</v>
      </c>
      <c r="D142" s="150"/>
      <c r="E142" s="150"/>
      <c r="F142" s="150"/>
      <c r="G142" s="151"/>
      <c r="H142" s="152">
        <f t="shared" si="128"/>
        <v>0.5846792890864374</v>
      </c>
      <c r="J142" s="134"/>
      <c r="K142" s="145"/>
      <c r="L142" s="145"/>
      <c r="M142" s="145"/>
      <c r="N142" s="145"/>
      <c r="Q142">
        <f>IF(R142&lt;=Presentation!$F$34,1,0)</f>
        <v>1</v>
      </c>
      <c r="R142" s="146">
        <v>12</v>
      </c>
      <c r="S142" s="150">
        <f t="shared" si="129"/>
        <v>0.24264675877871059</v>
      </c>
      <c r="T142" s="150"/>
      <c r="U142" s="150"/>
      <c r="V142" s="151"/>
      <c r="W142" s="152">
        <f t="shared" si="130"/>
        <v>0.5846792890864374</v>
      </c>
      <c r="Y142" s="134"/>
      <c r="AA142">
        <f>IF(AB142&lt;=Presentation!$F$34,1,0)</f>
        <v>1</v>
      </c>
      <c r="AB142" s="146">
        <v>12</v>
      </c>
      <c r="AC142" s="150">
        <f t="shared" si="131"/>
        <v>26.292730958380616</v>
      </c>
      <c r="AD142" s="150"/>
      <c r="AE142" s="150"/>
      <c r="AF142" s="151"/>
      <c r="AG142" s="152">
        <f t="shared" si="132"/>
        <v>0.5846792890864374</v>
      </c>
      <c r="AI142" s="134"/>
      <c r="AJ142" s="145"/>
      <c r="AK142">
        <f>IF(AL142&lt;=Presentation!$F$34,1,0)</f>
        <v>1</v>
      </c>
      <c r="AL142" s="146">
        <v>12</v>
      </c>
      <c r="AM142" s="150">
        <f t="shared" si="133"/>
        <v>1.9487471991464387</v>
      </c>
      <c r="AN142" s="150">
        <f t="shared" si="125"/>
        <v>3.5374015669289993E-2</v>
      </c>
      <c r="AO142" s="150"/>
      <c r="AP142" s="151"/>
      <c r="AQ142" s="152">
        <f t="shared" si="134"/>
        <v>0.5846792890864374</v>
      </c>
      <c r="AS142" s="134"/>
      <c r="AT142" s="145"/>
      <c r="AU142">
        <f>IF(AV142&lt;=Presentation!$F$34,1,0)</f>
        <v>1</v>
      </c>
      <c r="AV142" s="146">
        <v>12</v>
      </c>
      <c r="AW142" s="150">
        <f t="shared" si="135"/>
        <v>0.26630216055471528</v>
      </c>
      <c r="AX142" s="150">
        <f t="shared" si="126"/>
        <v>41.840572740350453</v>
      </c>
      <c r="AY142" s="150"/>
      <c r="AZ142" s="151"/>
      <c r="BA142" s="152">
        <f t="shared" si="136"/>
        <v>0.5846792890864374</v>
      </c>
      <c r="BE142">
        <f>IF(BF142&lt;=Presentation!$F$34,1,0)</f>
        <v>1</v>
      </c>
      <c r="BF142" s="146">
        <v>12</v>
      </c>
      <c r="BG142" s="150">
        <f t="shared" si="137"/>
        <v>5.6607611906020923</v>
      </c>
      <c r="BH142" s="150">
        <f t="shared" si="127"/>
        <v>25.63236031346398</v>
      </c>
      <c r="BI142" s="150"/>
      <c r="BJ142" s="151"/>
      <c r="BK142" s="152">
        <f t="shared" si="138"/>
        <v>0.5846792890864374</v>
      </c>
      <c r="BO142">
        <f>IF(BP142&lt;=Presentation!$F$34,1,0)</f>
        <v>1</v>
      </c>
      <c r="BP142" s="146">
        <v>12</v>
      </c>
      <c r="BQ142" s="150"/>
      <c r="BR142" s="150"/>
      <c r="BS142" s="150"/>
      <c r="BT142" s="151"/>
      <c r="BU142" s="152">
        <f t="shared" si="139"/>
        <v>0.5846792890864374</v>
      </c>
      <c r="BZ142" s="136"/>
    </row>
    <row r="143" spans="1:78" x14ac:dyDescent="0.3">
      <c r="A143" s="136"/>
      <c r="B143">
        <f>IF(C143&lt;=Presentation!$F$34,1,0)</f>
        <v>1</v>
      </c>
      <c r="C143" s="146">
        <v>13</v>
      </c>
      <c r="D143" s="150"/>
      <c r="E143" s="150"/>
      <c r="F143" s="150"/>
      <c r="G143" s="151"/>
      <c r="H143" s="152">
        <f t="shared" si="128"/>
        <v>0.5568374181775595</v>
      </c>
      <c r="K143" s="145"/>
      <c r="L143" s="145"/>
      <c r="M143" s="145"/>
      <c r="N143" s="145"/>
      <c r="Q143">
        <f>IF(R143&lt;=Presentation!$F$34,1,0)</f>
        <v>1</v>
      </c>
      <c r="R143" s="146">
        <v>13</v>
      </c>
      <c r="S143" s="150">
        <f t="shared" si="129"/>
        <v>0.22975569620681496</v>
      </c>
      <c r="T143" s="150"/>
      <c r="U143" s="150"/>
      <c r="V143" s="151"/>
      <c r="W143" s="152">
        <f t="shared" si="130"/>
        <v>0.5568374181775595</v>
      </c>
      <c r="AA143">
        <f>IF(AB143&lt;=Presentation!$F$34,1,0)</f>
        <v>1</v>
      </c>
      <c r="AB143" s="146">
        <v>13</v>
      </c>
      <c r="AC143" s="150">
        <f t="shared" si="131"/>
        <v>24.606296055231429</v>
      </c>
      <c r="AD143" s="150"/>
      <c r="AE143" s="150"/>
      <c r="AF143" s="151"/>
      <c r="AG143" s="152">
        <f t="shared" si="132"/>
        <v>0.5568374181775595</v>
      </c>
      <c r="AJ143" s="145"/>
      <c r="AK143">
        <f>IF(AL143&lt;=Presentation!$F$34,1,0)</f>
        <v>1</v>
      </c>
      <c r="AL143" s="146">
        <v>13</v>
      </c>
      <c r="AM143" s="150">
        <f t="shared" si="133"/>
        <v>1.8510841131518012</v>
      </c>
      <c r="AN143" s="150">
        <f t="shared" si="125"/>
        <v>3.4820800852945581E-2</v>
      </c>
      <c r="AO143" s="150"/>
      <c r="AP143" s="151"/>
      <c r="AQ143" s="152">
        <f t="shared" si="134"/>
        <v>0.5568374181775595</v>
      </c>
      <c r="AT143" s="145"/>
      <c r="AU143">
        <f>IF(AV143&lt;=Presentation!$F$34,1,0)</f>
        <v>1</v>
      </c>
      <c r="AV143" s="146">
        <v>13</v>
      </c>
      <c r="AW143" s="150">
        <f t="shared" si="135"/>
        <v>0.22361503516002398</v>
      </c>
      <c r="AX143" s="150">
        <f t="shared" si="126"/>
        <v>38.207053614243399</v>
      </c>
      <c r="AY143" s="150"/>
      <c r="AZ143" s="151"/>
      <c r="BA143" s="152">
        <f t="shared" si="136"/>
        <v>0.5568374181775595</v>
      </c>
      <c r="BE143">
        <f>IF(BF143&lt;=Presentation!$F$34,1,0)</f>
        <v>1</v>
      </c>
      <c r="BF143" s="146">
        <v>13</v>
      </c>
      <c r="BG143" s="150">
        <f t="shared" si="137"/>
        <v>4.6783625025859141</v>
      </c>
      <c r="BH143" s="150">
        <f t="shared" si="127"/>
        <v>23.232883888415582</v>
      </c>
      <c r="BI143" s="150"/>
      <c r="BJ143" s="151"/>
      <c r="BK143" s="152">
        <f t="shared" si="138"/>
        <v>0.5568374181775595</v>
      </c>
      <c r="BO143">
        <f>IF(BP143&lt;=Presentation!$F$34,1,0)</f>
        <v>1</v>
      </c>
      <c r="BP143" s="146">
        <v>13</v>
      </c>
      <c r="BQ143" s="150"/>
      <c r="BR143" s="150"/>
      <c r="BS143" s="150"/>
      <c r="BT143" s="151"/>
      <c r="BU143" s="152">
        <f t="shared" si="139"/>
        <v>0.5568374181775595</v>
      </c>
      <c r="BZ143" s="136"/>
    </row>
    <row r="144" spans="1:78" x14ac:dyDescent="0.3">
      <c r="A144" s="136"/>
      <c r="B144">
        <f>IF(C144&lt;=Presentation!$F$34,1,0)</f>
        <v>1</v>
      </c>
      <c r="C144" s="146">
        <v>14</v>
      </c>
      <c r="D144" s="150"/>
      <c r="E144" s="150"/>
      <c r="F144" s="150"/>
      <c r="G144" s="151"/>
      <c r="H144" s="152">
        <f t="shared" si="128"/>
        <v>0.53032135064529462</v>
      </c>
      <c r="Q144">
        <f>IF(R144&lt;=Presentation!$F$34,1,0)</f>
        <v>1</v>
      </c>
      <c r="R144" s="146">
        <v>14</v>
      </c>
      <c r="S144" s="150">
        <f t="shared" si="129"/>
        <v>0.21754949542771199</v>
      </c>
      <c r="T144" s="150"/>
      <c r="U144" s="150"/>
      <c r="V144" s="151"/>
      <c r="W144" s="152">
        <f t="shared" si="130"/>
        <v>0.53032135064529462</v>
      </c>
      <c r="AA144">
        <f>IF(AB144&lt;=Presentation!$F$34,1,0)</f>
        <v>1</v>
      </c>
      <c r="AB144" s="146">
        <v>14</v>
      </c>
      <c r="AC144" s="150">
        <f t="shared" si="131"/>
        <v>23.028030314390318</v>
      </c>
      <c r="AD144" s="150"/>
      <c r="AE144" s="150"/>
      <c r="AF144" s="151"/>
      <c r="AG144" s="152">
        <f t="shared" si="132"/>
        <v>0.53032135064529462</v>
      </c>
      <c r="AK144">
        <f>IF(AL144&lt;=Presentation!$F$34,1,0)</f>
        <v>1</v>
      </c>
      <c r="AL144" s="146">
        <v>14</v>
      </c>
      <c r="AM144" s="150">
        <f t="shared" si="133"/>
        <v>1.7583154939049139</v>
      </c>
      <c r="AN144" s="150">
        <f t="shared" si="125"/>
        <v>3.4107542225193306E-2</v>
      </c>
      <c r="AO144" s="150"/>
      <c r="AP144" s="151"/>
      <c r="AQ144" s="152">
        <f t="shared" si="134"/>
        <v>0.53032135064529462</v>
      </c>
      <c r="AU144">
        <f>IF(AV144&lt;=Presentation!$F$34,1,0)</f>
        <v>1</v>
      </c>
      <c r="AV144" s="146">
        <v>14</v>
      </c>
      <c r="AW144" s="150">
        <f t="shared" si="135"/>
        <v>0.18777047788669676</v>
      </c>
      <c r="AX144" s="150">
        <f t="shared" si="126"/>
        <v>34.682795493709556</v>
      </c>
      <c r="AY144" s="150"/>
      <c r="AZ144" s="151"/>
      <c r="BA144" s="152">
        <f t="shared" si="136"/>
        <v>0.53032135064529462</v>
      </c>
      <c r="BE144">
        <f>IF(BF144&lt;=Presentation!$F$34,1,0)</f>
        <v>1</v>
      </c>
      <c r="BF144" s="146">
        <v>14</v>
      </c>
      <c r="BG144" s="150">
        <f t="shared" si="137"/>
        <v>3.866454522395065</v>
      </c>
      <c r="BH144" s="150">
        <f t="shared" si="127"/>
        <v>20.934374097986428</v>
      </c>
      <c r="BI144" s="150"/>
      <c r="BJ144" s="151"/>
      <c r="BK144" s="152">
        <f t="shared" si="138"/>
        <v>0.53032135064529462</v>
      </c>
      <c r="BO144">
        <f>IF(BP144&lt;=Presentation!$F$34,1,0)</f>
        <v>1</v>
      </c>
      <c r="BP144" s="146">
        <v>14</v>
      </c>
      <c r="BQ144" s="150"/>
      <c r="BR144" s="150"/>
      <c r="BS144" s="150"/>
      <c r="BT144" s="151"/>
      <c r="BU144" s="152">
        <f t="shared" si="139"/>
        <v>0.53032135064529462</v>
      </c>
      <c r="BZ144" s="136"/>
    </row>
    <row r="145" spans="1:78" x14ac:dyDescent="0.3">
      <c r="A145" s="136"/>
      <c r="B145">
        <f>IF(C145&lt;=Presentation!$F$34,1,0)</f>
        <v>1</v>
      </c>
      <c r="C145" s="146">
        <v>15</v>
      </c>
      <c r="D145" s="150"/>
      <c r="E145" s="150"/>
      <c r="F145" s="150"/>
      <c r="G145" s="151"/>
      <c r="H145" s="152">
        <f t="shared" si="128"/>
        <v>0.50506795299551888</v>
      </c>
      <c r="Q145">
        <f>IF(R145&lt;=Presentation!$F$34,1,0)</f>
        <v>1</v>
      </c>
      <c r="R145" s="146">
        <v>15</v>
      </c>
      <c r="S145" s="150">
        <f t="shared" si="129"/>
        <v>0.20599177187863899</v>
      </c>
      <c r="T145" s="150"/>
      <c r="U145" s="150"/>
      <c r="V145" s="151"/>
      <c r="W145" s="152">
        <f t="shared" si="130"/>
        <v>0.50506795299551888</v>
      </c>
      <c r="AA145">
        <f>IF(AB145&lt;=Presentation!$F$34,1,0)</f>
        <v>1</v>
      </c>
      <c r="AB145" s="146">
        <v>15</v>
      </c>
      <c r="AC145" s="150">
        <f t="shared" si="131"/>
        <v>21.550995687046406</v>
      </c>
      <c r="AD145" s="150"/>
      <c r="AE145" s="150"/>
      <c r="AF145" s="151"/>
      <c r="AG145" s="152">
        <f t="shared" si="132"/>
        <v>0.50506795299551888</v>
      </c>
      <c r="AK145">
        <f>IF(AL145&lt;=Presentation!$F$34,1,0)</f>
        <v>1</v>
      </c>
      <c r="AL145" s="146">
        <v>15</v>
      </c>
      <c r="AM145" s="150">
        <f t="shared" si="133"/>
        <v>1.6701960511356551</v>
      </c>
      <c r="AN145" s="150">
        <f t="shared" si="125"/>
        <v>3.327116961551628E-2</v>
      </c>
      <c r="AO145" s="150"/>
      <c r="AP145" s="151"/>
      <c r="AQ145" s="152">
        <f t="shared" si="134"/>
        <v>0.50506795299551888</v>
      </c>
      <c r="AU145">
        <f>IF(AV145&lt;=Presentation!$F$34,1,0)</f>
        <v>1</v>
      </c>
      <c r="AV145" s="146">
        <v>15</v>
      </c>
      <c r="AW145" s="150">
        <f t="shared" si="135"/>
        <v>0.15767165361026486</v>
      </c>
      <c r="AX145" s="150">
        <f t="shared" si="126"/>
        <v>31.323135229431109</v>
      </c>
      <c r="AY145" s="150"/>
      <c r="AZ145" s="151"/>
      <c r="BA145" s="152">
        <f t="shared" si="136"/>
        <v>0.50506795299551888</v>
      </c>
      <c r="BE145">
        <f>IF(BF145&lt;=Presentation!$F$34,1,0)</f>
        <v>1</v>
      </c>
      <c r="BF145" s="146">
        <v>15</v>
      </c>
      <c r="BG145" s="150">
        <f t="shared" si="137"/>
        <v>3.1954493833015518</v>
      </c>
      <c r="BH145" s="150">
        <f t="shared" si="127"/>
        <v>18.767875943289472</v>
      </c>
      <c r="BI145" s="150"/>
      <c r="BJ145" s="151"/>
      <c r="BK145" s="152">
        <f t="shared" si="138"/>
        <v>0.50506795299551888</v>
      </c>
      <c r="BO145">
        <f>IF(BP145&lt;=Presentation!$F$34,1,0)</f>
        <v>1</v>
      </c>
      <c r="BP145" s="146">
        <v>15</v>
      </c>
      <c r="BQ145" s="150"/>
      <c r="BR145" s="150"/>
      <c r="BS145" s="150"/>
      <c r="BT145" s="151"/>
      <c r="BU145" s="152">
        <f t="shared" si="139"/>
        <v>0.50506795299551888</v>
      </c>
      <c r="BZ145" s="136"/>
    </row>
    <row r="146" spans="1:78" x14ac:dyDescent="0.3">
      <c r="A146" s="136"/>
      <c r="B146">
        <f>IF(C146&lt;=Presentation!$F$34,1,0)</f>
        <v>1</v>
      </c>
      <c r="C146" s="146">
        <v>16</v>
      </c>
      <c r="D146" s="150"/>
      <c r="E146" s="150"/>
      <c r="F146" s="150"/>
      <c r="G146" s="151"/>
      <c r="H146" s="152">
        <f t="shared" si="128"/>
        <v>0.48101709809097021</v>
      </c>
      <c r="Q146">
        <f>IF(R146&lt;=Presentation!$F$34,1,0)</f>
        <v>1</v>
      </c>
      <c r="R146" s="146">
        <v>16</v>
      </c>
      <c r="S146" s="150">
        <f t="shared" si="129"/>
        <v>0.19504807399473309</v>
      </c>
      <c r="T146" s="150"/>
      <c r="U146" s="150"/>
      <c r="V146" s="151"/>
      <c r="W146" s="152">
        <f t="shared" si="130"/>
        <v>0.48101709809097021</v>
      </c>
      <c r="AA146">
        <f>IF(AB146&lt;=Presentation!$F$34,1,0)</f>
        <v>1</v>
      </c>
      <c r="AB146" s="146">
        <v>16</v>
      </c>
      <c r="AC146" s="150">
        <f t="shared" si="131"/>
        <v>20.168699135889995</v>
      </c>
      <c r="AD146" s="150"/>
      <c r="AE146" s="150"/>
      <c r="AF146" s="151"/>
      <c r="AG146" s="152">
        <f t="shared" si="132"/>
        <v>0.48101709809097021</v>
      </c>
      <c r="AK146">
        <f>IF(AL146&lt;=Presentation!$F$34,1,0)</f>
        <v>1</v>
      </c>
      <c r="AL146" s="146">
        <v>16</v>
      </c>
      <c r="AM146" s="150">
        <f t="shared" si="133"/>
        <v>1.5864927874997083</v>
      </c>
      <c r="AN146" s="150">
        <f t="shared" si="125"/>
        <v>3.2342311201829919E-2</v>
      </c>
      <c r="AO146" s="150"/>
      <c r="AP146" s="151"/>
      <c r="AQ146" s="152">
        <f t="shared" si="134"/>
        <v>0.48101709809097021</v>
      </c>
      <c r="AU146">
        <f>IF(AV146&lt;=Presentation!$F$34,1,0)</f>
        <v>1</v>
      </c>
      <c r="AV146" s="146">
        <v>16</v>
      </c>
      <c r="AW146" s="150">
        <f t="shared" si="135"/>
        <v>0.13239754530100523</v>
      </c>
      <c r="AX146" s="150">
        <f t="shared" si="126"/>
        <v>28.163323181974526</v>
      </c>
      <c r="AY146" s="150"/>
      <c r="AZ146" s="151"/>
      <c r="BA146" s="152">
        <f t="shared" si="136"/>
        <v>0.48101709809097021</v>
      </c>
      <c r="BE146">
        <f>IF(BF146&lt;=Presentation!$F$34,1,0)</f>
        <v>1</v>
      </c>
      <c r="BF146" s="146">
        <v>16</v>
      </c>
      <c r="BG146" s="150">
        <f t="shared" si="137"/>
        <v>2.6408940547727289</v>
      </c>
      <c r="BH146" s="150">
        <f t="shared" si="127"/>
        <v>16.751569227834953</v>
      </c>
      <c r="BI146" s="150"/>
      <c r="BJ146" s="151"/>
      <c r="BK146" s="152">
        <f t="shared" si="138"/>
        <v>0.48101709809097021</v>
      </c>
      <c r="BO146">
        <f>IF(BP146&lt;=Presentation!$F$34,1,0)</f>
        <v>1</v>
      </c>
      <c r="BP146" s="146">
        <v>16</v>
      </c>
      <c r="BQ146" s="150"/>
      <c r="BR146" s="150"/>
      <c r="BS146" s="150"/>
      <c r="BT146" s="151"/>
      <c r="BU146" s="152">
        <f t="shared" si="139"/>
        <v>0.48101709809097021</v>
      </c>
      <c r="BZ146" s="136"/>
    </row>
    <row r="147" spans="1:78" x14ac:dyDescent="0.3">
      <c r="A147" s="136"/>
      <c r="B147">
        <f>IF(C147&lt;=Presentation!$F$34,1,0)</f>
        <v>1</v>
      </c>
      <c r="C147" s="146">
        <v>17</v>
      </c>
      <c r="D147" s="150"/>
      <c r="E147" s="150"/>
      <c r="F147" s="150"/>
      <c r="G147" s="151"/>
      <c r="H147" s="152">
        <f t="shared" si="128"/>
        <v>0.45811152199140021</v>
      </c>
      <c r="Q147">
        <f>IF(R147&lt;=Presentation!$F$34,1,0)</f>
        <v>1</v>
      </c>
      <c r="R147" s="146">
        <v>17</v>
      </c>
      <c r="S147" s="150">
        <f t="shared" si="129"/>
        <v>0.18468578051490592</v>
      </c>
      <c r="T147" s="150"/>
      <c r="U147" s="150"/>
      <c r="V147" s="151"/>
      <c r="W147" s="152">
        <f t="shared" si="130"/>
        <v>0.45811152199140021</v>
      </c>
      <c r="AA147">
        <f>IF(AB147&lt;=Presentation!$F$34,1,0)</f>
        <v>1</v>
      </c>
      <c r="AB147" s="146">
        <v>17</v>
      </c>
      <c r="AC147" s="150">
        <f t="shared" si="131"/>
        <v>18.875064091750989</v>
      </c>
      <c r="AD147" s="150"/>
      <c r="AE147" s="150"/>
      <c r="AF147" s="151"/>
      <c r="AG147" s="152">
        <f t="shared" si="132"/>
        <v>0.45811152199140021</v>
      </c>
      <c r="AK147">
        <f>IF(AL147&lt;=Presentation!$F$34,1,0)</f>
        <v>1</v>
      </c>
      <c r="AL147" s="146">
        <v>17</v>
      </c>
      <c r="AM147" s="150">
        <f t="shared" si="133"/>
        <v>1.5069843825083775</v>
      </c>
      <c r="AN147" s="150">
        <f t="shared" si="125"/>
        <v>3.1346294586595609E-2</v>
      </c>
      <c r="AO147" s="150"/>
      <c r="AP147" s="151"/>
      <c r="AQ147" s="152">
        <f t="shared" si="134"/>
        <v>0.45811152199140021</v>
      </c>
      <c r="AU147">
        <f>IF(AV147&lt;=Presentation!$F$34,1,0)</f>
        <v>1</v>
      </c>
      <c r="AV147" s="146">
        <v>17</v>
      </c>
      <c r="AW147" s="150">
        <f t="shared" si="135"/>
        <v>0.11117477111682007</v>
      </c>
      <c r="AX147" s="150">
        <f t="shared" si="126"/>
        <v>25.223469866648554</v>
      </c>
      <c r="AY147" s="150"/>
      <c r="AZ147" s="151"/>
      <c r="BA147" s="152">
        <f t="shared" si="136"/>
        <v>0.45811152199140021</v>
      </c>
      <c r="BE147">
        <f>IF(BF147&lt;=Presentation!$F$34,1,0)</f>
        <v>1</v>
      </c>
      <c r="BF147" s="146">
        <v>17</v>
      </c>
      <c r="BG147" s="150">
        <f t="shared" si="137"/>
        <v>2.1825792156119364</v>
      </c>
      <c r="BH147" s="150">
        <f t="shared" si="127"/>
        <v>14.894152495396055</v>
      </c>
      <c r="BI147" s="150"/>
      <c r="BJ147" s="151"/>
      <c r="BK147" s="152">
        <f t="shared" si="138"/>
        <v>0.45811152199140021</v>
      </c>
      <c r="BO147">
        <f>IF(BP147&lt;=Presentation!$F$34,1,0)</f>
        <v>1</v>
      </c>
      <c r="BP147" s="146">
        <v>17</v>
      </c>
      <c r="BQ147" s="150"/>
      <c r="BR147" s="150"/>
      <c r="BS147" s="150"/>
      <c r="BT147" s="151"/>
      <c r="BU147" s="152">
        <f t="shared" si="139"/>
        <v>0.45811152199140021</v>
      </c>
      <c r="BZ147" s="136"/>
    </row>
    <row r="148" spans="1:78" x14ac:dyDescent="0.3">
      <c r="A148" s="136"/>
      <c r="B148">
        <f>IF(C148&lt;=Presentation!$F$34,1,0)</f>
        <v>1</v>
      </c>
      <c r="C148" s="146">
        <v>18</v>
      </c>
      <c r="D148" s="150"/>
      <c r="E148" s="150"/>
      <c r="F148" s="150"/>
      <c r="G148" s="151"/>
      <c r="H148" s="152">
        <f t="shared" si="128"/>
        <v>0.43629668761085727</v>
      </c>
      <c r="Q148">
        <f>IF(R148&lt;=Presentation!$F$34,1,0)</f>
        <v>1</v>
      </c>
      <c r="R148" s="146">
        <v>18</v>
      </c>
      <c r="S148" s="150">
        <f t="shared" si="129"/>
        <v>0.17487400324353389</v>
      </c>
      <c r="T148" s="150"/>
      <c r="U148" s="150"/>
      <c r="V148" s="151"/>
      <c r="W148" s="152">
        <f t="shared" si="130"/>
        <v>0.43629668761085727</v>
      </c>
      <c r="AA148">
        <f>IF(AB148&lt;=Presentation!$F$34,1,0)</f>
        <v>1</v>
      </c>
      <c r="AB148" s="146">
        <v>18</v>
      </c>
      <c r="AC148" s="150">
        <f t="shared" si="131"/>
        <v>17.66440374102919</v>
      </c>
      <c r="AD148" s="150"/>
      <c r="AE148" s="150"/>
      <c r="AF148" s="151"/>
      <c r="AG148" s="152">
        <f t="shared" si="132"/>
        <v>0.43629668761085727</v>
      </c>
      <c r="AK148">
        <f>IF(AL148&lt;=Presentation!$F$34,1,0)</f>
        <v>1</v>
      </c>
      <c r="AL148" s="146">
        <v>18</v>
      </c>
      <c r="AM148" s="150">
        <f t="shared" si="133"/>
        <v>1.4314606073332514</v>
      </c>
      <c r="AN148" s="150">
        <f t="shared" si="125"/>
        <v>3.0303992199103506E-2</v>
      </c>
      <c r="AO148" s="150"/>
      <c r="AP148" s="151"/>
      <c r="AQ148" s="152">
        <f t="shared" si="134"/>
        <v>0.43629668761085727</v>
      </c>
      <c r="AU148">
        <f>IF(AV148&lt;=Presentation!$F$34,1,0)</f>
        <v>1</v>
      </c>
      <c r="AV148" s="146">
        <v>18</v>
      </c>
      <c r="AW148" s="150">
        <f t="shared" si="135"/>
        <v>9.3353919098555144E-2</v>
      </c>
      <c r="AX148" s="150">
        <f t="shared" si="126"/>
        <v>22.512433801573522</v>
      </c>
      <c r="AY148" s="150"/>
      <c r="AZ148" s="151"/>
      <c r="BA148" s="152">
        <f t="shared" si="136"/>
        <v>0.43629668761085727</v>
      </c>
      <c r="BE148">
        <f>IF(BF148&lt;=Presentation!$F$34,1,0)</f>
        <v>1</v>
      </c>
      <c r="BF148" s="146">
        <v>18</v>
      </c>
      <c r="BG148" s="150">
        <f t="shared" si="137"/>
        <v>1.8038027780069983</v>
      </c>
      <c r="BH148" s="150">
        <f t="shared" si="127"/>
        <v>13.197462454413481</v>
      </c>
      <c r="BI148" s="150"/>
      <c r="BJ148" s="151"/>
      <c r="BK148" s="152">
        <f t="shared" si="138"/>
        <v>0.43629668761085727</v>
      </c>
      <c r="BO148">
        <f>IF(BP148&lt;=Presentation!$F$34,1,0)</f>
        <v>1</v>
      </c>
      <c r="BP148" s="146">
        <v>18</v>
      </c>
      <c r="BQ148" s="150"/>
      <c r="BR148" s="150"/>
      <c r="BS148" s="150"/>
      <c r="BT148" s="151"/>
      <c r="BU148" s="152">
        <f t="shared" si="139"/>
        <v>0.43629668761085727</v>
      </c>
      <c r="BZ148" s="136"/>
    </row>
    <row r="149" spans="1:78" x14ac:dyDescent="0.3">
      <c r="A149" s="136"/>
      <c r="B149">
        <f>IF(C149&lt;=Presentation!$F$34,1,0)</f>
        <v>1</v>
      </c>
      <c r="C149" s="146">
        <v>19</v>
      </c>
      <c r="D149" s="150"/>
      <c r="E149" s="150"/>
      <c r="F149" s="150"/>
      <c r="G149" s="151"/>
      <c r="H149" s="152">
        <f t="shared" si="128"/>
        <v>0.41552065486748313</v>
      </c>
      <c r="Q149">
        <f>IF(R149&lt;=Presentation!$F$34,1,0)</f>
        <v>1</v>
      </c>
      <c r="R149" s="146">
        <v>19</v>
      </c>
      <c r="S149" s="150">
        <f t="shared" si="129"/>
        <v>0.16558349497811684</v>
      </c>
      <c r="T149" s="150"/>
      <c r="U149" s="150"/>
      <c r="V149" s="151"/>
      <c r="W149" s="152">
        <f t="shared" si="130"/>
        <v>0.41552065486748313</v>
      </c>
      <c r="AA149">
        <f>IF(AB149&lt;=Presentation!$F$34,1,0)</f>
        <v>1</v>
      </c>
      <c r="AB149" s="146">
        <v>19</v>
      </c>
      <c r="AC149" s="150">
        <f t="shared" si="131"/>
        <v>16.531396026488395</v>
      </c>
      <c r="AD149" s="150"/>
      <c r="AE149" s="150"/>
      <c r="AF149" s="151"/>
      <c r="AG149" s="152">
        <f t="shared" si="132"/>
        <v>0.41552065486748313</v>
      </c>
      <c r="AK149">
        <f>IF(AL149&lt;=Presentation!$F$34,1,0)</f>
        <v>1</v>
      </c>
      <c r="AL149" s="146">
        <v>19</v>
      </c>
      <c r="AM149" s="150">
        <f t="shared" si="133"/>
        <v>1.3597217689384318</v>
      </c>
      <c r="AN149" s="150">
        <f t="shared" si="125"/>
        <v>2.9232535069190865E-2</v>
      </c>
      <c r="AO149" s="150"/>
      <c r="AP149" s="151"/>
      <c r="AQ149" s="152">
        <f t="shared" si="134"/>
        <v>0.41552065486748313</v>
      </c>
      <c r="AU149">
        <f>IF(AV149&lt;=Presentation!$F$34,1,0)</f>
        <v>1</v>
      </c>
      <c r="AV149" s="146">
        <v>19</v>
      </c>
      <c r="AW149" s="150">
        <f t="shared" si="135"/>
        <v>7.8389675314933571E-2</v>
      </c>
      <c r="AX149" s="150">
        <f t="shared" si="126"/>
        <v>20.030861213397984</v>
      </c>
      <c r="AY149" s="150"/>
      <c r="AZ149" s="151"/>
      <c r="BA149" s="152">
        <f t="shared" si="136"/>
        <v>0.41552065486748313</v>
      </c>
      <c r="BE149">
        <f>IF(BF149&lt;=Presentation!$F$34,1,0)</f>
        <v>1</v>
      </c>
      <c r="BF149" s="146">
        <v>19</v>
      </c>
      <c r="BG149" s="150">
        <f t="shared" si="137"/>
        <v>1.4907612235432721</v>
      </c>
      <c r="BH149" s="150">
        <f t="shared" si="127"/>
        <v>11.658488855834253</v>
      </c>
      <c r="BI149" s="150"/>
      <c r="BJ149" s="151"/>
      <c r="BK149" s="152">
        <f t="shared" si="138"/>
        <v>0.41552065486748313</v>
      </c>
      <c r="BO149">
        <f>IF(BP149&lt;=Presentation!$F$34,1,0)</f>
        <v>1</v>
      </c>
      <c r="BP149" s="146">
        <v>19</v>
      </c>
      <c r="BQ149" s="150"/>
      <c r="BR149" s="150"/>
      <c r="BS149" s="150"/>
      <c r="BT149" s="151"/>
      <c r="BU149" s="152">
        <f t="shared" si="139"/>
        <v>0.41552065486748313</v>
      </c>
      <c r="BZ149" s="136"/>
    </row>
    <row r="150" spans="1:78" x14ac:dyDescent="0.3">
      <c r="A150" s="136"/>
      <c r="B150">
        <f>IF(C150&lt;=Presentation!$F$34,1,0)</f>
        <v>1</v>
      </c>
      <c r="C150" s="146">
        <v>20</v>
      </c>
      <c r="D150" s="150"/>
      <c r="E150" s="150"/>
      <c r="F150" s="150"/>
      <c r="G150" s="151"/>
      <c r="H150" s="152">
        <f t="shared" si="128"/>
        <v>0.39573395701665059</v>
      </c>
      <c r="Q150">
        <f>IF(R150&lt;=Presentation!$F$34,1,0)</f>
        <v>1</v>
      </c>
      <c r="R150" s="146">
        <v>20</v>
      </c>
      <c r="S150" s="150">
        <f t="shared" si="129"/>
        <v>0.15678656232845081</v>
      </c>
      <c r="T150" s="150"/>
      <c r="U150" s="150"/>
      <c r="V150" s="151"/>
      <c r="W150" s="152">
        <f t="shared" si="130"/>
        <v>0.39573395701665059</v>
      </c>
      <c r="AA150">
        <f>IF(AB150&lt;=Presentation!$F$34,1,0)</f>
        <v>1</v>
      </c>
      <c r="AB150" s="146">
        <v>20</v>
      </c>
      <c r="AC150" s="150">
        <f t="shared" si="131"/>
        <v>15.471060251517649</v>
      </c>
      <c r="AD150" s="150"/>
      <c r="AE150" s="150"/>
      <c r="AF150" s="151"/>
      <c r="AG150" s="152">
        <f t="shared" si="132"/>
        <v>0.39573395701665059</v>
      </c>
      <c r="AK150">
        <f>IF(AL150&lt;=Presentation!$F$34,1,0)</f>
        <v>1</v>
      </c>
      <c r="AL150" s="146">
        <v>20</v>
      </c>
      <c r="AM150" s="150">
        <f t="shared" si="133"/>
        <v>1.2915781820705299</v>
      </c>
      <c r="AN150" s="150">
        <f t="shared" si="125"/>
        <v>2.8145915311736398E-2</v>
      </c>
      <c r="AO150" s="150"/>
      <c r="AP150" s="151"/>
      <c r="AQ150" s="152">
        <f t="shared" si="134"/>
        <v>0.39573395701665059</v>
      </c>
      <c r="AU150">
        <f>IF(AV150&lt;=Presentation!$F$34,1,0)</f>
        <v>1</v>
      </c>
      <c r="AV150" s="146">
        <v>20</v>
      </c>
      <c r="AW150" s="150">
        <f t="shared" si="135"/>
        <v>6.5824137382956546E-2</v>
      </c>
      <c r="AX150" s="150">
        <f t="shared" si="126"/>
        <v>17.773548185861038</v>
      </c>
      <c r="AY150" s="150"/>
      <c r="AZ150" s="151"/>
      <c r="BA150" s="152">
        <f t="shared" si="136"/>
        <v>0.39573395701665059</v>
      </c>
      <c r="BE150">
        <f>IF(BF150&lt;=Presentation!$F$34,1,0)</f>
        <v>1</v>
      </c>
      <c r="BF150" s="146">
        <v>20</v>
      </c>
      <c r="BG150" s="150">
        <f t="shared" si="137"/>
        <v>1.2320465700112206</v>
      </c>
      <c r="BH150" s="150">
        <f t="shared" si="127"/>
        <v>10.270912828298476</v>
      </c>
      <c r="BI150" s="150"/>
      <c r="BJ150" s="151"/>
      <c r="BK150" s="152">
        <f t="shared" si="138"/>
        <v>0.39573395701665059</v>
      </c>
      <c r="BO150">
        <f>IF(BP150&lt;=Presentation!$F$34,1,0)</f>
        <v>1</v>
      </c>
      <c r="BP150" s="146">
        <v>20</v>
      </c>
      <c r="BQ150" s="150"/>
      <c r="BR150" s="150"/>
      <c r="BS150" s="150"/>
      <c r="BT150" s="151"/>
      <c r="BU150" s="152">
        <f t="shared" si="139"/>
        <v>0.39573395701665059</v>
      </c>
      <c r="BZ150" s="136"/>
    </row>
    <row r="151" spans="1:78" x14ac:dyDescent="0.3">
      <c r="A151" s="136"/>
      <c r="B151">
        <f>IF(C151&lt;=Presentation!$F$34,1,0)</f>
        <v>1</v>
      </c>
      <c r="C151" s="146">
        <v>21</v>
      </c>
      <c r="D151" s="150"/>
      <c r="E151" s="150"/>
      <c r="F151" s="150"/>
      <c r="G151" s="151"/>
      <c r="H151" s="152">
        <f t="shared" si="128"/>
        <v>0.37688948287300061</v>
      </c>
      <c r="Q151">
        <f>IF(R151&lt;=Presentation!$F$34,1,0)</f>
        <v>1</v>
      </c>
      <c r="R151" s="146">
        <v>21</v>
      </c>
      <c r="S151" s="150">
        <f t="shared" si="129"/>
        <v>0.14845698316744618</v>
      </c>
      <c r="T151" s="150"/>
      <c r="U151" s="150"/>
      <c r="V151" s="151"/>
      <c r="W151" s="152">
        <f t="shared" si="130"/>
        <v>0.37688948287300061</v>
      </c>
      <c r="AA151">
        <f>IF(AB151&lt;=Presentation!$F$34,1,0)</f>
        <v>1</v>
      </c>
      <c r="AB151" s="146">
        <v>21</v>
      </c>
      <c r="AC151" s="150">
        <f t="shared" si="131"/>
        <v>14.478735185012255</v>
      </c>
      <c r="AD151" s="150"/>
      <c r="AE151" s="150"/>
      <c r="AF151" s="151"/>
      <c r="AG151" s="152">
        <f t="shared" si="132"/>
        <v>0.37688948287300061</v>
      </c>
      <c r="AK151">
        <f>IF(AL151&lt;=Presentation!$F$34,1,0)</f>
        <v>1</v>
      </c>
      <c r="AL151" s="146">
        <v>21</v>
      </c>
      <c r="AM151" s="150">
        <f t="shared" si="133"/>
        <v>1.2268496677103291</v>
      </c>
      <c r="AN151" s="150">
        <f t="shared" si="125"/>
        <v>2.7055494526110092E-2</v>
      </c>
      <c r="AO151" s="150"/>
      <c r="AP151" s="151"/>
      <c r="AQ151" s="152">
        <f t="shared" si="134"/>
        <v>0.37688948287300061</v>
      </c>
      <c r="AU151">
        <f>IF(AV151&lt;=Presentation!$F$34,1,0)</f>
        <v>1</v>
      </c>
      <c r="AV151" s="146">
        <v>21</v>
      </c>
      <c r="AW151" s="150">
        <f t="shared" si="135"/>
        <v>5.5272802761372294E-2</v>
      </c>
      <c r="AX151" s="150">
        <f t="shared" si="126"/>
        <v>15.73126316039046</v>
      </c>
      <c r="AY151" s="150"/>
      <c r="AZ151" s="151"/>
      <c r="BA151" s="152">
        <f t="shared" si="136"/>
        <v>0.37688948287300061</v>
      </c>
      <c r="BE151">
        <f>IF(BF151&lt;=Presentation!$F$34,1,0)</f>
        <v>1</v>
      </c>
      <c r="BF151" s="146">
        <v>21</v>
      </c>
      <c r="BG151" s="150">
        <f t="shared" si="137"/>
        <v>1.0182306372770722</v>
      </c>
      <c r="BH151" s="150">
        <f t="shared" si="127"/>
        <v>9.0262709054972809</v>
      </c>
      <c r="BI151" s="150"/>
      <c r="BJ151" s="151"/>
      <c r="BK151" s="152">
        <f t="shared" si="138"/>
        <v>0.37688948287300061</v>
      </c>
      <c r="BO151">
        <f>IF(BP151&lt;=Presentation!$F$34,1,0)</f>
        <v>1</v>
      </c>
      <c r="BP151" s="146">
        <v>21</v>
      </c>
      <c r="BQ151" s="150"/>
      <c r="BR151" s="150"/>
      <c r="BS151" s="150"/>
      <c r="BT151" s="151"/>
      <c r="BU151" s="152">
        <f t="shared" si="139"/>
        <v>0.37688948287300061</v>
      </c>
      <c r="BZ151" s="136"/>
    </row>
    <row r="152" spans="1:78" x14ac:dyDescent="0.3">
      <c r="A152" s="136"/>
      <c r="B152">
        <f>IF(C152&lt;=Presentation!$F$34,1,0)</f>
        <v>1</v>
      </c>
      <c r="C152" s="146">
        <v>22</v>
      </c>
      <c r="D152" s="150"/>
      <c r="E152" s="150"/>
      <c r="F152" s="150"/>
      <c r="G152" s="151"/>
      <c r="H152" s="152">
        <f t="shared" si="128"/>
        <v>0.35894236464095297</v>
      </c>
      <c r="Q152">
        <f>IF(R152&lt;=Presentation!$F$34,1,0)</f>
        <v>1</v>
      </c>
      <c r="R152" s="146">
        <v>22</v>
      </c>
      <c r="S152" s="150">
        <f t="shared" si="129"/>
        <v>0.14056992846752445</v>
      </c>
      <c r="T152" s="150"/>
      <c r="U152" s="150"/>
      <c r="V152" s="151"/>
      <c r="W152" s="152">
        <f t="shared" si="130"/>
        <v>0.35894236464095297</v>
      </c>
      <c r="AA152">
        <f>IF(AB152&lt;=Presentation!$F$34,1,0)</f>
        <v>1</v>
      </c>
      <c r="AB152" s="146">
        <v>22</v>
      </c>
      <c r="AC152" s="150">
        <f t="shared" si="131"/>
        <v>13.550058570623667</v>
      </c>
      <c r="AD152" s="150"/>
      <c r="AE152" s="150"/>
      <c r="AF152" s="151"/>
      <c r="AG152" s="152">
        <f t="shared" si="132"/>
        <v>0.35894236464095297</v>
      </c>
      <c r="AK152">
        <f>IF(AL152&lt;=Presentation!$F$34,1,0)</f>
        <v>1</v>
      </c>
      <c r="AL152" s="146">
        <v>22</v>
      </c>
      <c r="AM152" s="150">
        <f t="shared" si="133"/>
        <v>1.1653650766599517</v>
      </c>
      <c r="AN152" s="150">
        <f t="shared" si="125"/>
        <v>2.5970432662474455E-2</v>
      </c>
      <c r="AO152" s="150"/>
      <c r="AP152" s="151"/>
      <c r="AQ152" s="152">
        <f t="shared" si="134"/>
        <v>0.35894236464095297</v>
      </c>
      <c r="AU152">
        <f>IF(AV152&lt;=Presentation!$F$34,1,0)</f>
        <v>1</v>
      </c>
      <c r="AV152" s="146">
        <v>22</v>
      </c>
      <c r="AW152" s="150">
        <f t="shared" si="135"/>
        <v>4.6412803062248716E-2</v>
      </c>
      <c r="AX152" s="150">
        <f t="shared" si="126"/>
        <v>13.892141080653634</v>
      </c>
      <c r="AY152" s="150"/>
      <c r="AZ152" s="151"/>
      <c r="BA152" s="152">
        <f t="shared" si="136"/>
        <v>0.35894236464095297</v>
      </c>
      <c r="BE152">
        <f>IF(BF152&lt;=Presentation!$F$34,1,0)</f>
        <v>1</v>
      </c>
      <c r="BF152" s="146">
        <v>22</v>
      </c>
      <c r="BG152" s="150">
        <f t="shared" si="137"/>
        <v>0.84152146187155097</v>
      </c>
      <c r="BH152" s="150">
        <f t="shared" si="127"/>
        <v>7.9148262308120065</v>
      </c>
      <c r="BI152" s="150"/>
      <c r="BJ152" s="151"/>
      <c r="BK152" s="152">
        <f t="shared" si="138"/>
        <v>0.35894236464095297</v>
      </c>
      <c r="BO152">
        <f>IF(BP152&lt;=Presentation!$F$34,1,0)</f>
        <v>1</v>
      </c>
      <c r="BP152" s="146">
        <v>22</v>
      </c>
      <c r="BQ152" s="150"/>
      <c r="BR152" s="150"/>
      <c r="BS152" s="150"/>
      <c r="BT152" s="151"/>
      <c r="BU152" s="152">
        <f t="shared" si="139"/>
        <v>0.35894236464095297</v>
      </c>
      <c r="BZ152" s="136"/>
    </row>
    <row r="153" spans="1:78" x14ac:dyDescent="0.3">
      <c r="A153" s="136"/>
      <c r="B153">
        <f>IF(C153&lt;=Presentation!$F$34,1,0)</f>
        <v>1</v>
      </c>
      <c r="C153" s="146">
        <v>23</v>
      </c>
      <c r="D153" s="150"/>
      <c r="E153" s="150"/>
      <c r="F153" s="150"/>
      <c r="G153" s="151"/>
      <c r="H153" s="152">
        <f t="shared" si="128"/>
        <v>0.3418498710866219</v>
      </c>
      <c r="Q153">
        <f>IF(R153&lt;=Presentation!$F$34,1,0)</f>
        <v>1</v>
      </c>
      <c r="R153" s="146">
        <v>23</v>
      </c>
      <c r="S153" s="150">
        <f t="shared" si="129"/>
        <v>0.13310188828960329</v>
      </c>
      <c r="T153" s="150"/>
      <c r="U153" s="150"/>
      <c r="V153" s="151"/>
      <c r="W153" s="152">
        <f t="shared" si="130"/>
        <v>0.3418498710866219</v>
      </c>
      <c r="AA153">
        <f>IF(AB153&lt;=Presentation!$F$34,1,0)</f>
        <v>1</v>
      </c>
      <c r="AB153" s="146">
        <v>23</v>
      </c>
      <c r="AC153" s="150">
        <f t="shared" si="131"/>
        <v>12.680947950300983</v>
      </c>
      <c r="AD153" s="150"/>
      <c r="AE153" s="150"/>
      <c r="AF153" s="151"/>
      <c r="AG153" s="152">
        <f t="shared" si="132"/>
        <v>0.3418498710866219</v>
      </c>
      <c r="AK153">
        <f>IF(AL153&lt;=Presentation!$F$34,1,0)</f>
        <v>1</v>
      </c>
      <c r="AL153" s="146">
        <v>23</v>
      </c>
      <c r="AM153" s="150">
        <f t="shared" si="133"/>
        <v>1.1069618370058605</v>
      </c>
      <c r="AN153" s="150">
        <f t="shared" si="125"/>
        <v>2.4898049663074986E-2</v>
      </c>
      <c r="AO153" s="150"/>
      <c r="AP153" s="151"/>
      <c r="AQ153" s="152">
        <f t="shared" si="134"/>
        <v>0.3418498710866219</v>
      </c>
      <c r="AU153">
        <f>IF(AV153&lt;=Presentation!$F$34,1,0)</f>
        <v>1</v>
      </c>
      <c r="AV153" s="146">
        <v>23</v>
      </c>
      <c r="AW153" s="150">
        <f t="shared" si="135"/>
        <v>3.8973024353317599E-2</v>
      </c>
      <c r="AX153" s="150">
        <f t="shared" si="126"/>
        <v>12.242738816863739</v>
      </c>
      <c r="AY153" s="150"/>
      <c r="AZ153" s="151"/>
      <c r="BA153" s="152">
        <f t="shared" si="136"/>
        <v>0.3418498710866219</v>
      </c>
      <c r="BE153">
        <f>IF(BF153&lt;=Presentation!$F$34,1,0)</f>
        <v>1</v>
      </c>
      <c r="BF153" s="146">
        <v>23</v>
      </c>
      <c r="BG153" s="150">
        <f t="shared" si="137"/>
        <v>0.69547933922335348</v>
      </c>
      <c r="BH153" s="150">
        <f t="shared" si="127"/>
        <v>6.9262117386609949</v>
      </c>
      <c r="BI153" s="150"/>
      <c r="BJ153" s="151"/>
      <c r="BK153" s="152">
        <f t="shared" si="138"/>
        <v>0.3418498710866219</v>
      </c>
      <c r="BO153">
        <f>IF(BP153&lt;=Presentation!$F$34,1,0)</f>
        <v>1</v>
      </c>
      <c r="BP153" s="146">
        <v>23</v>
      </c>
      <c r="BQ153" s="150"/>
      <c r="BR153" s="150"/>
      <c r="BS153" s="150"/>
      <c r="BT153" s="151"/>
      <c r="BU153" s="152">
        <f t="shared" si="139"/>
        <v>0.3418498710866219</v>
      </c>
      <c r="BZ153" s="136"/>
    </row>
    <row r="154" spans="1:78" x14ac:dyDescent="0.3">
      <c r="A154" s="136"/>
      <c r="B154">
        <f>IF(C154&lt;=Presentation!$F$34,1,0)</f>
        <v>1</v>
      </c>
      <c r="C154" s="146">
        <v>24</v>
      </c>
      <c r="D154" s="150"/>
      <c r="E154" s="150"/>
      <c r="F154" s="150"/>
      <c r="G154" s="151"/>
      <c r="H154" s="152">
        <f t="shared" si="128"/>
        <v>0.32557130579678267</v>
      </c>
      <c r="Q154">
        <f>IF(R154&lt;=Presentation!$F$34,1,0)</f>
        <v>1</v>
      </c>
      <c r="R154" s="146">
        <v>24</v>
      </c>
      <c r="S154" s="150">
        <f t="shared" si="129"/>
        <v>0.12603060170405467</v>
      </c>
      <c r="T154" s="150"/>
      <c r="U154" s="150"/>
      <c r="V154" s="151"/>
      <c r="W154" s="152">
        <f t="shared" si="130"/>
        <v>0.32557130579678267</v>
      </c>
      <c r="AA154">
        <f>IF(AB154&lt;=Presentation!$F$34,1,0)</f>
        <v>1</v>
      </c>
      <c r="AB154" s="146">
        <v>24</v>
      </c>
      <c r="AC154" s="150">
        <f t="shared" si="131"/>
        <v>11.867582717824464</v>
      </c>
      <c r="AD154" s="150"/>
      <c r="AE154" s="150"/>
      <c r="AF154" s="151"/>
      <c r="AG154" s="152">
        <f t="shared" si="132"/>
        <v>0.32557130579678267</v>
      </c>
      <c r="AK154">
        <f>IF(AL154&lt;=Presentation!$F$34,1,0)</f>
        <v>1</v>
      </c>
      <c r="AL154" s="146">
        <v>24</v>
      </c>
      <c r="AM154" s="150">
        <f t="shared" si="133"/>
        <v>1.0514855242611194</v>
      </c>
      <c r="AN154" s="150">
        <f t="shared" si="125"/>
        <v>2.3844130288517902E-2</v>
      </c>
      <c r="AO154" s="150"/>
      <c r="AP154" s="151"/>
      <c r="AQ154" s="152">
        <f t="shared" si="134"/>
        <v>0.32557130579678267</v>
      </c>
      <c r="AU154">
        <f>IF(AV154&lt;=Presentation!$F$34,1,0)</f>
        <v>1</v>
      </c>
      <c r="AV154" s="146">
        <v>24</v>
      </c>
      <c r="AW154" s="150">
        <f t="shared" si="135"/>
        <v>3.2725811134637718E-2</v>
      </c>
      <c r="AX154" s="150">
        <f t="shared" si="126"/>
        <v>10.768823908504233</v>
      </c>
      <c r="AY154" s="150"/>
      <c r="AZ154" s="151"/>
      <c r="BA154" s="152">
        <f t="shared" si="136"/>
        <v>0.32557130579678267</v>
      </c>
      <c r="BE154">
        <f>IF(BF154&lt;=Presentation!$F$34,1,0)</f>
        <v>1</v>
      </c>
      <c r="BF154" s="146">
        <v>24</v>
      </c>
      <c r="BG154" s="150">
        <f t="shared" si="137"/>
        <v>0.57478214543788098</v>
      </c>
      <c r="BH154" s="150">
        <f t="shared" si="127"/>
        <v>6.0498967137462438</v>
      </c>
      <c r="BI154" s="150"/>
      <c r="BJ154" s="151"/>
      <c r="BK154" s="152">
        <f t="shared" si="138"/>
        <v>0.32557130579678267</v>
      </c>
      <c r="BO154">
        <f>IF(BP154&lt;=Presentation!$F$34,1,0)</f>
        <v>1</v>
      </c>
      <c r="BP154" s="146">
        <v>24</v>
      </c>
      <c r="BQ154" s="150"/>
      <c r="BR154" s="150"/>
      <c r="BS154" s="150"/>
      <c r="BT154" s="151"/>
      <c r="BU154" s="152">
        <f t="shared" si="139"/>
        <v>0.32557130579678267</v>
      </c>
      <c r="BZ154" s="136"/>
    </row>
    <row r="155" spans="1:78" x14ac:dyDescent="0.3">
      <c r="A155" s="136"/>
      <c r="B155">
        <f>IF(C155&lt;=Presentation!$F$34,1,0)</f>
        <v>1</v>
      </c>
      <c r="C155" s="146">
        <v>25</v>
      </c>
      <c r="D155" s="150"/>
      <c r="E155" s="150"/>
      <c r="F155" s="150"/>
      <c r="G155" s="151"/>
      <c r="H155" s="152">
        <f t="shared" si="128"/>
        <v>0.31006791028265024</v>
      </c>
      <c r="Q155">
        <f>IF(R155&lt;=Presentation!$F$34,1,0)</f>
        <v>1</v>
      </c>
      <c r="R155" s="146">
        <v>25</v>
      </c>
      <c r="S155" s="150">
        <f t="shared" si="129"/>
        <v>0.11933499043474327</v>
      </c>
      <c r="T155" s="150"/>
      <c r="U155" s="150"/>
      <c r="V155" s="151"/>
      <c r="W155" s="152">
        <f t="shared" si="130"/>
        <v>0.31006791028265024</v>
      </c>
      <c r="AA155">
        <f>IF(AB155&lt;=Presentation!$F$34,1,0)</f>
        <v>1</v>
      </c>
      <c r="AB155" s="146">
        <v>25</v>
      </c>
      <c r="AC155" s="150">
        <f t="shared" si="131"/>
        <v>11.106387323438476</v>
      </c>
      <c r="AD155" s="150"/>
      <c r="AE155" s="150"/>
      <c r="AF155" s="151"/>
      <c r="AG155" s="152">
        <f t="shared" si="132"/>
        <v>0.31006791028265024</v>
      </c>
      <c r="AK155">
        <f>IF(AL155&lt;=Presentation!$F$34,1,0)</f>
        <v>1</v>
      </c>
      <c r="AL155" s="146">
        <v>25</v>
      </c>
      <c r="AM155" s="150">
        <f t="shared" si="133"/>
        <v>0.9987894530503385</v>
      </c>
      <c r="AN155" s="150">
        <f t="shared" si="125"/>
        <v>2.2813180933292047E-2</v>
      </c>
      <c r="AO155" s="150"/>
      <c r="AP155" s="151"/>
      <c r="AQ155" s="152">
        <f t="shared" si="134"/>
        <v>0.31006791028265024</v>
      </c>
      <c r="AU155">
        <f>IF(AV155&lt;=Presentation!$F$34,1,0)</f>
        <v>1</v>
      </c>
      <c r="AV155" s="146">
        <v>25</v>
      </c>
      <c r="AW155" s="150">
        <f t="shared" si="135"/>
        <v>2.7480000133189839E-2</v>
      </c>
      <c r="AX155" s="150">
        <f t="shared" si="126"/>
        <v>9.4559543848687326</v>
      </c>
      <c r="AY155" s="150"/>
      <c r="AZ155" s="151"/>
      <c r="BA155" s="152">
        <f t="shared" si="136"/>
        <v>0.31006791028265024</v>
      </c>
      <c r="BE155">
        <f>IF(BF155&lt;=Presentation!$F$34,1,0)</f>
        <v>1</v>
      </c>
      <c r="BF155" s="146">
        <v>25</v>
      </c>
      <c r="BG155" s="150">
        <f t="shared" si="137"/>
        <v>0.47503138638612202</v>
      </c>
      <c r="BH155" s="150">
        <f t="shared" si="127"/>
        <v>5.275517387775829</v>
      </c>
      <c r="BI155" s="150"/>
      <c r="BJ155" s="151"/>
      <c r="BK155" s="152">
        <f t="shared" si="138"/>
        <v>0.31006791028265024</v>
      </c>
      <c r="BO155">
        <f>IF(BP155&lt;=Presentation!$F$34,1,0)</f>
        <v>1</v>
      </c>
      <c r="BP155" s="146">
        <v>25</v>
      </c>
      <c r="BQ155" s="150"/>
      <c r="BR155" s="150"/>
      <c r="BS155" s="150"/>
      <c r="BT155" s="151"/>
      <c r="BU155" s="152">
        <f t="shared" si="139"/>
        <v>0.31006791028265024</v>
      </c>
      <c r="BZ155" s="136"/>
    </row>
    <row r="156" spans="1:78" x14ac:dyDescent="0.3">
      <c r="A156" s="136"/>
      <c r="B156">
        <f>IF(C156&lt;=Presentation!$F$34,1,0)</f>
        <v>1</v>
      </c>
      <c r="C156" s="146">
        <v>26</v>
      </c>
      <c r="D156" s="150"/>
      <c r="E156" s="150"/>
      <c r="F156" s="150"/>
      <c r="G156" s="151"/>
      <c r="H156" s="152">
        <f t="shared" si="128"/>
        <v>0.29530277169776209</v>
      </c>
      <c r="Q156">
        <f>IF(R156&lt;=Presentation!$F$34,1,0)</f>
        <v>1</v>
      </c>
      <c r="R156" s="146">
        <v>26</v>
      </c>
      <c r="S156" s="150">
        <f t="shared" si="129"/>
        <v>0.11299509602834902</v>
      </c>
      <c r="T156" s="150"/>
      <c r="U156" s="150"/>
      <c r="V156" s="151"/>
      <c r="W156" s="152">
        <f t="shared" si="130"/>
        <v>0.29530277169776209</v>
      </c>
      <c r="AA156">
        <f>IF(AB156&lt;=Presentation!$F$34,1,0)</f>
        <v>1</v>
      </c>
      <c r="AB156" s="146">
        <v>26</v>
      </c>
      <c r="AC156" s="150">
        <f t="shared" si="131"/>
        <v>10.394015555751471</v>
      </c>
      <c r="AD156" s="150"/>
      <c r="AE156" s="150"/>
      <c r="AF156" s="151"/>
      <c r="AG156" s="152">
        <f t="shared" si="132"/>
        <v>0.29530277169776209</v>
      </c>
      <c r="AK156">
        <f>IF(AL156&lt;=Presentation!$F$34,1,0)</f>
        <v>1</v>
      </c>
      <c r="AL156" s="146">
        <v>26</v>
      </c>
      <c r="AM156" s="150">
        <f t="shared" si="133"/>
        <v>0.9487342892576629</v>
      </c>
      <c r="AN156" s="150">
        <f t="shared" si="125"/>
        <v>2.1808645876423255E-2</v>
      </c>
      <c r="AO156" s="150"/>
      <c r="AP156" s="151"/>
      <c r="AQ156" s="152">
        <f t="shared" si="134"/>
        <v>0.29530277169776209</v>
      </c>
      <c r="AU156">
        <f>IF(AV156&lt;=Presentation!$F$34,1,0)</f>
        <v>1</v>
      </c>
      <c r="AV156" s="146">
        <v>26</v>
      </c>
      <c r="AW156" s="150">
        <f t="shared" si="135"/>
        <v>2.3075070751137031E-2</v>
      </c>
      <c r="AX156" s="150">
        <f t="shared" si="126"/>
        <v>8.2898958530400346</v>
      </c>
      <c r="AY156" s="150"/>
      <c r="AZ156" s="151"/>
      <c r="BA156" s="152">
        <f t="shared" si="136"/>
        <v>0.29530277169776209</v>
      </c>
      <c r="BE156">
        <f>IF(BF156&lt;=Presentation!$F$34,1,0)</f>
        <v>1</v>
      </c>
      <c r="BF156" s="146">
        <v>26</v>
      </c>
      <c r="BG156" s="150">
        <f t="shared" si="137"/>
        <v>0.39259190606905942</v>
      </c>
      <c r="BH156" s="150">
        <f t="shared" si="127"/>
        <v>4.5931036361698308</v>
      </c>
      <c r="BI156" s="150"/>
      <c r="BJ156" s="151"/>
      <c r="BK156" s="152">
        <f t="shared" si="138"/>
        <v>0.29530277169776209</v>
      </c>
      <c r="BO156">
        <f>IF(BP156&lt;=Presentation!$F$34,1,0)</f>
        <v>1</v>
      </c>
      <c r="BP156" s="146">
        <v>26</v>
      </c>
      <c r="BQ156" s="150"/>
      <c r="BR156" s="150"/>
      <c r="BS156" s="150"/>
      <c r="BT156" s="151"/>
      <c r="BU156" s="152">
        <f t="shared" si="139"/>
        <v>0.29530277169776209</v>
      </c>
      <c r="BZ156" s="136"/>
    </row>
    <row r="157" spans="1:78" x14ac:dyDescent="0.3">
      <c r="A157" s="136"/>
      <c r="B157">
        <f>IF(C157&lt;=Presentation!$F$34,1,0)</f>
        <v>1</v>
      </c>
      <c r="C157" s="146">
        <v>27</v>
      </c>
      <c r="D157" s="150"/>
      <c r="E157" s="150"/>
      <c r="F157" s="150"/>
      <c r="G157" s="151"/>
      <c r="H157" s="152">
        <f t="shared" si="128"/>
        <v>0.28124073495024959</v>
      </c>
      <c r="Q157">
        <f>IF(R157&lt;=Presentation!$F$34,1,0)</f>
        <v>1</v>
      </c>
      <c r="R157" s="146">
        <v>27</v>
      </c>
      <c r="S157" s="150">
        <f t="shared" si="129"/>
        <v>0.10699202036168734</v>
      </c>
      <c r="T157" s="150"/>
      <c r="U157" s="150"/>
      <c r="V157" s="151"/>
      <c r="W157" s="152">
        <f t="shared" si="130"/>
        <v>0.28124073495024959</v>
      </c>
      <c r="AA157">
        <f>IF(AB157&lt;=Presentation!$F$34,1,0)</f>
        <v>1</v>
      </c>
      <c r="AB157" s="146">
        <v>27</v>
      </c>
      <c r="AC157" s="150">
        <f t="shared" si="131"/>
        <v>9.7273358318064087</v>
      </c>
      <c r="AD157" s="150"/>
      <c r="AE157" s="150"/>
      <c r="AF157" s="151"/>
      <c r="AG157" s="152">
        <f t="shared" si="132"/>
        <v>0.28124073495024959</v>
      </c>
      <c r="AK157">
        <f>IF(AL157&lt;=Presentation!$F$34,1,0)</f>
        <v>1</v>
      </c>
      <c r="AL157" s="146">
        <v>27</v>
      </c>
      <c r="AM157" s="150">
        <f t="shared" si="133"/>
        <v>0.90118768161229112</v>
      </c>
      <c r="AN157" s="150">
        <f t="shared" si="125"/>
        <v>2.0833089264060415E-2</v>
      </c>
      <c r="AO157" s="150"/>
      <c r="AP157" s="151"/>
      <c r="AQ157" s="152">
        <f t="shared" si="134"/>
        <v>0.28124073495024959</v>
      </c>
      <c r="AU157">
        <f>IF(AV157&lt;=Presentation!$F$34,1,0)</f>
        <v>1</v>
      </c>
      <c r="AV157" s="146">
        <v>27</v>
      </c>
      <c r="AW157" s="150">
        <f t="shared" si="135"/>
        <v>1.9376233172826138E-2</v>
      </c>
      <c r="AX157" s="150">
        <f t="shared" si="126"/>
        <v>7.2569126835786335</v>
      </c>
      <c r="AY157" s="150"/>
      <c r="AZ157" s="151"/>
      <c r="BA157" s="152">
        <f t="shared" si="136"/>
        <v>0.28124073495024959</v>
      </c>
      <c r="BE157">
        <f>IF(BF157&lt;=Presentation!$F$34,1,0)</f>
        <v>1</v>
      </c>
      <c r="BF157" s="146">
        <v>27</v>
      </c>
      <c r="BG157" s="150">
        <f t="shared" si="137"/>
        <v>0.3244594128474203</v>
      </c>
      <c r="BH157" s="150">
        <f t="shared" si="127"/>
        <v>3.9932269693925289</v>
      </c>
      <c r="BI157" s="150"/>
      <c r="BJ157" s="151"/>
      <c r="BK157" s="152">
        <f t="shared" si="138"/>
        <v>0.28124073495024959</v>
      </c>
      <c r="BO157">
        <f>IF(BP157&lt;=Presentation!$F$34,1,0)</f>
        <v>1</v>
      </c>
      <c r="BP157" s="146">
        <v>27</v>
      </c>
      <c r="BQ157" s="150"/>
      <c r="BR157" s="150"/>
      <c r="BS157" s="150"/>
      <c r="BT157" s="151"/>
      <c r="BU157" s="152">
        <f t="shared" si="139"/>
        <v>0.28124073495024959</v>
      </c>
      <c r="BZ157" s="136"/>
    </row>
    <row r="158" spans="1:78" x14ac:dyDescent="0.3">
      <c r="A158" s="136"/>
      <c r="B158">
        <f>IF(C158&lt;=Presentation!$F$34,1,0)</f>
        <v>1</v>
      </c>
      <c r="C158" s="146">
        <v>28</v>
      </c>
      <c r="D158" s="150"/>
      <c r="E158" s="150"/>
      <c r="F158" s="150"/>
      <c r="G158" s="151"/>
      <c r="H158" s="152">
        <f t="shared" si="128"/>
        <v>0.2678483190002377</v>
      </c>
      <c r="Q158">
        <f>IF(R158&lt;=Presentation!$F$34,1,0)</f>
        <v>1</v>
      </c>
      <c r="R158" s="146">
        <v>28</v>
      </c>
      <c r="S158" s="150">
        <f t="shared" si="129"/>
        <v>0.10130786930968881</v>
      </c>
      <c r="T158" s="150"/>
      <c r="U158" s="150"/>
      <c r="V158" s="151"/>
      <c r="W158" s="152">
        <f t="shared" si="130"/>
        <v>0.2678483190002377</v>
      </c>
      <c r="AA158">
        <f>IF(AB158&lt;=Presentation!$F$34,1,0)</f>
        <v>1</v>
      </c>
      <c r="AB158" s="146">
        <v>28</v>
      </c>
      <c r="AC158" s="150">
        <f t="shared" si="131"/>
        <v>9.1034174306567071</v>
      </c>
      <c r="AD158" s="150"/>
      <c r="AE158" s="150"/>
      <c r="AF158" s="151"/>
      <c r="AG158" s="152">
        <f t="shared" si="132"/>
        <v>0.2678483190002377</v>
      </c>
      <c r="AK158">
        <f>IF(AL158&lt;=Presentation!$F$34,1,0)</f>
        <v>1</v>
      </c>
      <c r="AL158" s="146">
        <v>28</v>
      </c>
      <c r="AM158" s="150">
        <f t="shared" si="133"/>
        <v>0.85602391173738923</v>
      </c>
      <c r="AN158" s="150">
        <f t="shared" si="125"/>
        <v>1.9888348148753718E-2</v>
      </c>
      <c r="AO158" s="150"/>
      <c r="AP158" s="151"/>
      <c r="AQ158" s="152">
        <f t="shared" si="134"/>
        <v>0.2678483190002377</v>
      </c>
      <c r="AU158">
        <f>IF(AV158&lt;=Presentation!$F$34,1,0)</f>
        <v>1</v>
      </c>
      <c r="AV158" s="146">
        <v>28</v>
      </c>
      <c r="AW158" s="150">
        <f t="shared" si="135"/>
        <v>1.6270303827745723E-2</v>
      </c>
      <c r="AX158" s="150">
        <f t="shared" si="126"/>
        <v>6.3439625661503154</v>
      </c>
      <c r="AY158" s="150"/>
      <c r="AZ158" s="151"/>
      <c r="BA158" s="152">
        <f t="shared" si="136"/>
        <v>0.2678483190002377</v>
      </c>
      <c r="BE158">
        <f>IF(BF158&lt;=Presentation!$F$34,1,0)</f>
        <v>1</v>
      </c>
      <c r="BF158" s="146">
        <v>28</v>
      </c>
      <c r="BG158" s="150">
        <f t="shared" si="137"/>
        <v>0.2681509958760443</v>
      </c>
      <c r="BH158" s="150">
        <f t="shared" si="127"/>
        <v>3.467089538273008</v>
      </c>
      <c r="BI158" s="150"/>
      <c r="BJ158" s="151"/>
      <c r="BK158" s="152">
        <f t="shared" si="138"/>
        <v>0.2678483190002377</v>
      </c>
      <c r="BO158">
        <f>IF(BP158&lt;=Presentation!$F$34,1,0)</f>
        <v>1</v>
      </c>
      <c r="BP158" s="146">
        <v>28</v>
      </c>
      <c r="BQ158" s="150"/>
      <c r="BR158" s="150"/>
      <c r="BS158" s="150"/>
      <c r="BT158" s="151"/>
      <c r="BU158" s="152">
        <f t="shared" si="139"/>
        <v>0.2678483190002377</v>
      </c>
      <c r="BZ158" s="136"/>
    </row>
    <row r="159" spans="1:78" x14ac:dyDescent="0.3">
      <c r="A159" s="136"/>
      <c r="B159">
        <f>IF(C159&lt;=Presentation!$F$34,1,0)</f>
        <v>1</v>
      </c>
      <c r="C159" s="146">
        <v>29</v>
      </c>
      <c r="D159" s="150"/>
      <c r="E159" s="150"/>
      <c r="F159" s="150"/>
      <c r="G159" s="151"/>
      <c r="H159" s="152">
        <f t="shared" si="128"/>
        <v>0.25509363714308358</v>
      </c>
      <c r="Q159">
        <f>IF(R159&lt;=Presentation!$F$34,1,0)</f>
        <v>1</v>
      </c>
      <c r="R159" s="146">
        <v>29</v>
      </c>
      <c r="S159" s="150">
        <f t="shared" si="129"/>
        <v>9.5925699406122791E-2</v>
      </c>
      <c r="T159" s="150"/>
      <c r="U159" s="150"/>
      <c r="V159" s="151"/>
      <c r="W159" s="152">
        <f t="shared" si="130"/>
        <v>0.25509363714308358</v>
      </c>
      <c r="AA159">
        <f>IF(AB159&lt;=Presentation!$F$34,1,0)</f>
        <v>1</v>
      </c>
      <c r="AB159" s="146">
        <v>29</v>
      </c>
      <c r="AC159" s="150">
        <f t="shared" si="131"/>
        <v>8.5195176099306771</v>
      </c>
      <c r="AD159" s="150"/>
      <c r="AE159" s="150"/>
      <c r="AF159" s="151"/>
      <c r="AG159" s="152">
        <f t="shared" si="132"/>
        <v>0.25509363714308358</v>
      </c>
      <c r="AK159">
        <f>IF(AL159&lt;=Presentation!$F$34,1,0)</f>
        <v>1</v>
      </c>
      <c r="AL159" s="146">
        <v>29</v>
      </c>
      <c r="AM159" s="150">
        <f t="shared" si="133"/>
        <v>0.81312356173709543</v>
      </c>
      <c r="AN159" s="150">
        <f t="shared" si="125"/>
        <v>1.8975661087933103E-2</v>
      </c>
      <c r="AO159" s="150"/>
      <c r="AP159" s="151"/>
      <c r="AQ159" s="152">
        <f t="shared" si="134"/>
        <v>0.25509363714308358</v>
      </c>
      <c r="AU159">
        <f>IF(AV159&lt;=Presentation!$F$34,1,0)</f>
        <v>1</v>
      </c>
      <c r="AV159" s="146">
        <v>29</v>
      </c>
      <c r="AW159" s="150">
        <f t="shared" si="135"/>
        <v>1.3662241999565373E-2</v>
      </c>
      <c r="AX159" s="150">
        <f t="shared" si="126"/>
        <v>5.5388176155031816</v>
      </c>
      <c r="AY159" s="150"/>
      <c r="AZ159" s="151"/>
      <c r="BA159" s="152">
        <f t="shared" si="136"/>
        <v>0.25509363714308358</v>
      </c>
      <c r="BE159">
        <f>IF(BF159&lt;=Presentation!$F$34,1,0)</f>
        <v>1</v>
      </c>
      <c r="BF159" s="146">
        <v>29</v>
      </c>
      <c r="BG159" s="150">
        <f t="shared" si="137"/>
        <v>0.2216146419001512</v>
      </c>
      <c r="BH159" s="150">
        <f t="shared" si="127"/>
        <v>3.0065695174042992</v>
      </c>
      <c r="BI159" s="150"/>
      <c r="BJ159" s="151"/>
      <c r="BK159" s="152">
        <f t="shared" si="138"/>
        <v>0.25509363714308358</v>
      </c>
      <c r="BO159">
        <f>IF(BP159&lt;=Presentation!$F$34,1,0)</f>
        <v>1</v>
      </c>
      <c r="BP159" s="146">
        <v>29</v>
      </c>
      <c r="BQ159" s="150"/>
      <c r="BR159" s="150"/>
      <c r="BS159" s="150"/>
      <c r="BT159" s="151"/>
      <c r="BU159" s="152">
        <f t="shared" si="139"/>
        <v>0.25509363714308358</v>
      </c>
      <c r="BZ159" s="136"/>
    </row>
    <row r="160" spans="1:78" x14ac:dyDescent="0.3">
      <c r="A160" s="136"/>
      <c r="B160">
        <f>IF(C160&lt;=Presentation!$F$34,1,0)</f>
        <v>1</v>
      </c>
      <c r="C160" s="146">
        <v>30</v>
      </c>
      <c r="D160" s="150"/>
      <c r="E160" s="150"/>
      <c r="F160" s="150"/>
      <c r="G160" s="151"/>
      <c r="H160" s="152">
        <f t="shared" si="128"/>
        <v>0.24294632108865097</v>
      </c>
      <c r="Q160">
        <f>IF(R160&lt;=Presentation!$F$34,1,0)</f>
        <v>1</v>
      </c>
      <c r="R160" s="146">
        <v>30</v>
      </c>
      <c r="S160" s="150">
        <f t="shared" si="129"/>
        <v>9.0829467338069778E-2</v>
      </c>
      <c r="T160" s="150"/>
      <c r="U160" s="150"/>
      <c r="V160" s="151"/>
      <c r="W160" s="152">
        <f t="shared" si="130"/>
        <v>0.24294632108865097</v>
      </c>
      <c r="AA160">
        <f>IF(AB160&lt;=Presentation!$F$34,1,0)</f>
        <v>1</v>
      </c>
      <c r="AB160" s="146">
        <v>30</v>
      </c>
      <c r="AC160" s="150">
        <f t="shared" si="131"/>
        <v>7.9730695487488958</v>
      </c>
      <c r="AD160" s="150"/>
      <c r="AE160" s="150"/>
      <c r="AF160" s="151"/>
      <c r="AG160" s="152">
        <f t="shared" si="132"/>
        <v>0.24294632108865097</v>
      </c>
      <c r="AK160">
        <f>IF(AL160&lt;=Presentation!$F$34,1,0)</f>
        <v>1</v>
      </c>
      <c r="AL160" s="146">
        <v>30</v>
      </c>
      <c r="AM160" s="150">
        <f t="shared" si="133"/>
        <v>0.77237319844267771</v>
      </c>
      <c r="AN160" s="150">
        <f t="shared" si="125"/>
        <v>1.8095776108559471E-2</v>
      </c>
      <c r="AO160" s="150"/>
      <c r="AP160" s="151"/>
      <c r="AQ160" s="152">
        <f t="shared" si="134"/>
        <v>0.24294632108865097</v>
      </c>
      <c r="AU160">
        <f>IF(AV160&lt;=Presentation!$F$34,1,0)</f>
        <v>1</v>
      </c>
      <c r="AV160" s="146">
        <v>30</v>
      </c>
      <c r="AW160" s="150">
        <f t="shared" si="135"/>
        <v>1.1472241602297701E-2</v>
      </c>
      <c r="AX160" s="150">
        <f t="shared" si="126"/>
        <v>4.8301303083626737</v>
      </c>
      <c r="AY160" s="150"/>
      <c r="AZ160" s="151"/>
      <c r="BA160" s="152">
        <f t="shared" si="136"/>
        <v>0.24294632108865097</v>
      </c>
      <c r="BE160">
        <f>IF(BF160&lt;=Presentation!$F$34,1,0)</f>
        <v>1</v>
      </c>
      <c r="BF160" s="146">
        <v>30</v>
      </c>
      <c r="BG160" s="150">
        <f t="shared" si="137"/>
        <v>0.18315445498936453</v>
      </c>
      <c r="BH160" s="150">
        <f t="shared" si="127"/>
        <v>2.6042347749326602</v>
      </c>
      <c r="BI160" s="150"/>
      <c r="BJ160" s="151"/>
      <c r="BK160" s="152">
        <f t="shared" si="138"/>
        <v>0.24294632108865097</v>
      </c>
      <c r="BO160">
        <f>IF(BP160&lt;=Presentation!$F$34,1,0)</f>
        <v>1</v>
      </c>
      <c r="BP160" s="146">
        <v>30</v>
      </c>
      <c r="BQ160" s="150"/>
      <c r="BR160" s="150"/>
      <c r="BS160" s="150"/>
      <c r="BT160" s="151"/>
      <c r="BU160" s="152">
        <f t="shared" si="139"/>
        <v>0.24294632108865097</v>
      </c>
      <c r="BZ160" s="136"/>
    </row>
    <row r="161" spans="1:78" ht="15" thickBot="1" x14ac:dyDescent="0.35">
      <c r="A161" s="136"/>
      <c r="B161">
        <f>IF(C161&lt;=Presentation!$F$34,1,0)</f>
        <v>0</v>
      </c>
      <c r="C161" s="146">
        <v>31</v>
      </c>
      <c r="D161" s="150"/>
      <c r="E161" s="150"/>
      <c r="F161" s="150"/>
      <c r="G161" s="151"/>
      <c r="H161" s="152">
        <f t="shared" si="128"/>
        <v>0.23137744865585813</v>
      </c>
      <c r="Q161">
        <f>IF(R161&lt;=Presentation!$F$34,1,0)</f>
        <v>0</v>
      </c>
      <c r="R161" s="146">
        <v>31</v>
      </c>
      <c r="S161" s="150">
        <f t="shared" si="129"/>
        <v>0</v>
      </c>
      <c r="T161" s="150"/>
      <c r="U161" s="150"/>
      <c r="V161" s="151"/>
      <c r="W161" s="152">
        <f t="shared" si="130"/>
        <v>0.23137744865585813</v>
      </c>
      <c r="AA161">
        <f>IF(AB161&lt;=Presentation!$F$34,1,0)</f>
        <v>0</v>
      </c>
      <c r="AB161" s="146">
        <v>31</v>
      </c>
      <c r="AC161" s="150">
        <f t="shared" si="131"/>
        <v>0</v>
      </c>
      <c r="AD161" s="150"/>
      <c r="AE161" s="150"/>
      <c r="AF161" s="151"/>
      <c r="AG161" s="152">
        <f t="shared" si="132"/>
        <v>0.23137744865585813</v>
      </c>
      <c r="AK161">
        <f>IF(AL161&lt;=Presentation!$F$34,1,0)</f>
        <v>0</v>
      </c>
      <c r="AL161" s="146">
        <v>31</v>
      </c>
      <c r="AM161" s="150">
        <f t="shared" si="133"/>
        <v>0</v>
      </c>
      <c r="AN161" s="150">
        <f t="shared" si="125"/>
        <v>0</v>
      </c>
      <c r="AO161" s="150"/>
      <c r="AP161" s="151"/>
      <c r="AQ161" s="152">
        <f t="shared" si="134"/>
        <v>0.23137744865585813</v>
      </c>
      <c r="AU161">
        <f>IF(AV161&lt;=Presentation!$F$34,1,0)</f>
        <v>0</v>
      </c>
      <c r="AV161" s="146">
        <v>31</v>
      </c>
      <c r="AW161" s="150">
        <f t="shared" si="135"/>
        <v>0</v>
      </c>
      <c r="AX161" s="150">
        <f t="shared" si="126"/>
        <v>0</v>
      </c>
      <c r="AY161" s="150"/>
      <c r="AZ161" s="151"/>
      <c r="BA161" s="152">
        <f t="shared" si="136"/>
        <v>0.23137744865585813</v>
      </c>
      <c r="BE161">
        <f>IF(BF161&lt;=Presentation!$F$34,1,0)</f>
        <v>0</v>
      </c>
      <c r="BF161" s="146">
        <v>31</v>
      </c>
      <c r="BG161" s="150">
        <f t="shared" si="137"/>
        <v>0</v>
      </c>
      <c r="BH161" s="150">
        <f t="shared" si="127"/>
        <v>0</v>
      </c>
      <c r="BI161" s="150"/>
      <c r="BJ161" s="151"/>
      <c r="BK161" s="152">
        <f t="shared" si="138"/>
        <v>0.23137744865585813</v>
      </c>
      <c r="BO161">
        <f>IF(BP161&lt;=Presentation!$F$34,1,0)</f>
        <v>0</v>
      </c>
      <c r="BP161" s="146">
        <v>31</v>
      </c>
      <c r="BQ161" s="150"/>
      <c r="BR161" s="150"/>
      <c r="BS161" s="150"/>
      <c r="BT161" s="151"/>
      <c r="BU161" s="152">
        <f t="shared" si="139"/>
        <v>0.23137744865585813</v>
      </c>
      <c r="BZ161" s="136"/>
    </row>
    <row r="162" spans="1:78" ht="15" thickBot="1" x14ac:dyDescent="0.35">
      <c r="A162" s="136"/>
      <c r="D162" s="135">
        <f>SUM(D130:D161)</f>
        <v>0</v>
      </c>
      <c r="E162" s="135">
        <f>SUM(E130:E161)</f>
        <v>0</v>
      </c>
      <c r="F162" s="135">
        <f>SUM(F130:F161)</f>
        <v>0</v>
      </c>
      <c r="G162" s="135">
        <f>SUM(G130:G161)</f>
        <v>0</v>
      </c>
      <c r="H162" s="190">
        <f>SUM(D162:G162)</f>
        <v>0</v>
      </c>
      <c r="S162" s="135">
        <f>SUM(S130:S161)</f>
        <v>18.863089571763254</v>
      </c>
      <c r="T162" s="135">
        <f>SUM(T130:T161)</f>
        <v>0</v>
      </c>
      <c r="U162" s="135">
        <f>SUM(U130:U161)</f>
        <v>0</v>
      </c>
      <c r="V162" s="135">
        <f>SUM(V130:V161)</f>
        <v>0</v>
      </c>
      <c r="W162" s="190">
        <f>SUM(S162:V162)</f>
        <v>18.863089571763254</v>
      </c>
      <c r="AC162" s="135">
        <f>SUM(AC130:AC161)</f>
        <v>854.06042996204974</v>
      </c>
      <c r="AD162" s="135">
        <f>SUM(AD130:AD161)</f>
        <v>0</v>
      </c>
      <c r="AE162" s="135">
        <f>SUM(AE130:AE161)</f>
        <v>0</v>
      </c>
      <c r="AF162" s="135">
        <f>SUM(AF130:AF161)</f>
        <v>0</v>
      </c>
      <c r="AG162" s="190">
        <f>SUM(AC162:AF162)</f>
        <v>854.06042996204974</v>
      </c>
      <c r="AM162" s="135">
        <f>SUM(AM130:AM161)</f>
        <v>112.62129773254259</v>
      </c>
      <c r="AN162" s="135">
        <f>SUM(AN130:AN161)</f>
        <v>0.82450347766658372</v>
      </c>
      <c r="AO162" s="135">
        <f>SUM(AO130:AO161)</f>
        <v>0</v>
      </c>
      <c r="AP162" s="135">
        <f>SUM(AP130:AP161)</f>
        <v>0</v>
      </c>
      <c r="AQ162" s="190">
        <f>SUM(AM162:AP162)</f>
        <v>113.44580121020917</v>
      </c>
      <c r="AW162" s="135">
        <f>SUM(AW130:AW161)</f>
        <v>107.06501589065829</v>
      </c>
      <c r="AX162" s="135">
        <f>SUM(AX130:AX161)</f>
        <v>894.52254353354226</v>
      </c>
      <c r="AY162" s="135">
        <f>SUM(AY130:AY161)</f>
        <v>0</v>
      </c>
      <c r="AZ162" s="135">
        <f>SUM(AZ130:AZ161)</f>
        <v>0</v>
      </c>
      <c r="BA162" s="190">
        <f>SUM(AW162:AZ162)</f>
        <v>1001.5875594242005</v>
      </c>
      <c r="BG162" s="135">
        <f>SUM(BG130:BG161)</f>
        <v>387.2725307343091</v>
      </c>
      <c r="BH162" s="135">
        <f>SUM(BH130:BH161)</f>
        <v>553.99814677682957</v>
      </c>
      <c r="BI162" s="135">
        <f>SUM(BI130:BI161)</f>
        <v>0</v>
      </c>
      <c r="BJ162" s="135">
        <f>SUM(BJ130:BJ161)</f>
        <v>0</v>
      </c>
      <c r="BK162" s="190">
        <f>SUM(BG162:BJ162)</f>
        <v>941.27067751113873</v>
      </c>
      <c r="BQ162" s="135">
        <f>SUM(BQ130:BQ161)</f>
        <v>0</v>
      </c>
      <c r="BR162" s="135">
        <f>SUM(BR130:BR161)</f>
        <v>0</v>
      </c>
      <c r="BS162" s="135">
        <f>SUM(BS130:BS161)</f>
        <v>0</v>
      </c>
      <c r="BT162" s="135">
        <f>SUM(BT130:BT161)</f>
        <v>0</v>
      </c>
      <c r="BU162" s="190">
        <f>SUM(BQ162:BT162)</f>
        <v>0</v>
      </c>
      <c r="BZ162" s="136"/>
    </row>
    <row r="163" spans="1:78" x14ac:dyDescent="0.3">
      <c r="A163" s="136"/>
      <c r="BZ163" s="136"/>
    </row>
    <row r="164" spans="1:78" x14ac:dyDescent="0.3">
      <c r="A164" s="136"/>
      <c r="BZ164" s="136"/>
    </row>
    <row r="165" spans="1:78" x14ac:dyDescent="0.3">
      <c r="A165" s="136"/>
      <c r="B165" s="136"/>
      <c r="C165" s="136"/>
      <c r="D165" s="136"/>
      <c r="E165" s="136"/>
      <c r="F165" s="136"/>
      <c r="G165" s="136"/>
      <c r="H165" s="136"/>
      <c r="I165" s="136"/>
      <c r="J165" s="136"/>
      <c r="K165" s="136"/>
      <c r="L165" s="136"/>
      <c r="M165" s="136"/>
      <c r="N165" s="136"/>
      <c r="O165" s="136"/>
      <c r="P165" s="136"/>
      <c r="Q165" s="136"/>
      <c r="R165" s="136"/>
      <c r="S165" s="136"/>
      <c r="T165" s="136"/>
      <c r="U165" s="136"/>
      <c r="V165" s="136"/>
      <c r="W165" s="136"/>
      <c r="X165" s="136"/>
      <c r="Y165" s="136"/>
      <c r="Z165" s="136"/>
      <c r="AA165" s="136"/>
      <c r="AB165" s="136"/>
      <c r="AC165" s="136"/>
      <c r="AD165" s="136"/>
      <c r="AE165" s="136"/>
      <c r="AF165" s="136"/>
      <c r="AG165" s="136"/>
      <c r="AH165" s="136"/>
      <c r="AI165" s="136"/>
      <c r="AJ165" s="136"/>
      <c r="AK165" s="136"/>
      <c r="AL165" s="136"/>
      <c r="AM165" s="136"/>
      <c r="AN165" s="136"/>
      <c r="AO165" s="136"/>
      <c r="AP165" s="136"/>
      <c r="AQ165" s="136"/>
      <c r="AR165" s="136"/>
      <c r="AS165" s="136"/>
      <c r="AT165" s="136"/>
      <c r="AU165" s="136"/>
      <c r="AV165" s="136"/>
      <c r="AW165" s="136"/>
      <c r="AX165" s="136"/>
      <c r="AY165" s="136"/>
      <c r="AZ165" s="136"/>
      <c r="BA165" s="136"/>
      <c r="BB165" s="136"/>
      <c r="BC165" s="136"/>
      <c r="BD165" s="136"/>
      <c r="BE165" s="136"/>
      <c r="BF165" s="136"/>
      <c r="BG165" s="136"/>
      <c r="BH165" s="136"/>
      <c r="BI165" s="136"/>
      <c r="BJ165" s="136"/>
      <c r="BK165" s="136"/>
      <c r="BL165" s="136"/>
      <c r="BM165" s="136"/>
      <c r="BN165" s="136"/>
      <c r="BO165" s="136"/>
      <c r="BP165" s="136"/>
      <c r="BQ165" s="136"/>
      <c r="BR165" s="136"/>
      <c r="BS165" s="136"/>
      <c r="BT165" s="136"/>
      <c r="BU165" s="136"/>
      <c r="BV165" s="136"/>
      <c r="BW165" s="136"/>
      <c r="BX165" s="136"/>
      <c r="BY165" s="136"/>
      <c r="BZ165" s="136"/>
    </row>
  </sheetData>
  <mergeCells count="58">
    <mergeCell ref="BR4:BT4"/>
    <mergeCell ref="BP6:BP8"/>
    <mergeCell ref="BU10:BV10"/>
    <mergeCell ref="BA10:BB10"/>
    <mergeCell ref="BF4:BG5"/>
    <mergeCell ref="BH4:BJ4"/>
    <mergeCell ref="BF6:BF8"/>
    <mergeCell ref="BK10:BL10"/>
    <mergeCell ref="BP4:BQ5"/>
    <mergeCell ref="AN4:AP4"/>
    <mergeCell ref="AL6:AL8"/>
    <mergeCell ref="AQ10:AR10"/>
    <mergeCell ref="AV4:AW5"/>
    <mergeCell ref="AX4:AZ4"/>
    <mergeCell ref="AV6:AV8"/>
    <mergeCell ref="AB4:AC5"/>
    <mergeCell ref="AD4:AF4"/>
    <mergeCell ref="AB6:AB8"/>
    <mergeCell ref="AG10:AH10"/>
    <mergeCell ref="AL4:AM5"/>
    <mergeCell ref="R4:S5"/>
    <mergeCell ref="T4:V4"/>
    <mergeCell ref="R6:R8"/>
    <mergeCell ref="W10:X10"/>
    <mergeCell ref="C86:D87"/>
    <mergeCell ref="E86:G86"/>
    <mergeCell ref="R86:S87"/>
    <mergeCell ref="T86:V86"/>
    <mergeCell ref="C4:D5"/>
    <mergeCell ref="E4:G4"/>
    <mergeCell ref="C6:C8"/>
    <mergeCell ref="H10:I10"/>
    <mergeCell ref="L10:N10"/>
    <mergeCell ref="AB86:AC87"/>
    <mergeCell ref="AD86:AF86"/>
    <mergeCell ref="AL86:AM87"/>
    <mergeCell ref="AN86:AP86"/>
    <mergeCell ref="AV86:AW87"/>
    <mergeCell ref="AX86:AZ86"/>
    <mergeCell ref="BF86:BG87"/>
    <mergeCell ref="BH86:BJ86"/>
    <mergeCell ref="BP86:BQ87"/>
    <mergeCell ref="BR86:BT86"/>
    <mergeCell ref="C88:C90"/>
    <mergeCell ref="R88:R90"/>
    <mergeCell ref="AB88:AB90"/>
    <mergeCell ref="AL88:AL90"/>
    <mergeCell ref="AV88:AV90"/>
    <mergeCell ref="BU92:BV92"/>
    <mergeCell ref="BF88:BF90"/>
    <mergeCell ref="BP88:BP90"/>
    <mergeCell ref="H92:I92"/>
    <mergeCell ref="L92:N92"/>
    <mergeCell ref="W92:X92"/>
    <mergeCell ref="AG92:AH92"/>
    <mergeCell ref="AQ92:AR92"/>
    <mergeCell ref="BA92:BB92"/>
    <mergeCell ref="BK92:BL92"/>
  </mergeCells>
  <pageMargins left="0.511811024" right="0.511811024" top="0.78740157499999996" bottom="0.78740157499999996" header="0.31496062000000002" footer="0.31496062000000002"/>
  <pageSetup paperSize="9" orientation="portrait" horizontalDpi="4294967295" verticalDpi="4294967295"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Planilha13">
    <tabColor theme="0" tint="-0.499984740745262"/>
  </sheetPr>
  <dimension ref="A1:N111"/>
  <sheetViews>
    <sheetView workbookViewId="0">
      <selection activeCell="F7" sqref="F7"/>
    </sheetView>
  </sheetViews>
  <sheetFormatPr defaultRowHeight="14.4" x14ac:dyDescent="0.3"/>
  <cols>
    <col min="7" max="7" width="12" bestFit="1" customWidth="1"/>
    <col min="10" max="10" width="10.33203125" bestFit="1" customWidth="1"/>
    <col min="12" max="12" width="20.5546875" bestFit="1" customWidth="1"/>
  </cols>
  <sheetData>
    <row r="1" spans="1:14" ht="21" x14ac:dyDescent="0.3">
      <c r="A1" s="13"/>
      <c r="B1" s="13"/>
      <c r="C1" s="13"/>
      <c r="D1" s="68" t="s">
        <v>437</v>
      </c>
      <c r="E1" s="69"/>
      <c r="F1" s="69"/>
      <c r="G1" s="69"/>
      <c r="H1" s="69"/>
      <c r="I1" s="69"/>
      <c r="J1" s="69"/>
      <c r="K1" s="69"/>
      <c r="L1" s="69"/>
      <c r="M1" s="69"/>
      <c r="N1" s="13"/>
    </row>
    <row r="2" spans="1:14" ht="15.6" x14ac:dyDescent="0.3">
      <c r="A2" s="13"/>
      <c r="B2" s="13"/>
      <c r="C2" s="13"/>
      <c r="D2" s="469" t="s">
        <v>15</v>
      </c>
      <c r="E2" s="470"/>
      <c r="F2" s="470"/>
      <c r="G2" s="470"/>
      <c r="H2" s="470"/>
      <c r="I2" s="470"/>
      <c r="J2" s="470"/>
      <c r="K2" s="470"/>
      <c r="L2" s="470"/>
      <c r="M2" s="70"/>
      <c r="N2" s="13"/>
    </row>
    <row r="3" spans="1:14" ht="15.6" x14ac:dyDescent="0.3">
      <c r="A3" s="13"/>
      <c r="B3" s="13"/>
      <c r="C3" s="13"/>
      <c r="D3" s="63"/>
      <c r="E3" s="63"/>
      <c r="F3" s="63"/>
      <c r="G3" s="63"/>
      <c r="H3" s="63"/>
      <c r="I3" s="63"/>
      <c r="J3" s="63"/>
      <c r="K3" s="63"/>
      <c r="L3" s="63"/>
      <c r="M3" s="63"/>
      <c r="N3" s="13"/>
    </row>
    <row r="4" spans="1:14" ht="15.6" x14ac:dyDescent="0.3">
      <c r="A4" s="13"/>
      <c r="B4" s="13"/>
      <c r="C4" s="13"/>
      <c r="D4" s="63"/>
      <c r="E4" s="63"/>
      <c r="F4" s="63"/>
      <c r="G4" s="63"/>
      <c r="H4" s="63"/>
      <c r="I4" s="63"/>
      <c r="J4" s="63"/>
      <c r="K4" s="63"/>
      <c r="L4" s="63"/>
      <c r="M4" s="63"/>
      <c r="N4" s="13"/>
    </row>
    <row r="5" spans="1:14" ht="15.6" x14ac:dyDescent="0.3">
      <c r="A5" s="13"/>
      <c r="B5" s="13"/>
      <c r="C5" s="13"/>
      <c r="D5" s="63"/>
      <c r="E5" s="63"/>
      <c r="F5" s="63"/>
      <c r="G5" s="63"/>
      <c r="H5" s="63"/>
      <c r="I5" s="63"/>
      <c r="J5" s="63"/>
      <c r="K5" s="63"/>
      <c r="L5" s="71" t="s">
        <v>440</v>
      </c>
      <c r="M5" s="63"/>
      <c r="N5" s="13"/>
    </row>
    <row r="6" spans="1:14" ht="15.6" x14ac:dyDescent="0.3">
      <c r="A6" s="13"/>
      <c r="B6" s="13"/>
      <c r="C6" s="13"/>
      <c r="D6" s="63"/>
      <c r="E6" s="5" t="s">
        <v>438</v>
      </c>
      <c r="F6" s="5" t="s">
        <v>443</v>
      </c>
      <c r="G6" s="5"/>
      <c r="H6" s="5"/>
      <c r="I6" s="5" t="s">
        <v>439</v>
      </c>
      <c r="J6" s="5"/>
      <c r="K6" s="63"/>
      <c r="L6" s="63">
        <f>14.23/100000</f>
        <v>1.4230000000000002E-4</v>
      </c>
      <c r="M6" s="63"/>
      <c r="N6" s="13"/>
    </row>
    <row r="7" spans="1:14" ht="15.6" x14ac:dyDescent="0.3">
      <c r="A7" s="13"/>
      <c r="B7" s="13"/>
      <c r="C7" s="13"/>
      <c r="D7" s="72" t="s">
        <v>16</v>
      </c>
      <c r="E7" s="72" t="s">
        <v>17</v>
      </c>
      <c r="F7" s="72" t="s">
        <v>18</v>
      </c>
      <c r="G7" s="72" t="s">
        <v>19</v>
      </c>
      <c r="H7" s="72" t="s">
        <v>20</v>
      </c>
      <c r="I7" s="72" t="s">
        <v>21</v>
      </c>
      <c r="J7" s="72">
        <v>2020</v>
      </c>
      <c r="K7" s="63"/>
      <c r="L7" s="63"/>
      <c r="M7" s="63"/>
      <c r="N7" s="13"/>
    </row>
    <row r="8" spans="1:14" ht="15.6" x14ac:dyDescent="0.3">
      <c r="A8" s="13"/>
      <c r="B8" s="13"/>
      <c r="C8" s="13"/>
      <c r="D8" s="73">
        <v>0</v>
      </c>
      <c r="E8" s="74">
        <f>J8/1000</f>
        <v>1.0635134005488654E-2</v>
      </c>
      <c r="F8" s="75">
        <v>1.1752286160826334E-2</v>
      </c>
      <c r="G8" s="76">
        <v>100000</v>
      </c>
      <c r="H8" s="75">
        <v>1175.2286160826334</v>
      </c>
      <c r="I8" s="75">
        <v>79.613405738315663</v>
      </c>
      <c r="J8" s="77">
        <v>10.635134005488654</v>
      </c>
      <c r="K8" s="63"/>
      <c r="L8" s="62">
        <f>E8+$L$6</f>
        <v>1.0777434005488654E-2</v>
      </c>
      <c r="M8" s="63"/>
      <c r="N8" s="13"/>
    </row>
    <row r="9" spans="1:14" ht="15.6" x14ac:dyDescent="0.3">
      <c r="A9" s="13"/>
      <c r="B9" s="13"/>
      <c r="C9" s="13"/>
      <c r="D9" s="73">
        <v>1</v>
      </c>
      <c r="E9" s="74">
        <f t="shared" ref="E9:E72" si="0">J9/1000</f>
        <v>7.0982258071866958E-4</v>
      </c>
      <c r="F9" s="75">
        <v>7.6906869613307775E-4</v>
      </c>
      <c r="G9" s="78">
        <v>98824.771383917367</v>
      </c>
      <c r="H9" s="75">
        <v>76.003038073878827</v>
      </c>
      <c r="I9" s="75">
        <v>79.559158053639209</v>
      </c>
      <c r="J9" s="77">
        <v>0.70982258071866955</v>
      </c>
      <c r="K9" s="63"/>
      <c r="L9" s="62">
        <f t="shared" ref="L9:L72" si="1">E9+$L$6</f>
        <v>8.5212258071866963E-4</v>
      </c>
      <c r="M9" s="63"/>
      <c r="N9" s="13"/>
    </row>
    <row r="10" spans="1:14" ht="15.6" x14ac:dyDescent="0.3">
      <c r="A10" s="13"/>
      <c r="B10" s="13"/>
      <c r="C10" s="13"/>
      <c r="D10" s="73">
        <v>2</v>
      </c>
      <c r="E10" s="74">
        <f t="shared" si="0"/>
        <v>4.457274113546908E-4</v>
      </c>
      <c r="F10" s="75">
        <v>4.8663186159883401E-4</v>
      </c>
      <c r="G10" s="78">
        <v>98748.768345843491</v>
      </c>
      <c r="H10" s="75">
        <v>48.05429697072983</v>
      </c>
      <c r="I10" s="75">
        <v>78.620006774086988</v>
      </c>
      <c r="J10" s="77">
        <v>0.44572741135469079</v>
      </c>
      <c r="K10" s="63"/>
      <c r="L10" s="62">
        <f t="shared" si="1"/>
        <v>5.8802741135469084E-4</v>
      </c>
      <c r="M10" s="63"/>
      <c r="N10" s="13"/>
    </row>
    <row r="11" spans="1:14" ht="15.6" x14ac:dyDescent="0.3">
      <c r="A11" s="13"/>
      <c r="B11" s="13"/>
      <c r="C11" s="13"/>
      <c r="D11" s="73">
        <v>3</v>
      </c>
      <c r="E11" s="74">
        <f t="shared" si="0"/>
        <v>3.3354121686091374E-4</v>
      </c>
      <c r="F11" s="75">
        <v>3.6594734585128927E-4</v>
      </c>
      <c r="G11" s="75">
        <v>98700.71404887276</v>
      </c>
      <c r="H11" s="75">
        <v>36.119264339812048</v>
      </c>
      <c r="I11" s="75">
        <v>77.658040967061709</v>
      </c>
      <c r="J11" s="77">
        <v>0.33354121686091376</v>
      </c>
      <c r="K11" s="63"/>
      <c r="L11" s="62">
        <f t="shared" si="1"/>
        <v>4.7584121686091373E-4</v>
      </c>
      <c r="M11" s="63"/>
      <c r="N11" s="13"/>
    </row>
    <row r="12" spans="1:14" ht="15.6" x14ac:dyDescent="0.3">
      <c r="A12" s="13"/>
      <c r="B12" s="13"/>
      <c r="C12" s="13"/>
      <c r="D12" s="73">
        <v>4</v>
      </c>
      <c r="E12" s="74">
        <f t="shared" si="0"/>
        <v>2.7008372585788016E-4</v>
      </c>
      <c r="F12" s="75">
        <v>2.9737235338572299E-4</v>
      </c>
      <c r="G12" s="75">
        <v>98664.59478453295</v>
      </c>
      <c r="H12" s="75">
        <v>29.340122746925292</v>
      </c>
      <c r="I12" s="75">
        <v>76.686287083956202</v>
      </c>
      <c r="J12" s="77">
        <v>0.27008372585788015</v>
      </c>
      <c r="K12" s="63"/>
      <c r="L12" s="62">
        <f t="shared" si="1"/>
        <v>4.123837258578802E-4</v>
      </c>
      <c r="M12" s="63"/>
      <c r="N12" s="13"/>
    </row>
    <row r="13" spans="1:14" ht="15.6" x14ac:dyDescent="0.3">
      <c r="A13" s="13"/>
      <c r="B13" s="13"/>
      <c r="C13" s="13"/>
      <c r="D13" s="73">
        <v>5</v>
      </c>
      <c r="E13" s="74">
        <f t="shared" si="0"/>
        <v>2.2935519734821783E-4</v>
      </c>
      <c r="F13" s="75">
        <v>2.5317403125687133E-4</v>
      </c>
      <c r="G13" s="75">
        <v>98635.254661786021</v>
      </c>
      <c r="H13" s="75">
        <v>24.971885046772478</v>
      </c>
      <c r="I13" s="75">
        <v>75.708949518623612</v>
      </c>
      <c r="J13" s="77">
        <v>0.22935519734821783</v>
      </c>
      <c r="K13" s="63"/>
      <c r="L13" s="62">
        <f t="shared" si="1"/>
        <v>3.7165519734821788E-4</v>
      </c>
      <c r="M13" s="63"/>
      <c r="N13" s="13"/>
    </row>
    <row r="14" spans="1:14" ht="15.6" x14ac:dyDescent="0.3">
      <c r="A14" s="13"/>
      <c r="B14" s="13"/>
      <c r="C14" s="13"/>
      <c r="D14" s="73">
        <v>6</v>
      </c>
      <c r="E14" s="74">
        <f t="shared" si="0"/>
        <v>2.0165902269458444E-4</v>
      </c>
      <c r="F14" s="75">
        <v>2.2297570245108879E-4</v>
      </c>
      <c r="G14" s="75">
        <v>98610.282776739245</v>
      </c>
      <c r="H14" s="75">
        <v>21.987697071043936</v>
      </c>
      <c r="I14" s="75">
        <v>74.727995293455436</v>
      </c>
      <c r="J14" s="77">
        <v>0.20165902269458444</v>
      </c>
      <c r="K14" s="63"/>
      <c r="L14" s="62">
        <f t="shared" si="1"/>
        <v>3.4395902269458446E-4</v>
      </c>
      <c r="M14" s="63"/>
      <c r="N14" s="13"/>
    </row>
    <row r="15" spans="1:14" ht="15.6" x14ac:dyDescent="0.3">
      <c r="A15" s="13"/>
      <c r="B15" s="13"/>
      <c r="C15" s="13"/>
      <c r="D15" s="73">
        <v>7</v>
      </c>
      <c r="E15" s="74">
        <f t="shared" si="0"/>
        <v>1.8274525790960979E-4</v>
      </c>
      <c r="F15" s="75">
        <v>2.0221322401736848E-4</v>
      </c>
      <c r="G15" s="75">
        <v>98588.295079668198</v>
      </c>
      <c r="H15" s="75">
        <v>19.935856998435373</v>
      </c>
      <c r="I15" s="75">
        <v>73.744550024150243</v>
      </c>
      <c r="J15" s="77">
        <v>0.1827452579096098</v>
      </c>
      <c r="K15" s="63"/>
      <c r="L15" s="62">
        <f t="shared" si="1"/>
        <v>3.2504525790960984E-4</v>
      </c>
      <c r="M15" s="63"/>
      <c r="N15" s="13"/>
    </row>
    <row r="16" spans="1:14" ht="15.6" x14ac:dyDescent="0.3">
      <c r="A16" s="13"/>
      <c r="B16" s="13"/>
      <c r="C16" s="13"/>
      <c r="D16" s="73">
        <v>8</v>
      </c>
      <c r="E16" s="74">
        <f t="shared" si="0"/>
        <v>1.7078554825176808E-4</v>
      </c>
      <c r="F16" s="75">
        <v>1.8891199520059042E-4</v>
      </c>
      <c r="G16" s="75">
        <v>98568.359222669766</v>
      </c>
      <c r="H16" s="75">
        <v>18.620745404403063</v>
      </c>
      <c r="I16" s="75">
        <v>72.759364036341481</v>
      </c>
      <c r="J16" s="77">
        <v>0.17078554825176809</v>
      </c>
      <c r="K16" s="63"/>
      <c r="L16" s="62">
        <f t="shared" si="1"/>
        <v>3.130855482517681E-4</v>
      </c>
      <c r="M16" s="63"/>
      <c r="N16" s="13"/>
    </row>
    <row r="17" spans="1:14" ht="15.6" x14ac:dyDescent="0.3">
      <c r="A17" s="13"/>
      <c r="B17" s="13"/>
      <c r="C17" s="13"/>
      <c r="D17" s="73">
        <v>9</v>
      </c>
      <c r="E17" s="74">
        <f t="shared" si="0"/>
        <v>1.6536334940133181E-4</v>
      </c>
      <c r="F17" s="75">
        <v>1.8261168416222381E-4</v>
      </c>
      <c r="G17" s="75">
        <v>98549.73847726536</v>
      </c>
      <c r="H17" s="75">
        <v>17.996333717080137</v>
      </c>
      <c r="I17" s="75">
        <v>71.773017276234313</v>
      </c>
      <c r="J17" s="77">
        <v>0.16536334940133182</v>
      </c>
      <c r="K17" s="63"/>
      <c r="L17" s="62">
        <f t="shared" si="1"/>
        <v>3.0766334940133183E-4</v>
      </c>
      <c r="M17" s="63"/>
      <c r="N17" s="13"/>
    </row>
    <row r="18" spans="1:14" ht="15.6" x14ac:dyDescent="0.3">
      <c r="A18" s="13"/>
      <c r="B18" s="13"/>
      <c r="C18" s="13"/>
      <c r="D18" s="73">
        <v>10</v>
      </c>
      <c r="E18" s="74">
        <f t="shared" si="0"/>
        <v>1.6717661617194056E-4</v>
      </c>
      <c r="F18" s="75">
        <v>1.8405566856007132E-4</v>
      </c>
      <c r="G18" s="75">
        <v>98531.742143548283</v>
      </c>
      <c r="H18" s="75">
        <v>18.135325674619335</v>
      </c>
      <c r="I18" s="75">
        <v>70.786034939131781</v>
      </c>
      <c r="J18" s="77">
        <v>0.16717661617194057</v>
      </c>
      <c r="K18" s="63"/>
      <c r="L18" s="62">
        <f t="shared" si="1"/>
        <v>3.0947661617194055E-4</v>
      </c>
      <c r="M18" s="63"/>
      <c r="N18" s="13"/>
    </row>
    <row r="19" spans="1:14" ht="15.6" x14ac:dyDescent="0.3">
      <c r="A19" s="13"/>
      <c r="B19" s="13"/>
      <c r="C19" s="13"/>
      <c r="D19" s="73">
        <v>11</v>
      </c>
      <c r="E19" s="74">
        <f t="shared" si="0"/>
        <v>1.7809065167902793E-4</v>
      </c>
      <c r="F19" s="75">
        <v>1.9526205780664017E-4</v>
      </c>
      <c r="G19" s="75">
        <v>98513.60681787366</v>
      </c>
      <c r="H19" s="75">
        <v>19.235969589212267</v>
      </c>
      <c r="I19" s="75">
        <v>69.798973863765369</v>
      </c>
      <c r="J19" s="77">
        <v>0.17809065167902793</v>
      </c>
      <c r="K19" s="63"/>
      <c r="L19" s="62">
        <f t="shared" si="1"/>
        <v>3.2039065167902795E-4</v>
      </c>
      <c r="M19" s="63"/>
      <c r="N19" s="13"/>
    </row>
    <row r="20" spans="1:14" ht="15.6" x14ac:dyDescent="0.3">
      <c r="A20" s="13"/>
      <c r="B20" s="13"/>
      <c r="C20" s="13"/>
      <c r="D20" s="73">
        <v>12</v>
      </c>
      <c r="E20" s="74">
        <f t="shared" si="0"/>
        <v>2.1159295258192586E-4</v>
      </c>
      <c r="F20" s="75">
        <v>2.3003793135799628E-4</v>
      </c>
      <c r="G20" s="75">
        <v>98494.370848284452</v>
      </c>
      <c r="H20" s="75">
        <v>22.657441320346688</v>
      </c>
      <c r="I20" s="75">
        <v>68.812507966702682</v>
      </c>
      <c r="J20" s="77">
        <v>0.21159295258192587</v>
      </c>
      <c r="K20" s="63"/>
      <c r="L20" s="62">
        <f t="shared" si="1"/>
        <v>3.5389295258192585E-4</v>
      </c>
      <c r="M20" s="63"/>
      <c r="N20" s="13"/>
    </row>
    <row r="21" spans="1:14" ht="15.6" x14ac:dyDescent="0.3">
      <c r="A21" s="13"/>
      <c r="B21" s="13"/>
      <c r="C21" s="13"/>
      <c r="D21" s="73">
        <v>13</v>
      </c>
      <c r="E21" s="74">
        <f t="shared" si="0"/>
        <v>2.5285686113794446E-4</v>
      </c>
      <c r="F21" s="75">
        <v>2.7405807516113338E-4</v>
      </c>
      <c r="G21" s="75">
        <v>98471.713406964103</v>
      </c>
      <c r="H21" s="75">
        <v>26.986968234131353</v>
      </c>
      <c r="I21" s="75">
        <v>67.828226050476701</v>
      </c>
      <c r="J21" s="77">
        <v>0.25285686113794448</v>
      </c>
      <c r="K21" s="63"/>
      <c r="L21" s="62">
        <f t="shared" si="1"/>
        <v>3.951568611379445E-4</v>
      </c>
      <c r="M21" s="63"/>
      <c r="N21" s="13"/>
    </row>
    <row r="22" spans="1:14" ht="15.6" x14ac:dyDescent="0.3">
      <c r="A22" s="13"/>
      <c r="B22" s="13"/>
      <c r="C22" s="13"/>
      <c r="D22" s="73">
        <v>14</v>
      </c>
      <c r="E22" s="74">
        <f t="shared" si="0"/>
        <v>2.9015678270983831E-4</v>
      </c>
      <c r="F22" s="75">
        <v>3.1642664300634947E-4</v>
      </c>
      <c r="G22" s="75">
        <v>98444.726438729966</v>
      </c>
      <c r="H22" s="75">
        <v>31.150534308685739</v>
      </c>
      <c r="I22" s="75">
        <v>66.846682952775225</v>
      </c>
      <c r="J22" s="77">
        <v>0.2901567827098383</v>
      </c>
      <c r="K22" s="63"/>
      <c r="L22" s="62">
        <f t="shared" si="1"/>
        <v>4.3245678270983836E-4</v>
      </c>
      <c r="M22" s="63"/>
      <c r="N22" s="13"/>
    </row>
    <row r="23" spans="1:14" ht="15.6" x14ac:dyDescent="0.3">
      <c r="A23" s="13"/>
      <c r="B23" s="13"/>
      <c r="C23" s="13"/>
      <c r="D23" s="73">
        <v>15</v>
      </c>
      <c r="E23" s="74">
        <f t="shared" si="0"/>
        <v>3.2987239541930211E-4</v>
      </c>
      <c r="F23" s="75">
        <v>3.5527296741895013E-4</v>
      </c>
      <c r="G23" s="75">
        <v>98413.575904421275</v>
      </c>
      <c r="H23" s="75">
        <v>34.963683145873837</v>
      </c>
      <c r="I23" s="75">
        <v>65.867683456055346</v>
      </c>
      <c r="J23" s="77">
        <v>0.32987239541930213</v>
      </c>
      <c r="K23" s="63"/>
      <c r="L23" s="62">
        <f t="shared" si="1"/>
        <v>4.721723954193021E-4</v>
      </c>
      <c r="M23" s="63"/>
      <c r="N23" s="13"/>
    </row>
    <row r="24" spans="1:14" ht="15.6" x14ac:dyDescent="0.3">
      <c r="A24" s="13"/>
      <c r="B24" s="13"/>
      <c r="C24" s="13"/>
      <c r="D24" s="73">
        <v>16</v>
      </c>
      <c r="E24" s="74">
        <f t="shared" si="0"/>
        <v>3.7589760037399632E-4</v>
      </c>
      <c r="F24" s="75">
        <v>4.0378376736613868E-4</v>
      </c>
      <c r="G24" s="75">
        <v>98378.612221275398</v>
      </c>
      <c r="H24" s="75">
        <v>39.723686670959033</v>
      </c>
      <c r="I24" s="75">
        <v>64.890915080498232</v>
      </c>
      <c r="J24" s="77">
        <v>0.37589760037399633</v>
      </c>
      <c r="K24" s="63"/>
      <c r="L24" s="62">
        <f t="shared" si="1"/>
        <v>5.1819760037399637E-4</v>
      </c>
      <c r="M24" s="63"/>
      <c r="N24" s="13"/>
    </row>
    <row r="25" spans="1:14" ht="15.6" x14ac:dyDescent="0.3">
      <c r="A25" s="13"/>
      <c r="B25" s="13"/>
      <c r="C25" s="13"/>
      <c r="D25" s="73">
        <v>17</v>
      </c>
      <c r="E25" s="74">
        <f t="shared" si="0"/>
        <v>4.1252012092877496E-4</v>
      </c>
      <c r="F25" s="75">
        <v>4.4275821893796326E-4</v>
      </c>
      <c r="G25" s="75">
        <v>98338.888534604441</v>
      </c>
      <c r="H25" s="75">
        <v>43.540351139920361</v>
      </c>
      <c r="I25" s="75">
        <v>63.916925589394864</v>
      </c>
      <c r="J25" s="77">
        <v>0.41252012092877494</v>
      </c>
      <c r="K25" s="63"/>
      <c r="L25" s="62">
        <f t="shared" si="1"/>
        <v>5.5482012092877495E-4</v>
      </c>
      <c r="M25" s="63"/>
      <c r="N25" s="13"/>
    </row>
    <row r="26" spans="1:14" ht="15.6" x14ac:dyDescent="0.3">
      <c r="A26" s="13"/>
      <c r="B26" s="13"/>
      <c r="C26" s="13"/>
      <c r="D26" s="73">
        <v>18</v>
      </c>
      <c r="E26" s="74">
        <f t="shared" si="0"/>
        <v>4.3474134260499271E-4</v>
      </c>
      <c r="F26" s="75">
        <v>4.6703056411339988E-4</v>
      </c>
      <c r="G26" s="75">
        <v>98295.348183464521</v>
      </c>
      <c r="H26" s="75">
        <v>45.906931911846492</v>
      </c>
      <c r="I26" s="75">
        <v>62.945016391853009</v>
      </c>
      <c r="J26" s="77">
        <v>0.4347413426049927</v>
      </c>
      <c r="K26" s="63"/>
      <c r="L26" s="62">
        <f t="shared" si="1"/>
        <v>5.770413426049927E-4</v>
      </c>
      <c r="M26" s="63"/>
      <c r="N26" s="13"/>
    </row>
    <row r="27" spans="1:14" ht="15.6" x14ac:dyDescent="0.3">
      <c r="A27" s="13"/>
      <c r="B27" s="13"/>
      <c r="C27" s="13"/>
      <c r="D27" s="73">
        <v>19</v>
      </c>
      <c r="E27" s="74">
        <f t="shared" si="0"/>
        <v>4.4656474308048748E-4</v>
      </c>
      <c r="F27" s="75">
        <v>4.8068791558312493E-4</v>
      </c>
      <c r="G27" s="75">
        <v>98249.441251552678</v>
      </c>
      <c r="H27" s="75">
        <v>47.227319122415544</v>
      </c>
      <c r="I27" s="75">
        <v>61.974193749802502</v>
      </c>
      <c r="J27" s="77">
        <v>0.44656474308048749</v>
      </c>
      <c r="K27" s="63"/>
      <c r="L27" s="62">
        <f t="shared" si="1"/>
        <v>5.8886474308048747E-4</v>
      </c>
      <c r="M27" s="63"/>
      <c r="N27" s="13"/>
    </row>
    <row r="28" spans="1:14" ht="15.6" x14ac:dyDescent="0.3">
      <c r="A28" s="13"/>
      <c r="B28" s="13"/>
      <c r="C28" s="13"/>
      <c r="D28" s="73">
        <v>20</v>
      </c>
      <c r="E28" s="74">
        <f t="shared" si="0"/>
        <v>4.5708147650219433E-4</v>
      </c>
      <c r="F28" s="75">
        <v>4.93066033226769E-4</v>
      </c>
      <c r="G28" s="75">
        <v>98202.21393243027</v>
      </c>
      <c r="H28" s="75">
        <v>48.420176077749943</v>
      </c>
      <c r="I28" s="75">
        <v>61.003757862970183</v>
      </c>
      <c r="J28" s="77">
        <v>0.45708147650219433</v>
      </c>
      <c r="K28" s="63"/>
      <c r="L28" s="62">
        <f t="shared" si="1"/>
        <v>5.9938147650219432E-4</v>
      </c>
      <c r="M28" s="63"/>
      <c r="N28" s="13"/>
    </row>
    <row r="29" spans="1:14" ht="15.6" x14ac:dyDescent="0.3">
      <c r="A29" s="13"/>
      <c r="B29" s="13"/>
      <c r="C29" s="13"/>
      <c r="D29" s="73">
        <v>21</v>
      </c>
      <c r="E29" s="74">
        <f t="shared" si="0"/>
        <v>4.715784917349704E-4</v>
      </c>
      <c r="F29" s="75">
        <v>5.0955908922291284E-4</v>
      </c>
      <c r="G29" s="75">
        <v>98153.793756352519</v>
      </c>
      <c r="H29" s="75">
        <v>50.01515775026062</v>
      </c>
      <c r="I29" s="75">
        <v>60.033604927428662</v>
      </c>
      <c r="J29" s="77">
        <v>0.47157849173497041</v>
      </c>
      <c r="K29" s="63"/>
      <c r="L29" s="62">
        <f t="shared" si="1"/>
        <v>6.1387849173497044E-4</v>
      </c>
      <c r="M29" s="63"/>
      <c r="N29" s="13"/>
    </row>
    <row r="30" spans="1:14" ht="15.6" x14ac:dyDescent="0.3">
      <c r="A30" s="13"/>
      <c r="B30" s="13"/>
      <c r="C30" s="13"/>
      <c r="D30" s="73">
        <v>22</v>
      </c>
      <c r="E30" s="74">
        <f t="shared" si="0"/>
        <v>4.8740526146671216E-4</v>
      </c>
      <c r="F30" s="75">
        <v>5.2738299375682798E-4</v>
      </c>
      <c r="G30" s="75">
        <v>98103.778598602265</v>
      </c>
      <c r="H30" s="75">
        <v>51.738264456187892</v>
      </c>
      <c r="I30" s="75">
        <v>59.063956282742602</v>
      </c>
      <c r="J30" s="77">
        <v>0.48740526146671215</v>
      </c>
      <c r="K30" s="63"/>
      <c r="L30" s="62">
        <f t="shared" si="1"/>
        <v>6.2970526146671215E-4</v>
      </c>
      <c r="M30" s="63"/>
      <c r="N30" s="13"/>
    </row>
    <row r="31" spans="1:14" ht="15.6" x14ac:dyDescent="0.3">
      <c r="A31" s="13"/>
      <c r="B31" s="13"/>
      <c r="C31" s="13"/>
      <c r="D31" s="73">
        <v>23</v>
      </c>
      <c r="E31" s="74">
        <f t="shared" si="0"/>
        <v>5.059625218805687E-4</v>
      </c>
      <c r="F31" s="75">
        <v>5.4793970909114528E-4</v>
      </c>
      <c r="G31" s="75">
        <v>98052.040334146077</v>
      </c>
      <c r="H31" s="75">
        <v>53.726606456485243</v>
      </c>
      <c r="I31" s="75">
        <v>58.094858214486521</v>
      </c>
      <c r="J31" s="77">
        <v>0.50596252188056867</v>
      </c>
      <c r="K31" s="63"/>
      <c r="L31" s="62">
        <f t="shared" si="1"/>
        <v>6.4826252188056874E-4</v>
      </c>
      <c r="M31" s="63"/>
      <c r="N31" s="13"/>
    </row>
    <row r="32" spans="1:14" ht="15.6" x14ac:dyDescent="0.3">
      <c r="A32" s="13"/>
      <c r="B32" s="13"/>
      <c r="C32" s="13"/>
      <c r="D32" s="73">
        <v>24</v>
      </c>
      <c r="E32" s="74">
        <f t="shared" si="0"/>
        <v>5.2737178004846213E-4</v>
      </c>
      <c r="F32" s="75">
        <v>5.7134968754874794E-4</v>
      </c>
      <c r="G32" s="75">
        <v>97998.313727689587</v>
      </c>
      <c r="H32" s="75">
        <v>55.991305928619624</v>
      </c>
      <c r="I32" s="75">
        <v>57.126434025982675</v>
      </c>
      <c r="J32" s="77">
        <v>0.52737178004846208</v>
      </c>
      <c r="K32" s="63"/>
      <c r="L32" s="62">
        <f t="shared" si="1"/>
        <v>6.6967178004846218E-4</v>
      </c>
      <c r="M32" s="63"/>
      <c r="N32" s="13"/>
    </row>
    <row r="33" spans="1:14" ht="15.6" x14ac:dyDescent="0.3">
      <c r="A33" s="13"/>
      <c r="B33" s="13"/>
      <c r="C33" s="13"/>
      <c r="D33" s="73">
        <v>25</v>
      </c>
      <c r="E33" s="74">
        <f t="shared" si="0"/>
        <v>5.4997325063105707E-4</v>
      </c>
      <c r="F33" s="75">
        <v>5.9608264196347094E-4</v>
      </c>
      <c r="G33" s="75">
        <v>97942.322421760968</v>
      </c>
      <c r="H33" s="75">
        <v>58.381718309201375</v>
      </c>
      <c r="I33" s="75">
        <v>56.158806017097426</v>
      </c>
      <c r="J33" s="77">
        <v>0.54997325063105706</v>
      </c>
      <c r="K33" s="63"/>
      <c r="L33" s="62">
        <f t="shared" si="1"/>
        <v>6.9227325063105712E-4</v>
      </c>
      <c r="M33" s="63"/>
      <c r="N33" s="13"/>
    </row>
    <row r="34" spans="1:14" ht="15.6" x14ac:dyDescent="0.3">
      <c r="A34" s="13"/>
      <c r="B34" s="13"/>
      <c r="C34" s="13"/>
      <c r="D34" s="73">
        <v>26</v>
      </c>
      <c r="E34" s="74">
        <f t="shared" si="0"/>
        <v>5.7453103008658869E-4</v>
      </c>
      <c r="F34" s="75">
        <v>6.2279870220699224E-4</v>
      </c>
      <c r="G34" s="75">
        <v>97883.940703451764</v>
      </c>
      <c r="H34" s="75">
        <v>60.961991237015944</v>
      </c>
      <c r="I34" s="75">
        <v>55.192003053413742</v>
      </c>
      <c r="J34" s="77">
        <v>0.57453103008658868</v>
      </c>
      <c r="K34" s="63"/>
      <c r="L34" s="62">
        <f t="shared" si="1"/>
        <v>7.1683103008658873E-4</v>
      </c>
      <c r="M34" s="63"/>
      <c r="N34" s="13"/>
    </row>
    <row r="35" spans="1:14" ht="15.6" x14ac:dyDescent="0.3">
      <c r="A35" s="13"/>
      <c r="B35" s="13"/>
      <c r="C35" s="13"/>
      <c r="D35" s="73">
        <v>27</v>
      </c>
      <c r="E35" s="74">
        <f t="shared" si="0"/>
        <v>6.0404268750942922E-4</v>
      </c>
      <c r="F35" s="75">
        <v>6.5425691486330456E-4</v>
      </c>
      <c r="G35" s="75">
        <v>97822.978712214754</v>
      </c>
      <c r="H35" s="75">
        <v>64.001360254992349</v>
      </c>
      <c r="I35" s="75">
        <v>54.226086388993679</v>
      </c>
      <c r="J35" s="77">
        <v>0.60404268750942924</v>
      </c>
      <c r="K35" s="63"/>
      <c r="L35" s="62">
        <f t="shared" si="1"/>
        <v>7.4634268750942926E-4</v>
      </c>
      <c r="M35" s="63"/>
      <c r="N35" s="13"/>
    </row>
    <row r="36" spans="1:14" ht="15.6" x14ac:dyDescent="0.3">
      <c r="A36" s="13"/>
      <c r="B36" s="13"/>
      <c r="C36" s="13"/>
      <c r="D36" s="73">
        <v>28</v>
      </c>
      <c r="E36" s="74">
        <f t="shared" si="0"/>
        <v>6.3968059118171122E-4</v>
      </c>
      <c r="F36" s="75">
        <v>6.9154639217735051E-4</v>
      </c>
      <c r="G36" s="75">
        <v>97758.977351959766</v>
      </c>
      <c r="H36" s="75">
        <v>67.604868090695092</v>
      </c>
      <c r="I36" s="75">
        <v>53.261260065143063</v>
      </c>
      <c r="J36" s="77">
        <v>0.63968059118171128</v>
      </c>
      <c r="K36" s="63"/>
      <c r="L36" s="62">
        <f t="shared" si="1"/>
        <v>7.8198059118171127E-4</v>
      </c>
      <c r="M36" s="63"/>
      <c r="N36" s="13"/>
    </row>
    <row r="37" spans="1:14" ht="15.6" x14ac:dyDescent="0.3">
      <c r="A37" s="13"/>
      <c r="B37" s="13"/>
      <c r="C37" s="13"/>
      <c r="D37" s="73">
        <v>29</v>
      </c>
      <c r="E37" s="74">
        <f t="shared" si="0"/>
        <v>6.8083934146229391E-4</v>
      </c>
      <c r="F37" s="75">
        <v>7.342235738879324E-4</v>
      </c>
      <c r="G37" s="75">
        <v>97691.372483869069</v>
      </c>
      <c r="H37" s="75">
        <v>71.727308643123564</v>
      </c>
      <c r="I37" s="75">
        <v>52.297772174005004</v>
      </c>
      <c r="J37" s="77">
        <v>0.68083934146229386</v>
      </c>
      <c r="K37" s="63"/>
      <c r="L37" s="62">
        <f t="shared" si="1"/>
        <v>8.2313934146229395E-4</v>
      </c>
      <c r="M37" s="63"/>
      <c r="N37" s="13"/>
    </row>
    <row r="38" spans="1:14" ht="15.6" x14ac:dyDescent="0.3">
      <c r="A38" s="13"/>
      <c r="B38" s="13"/>
      <c r="C38" s="13"/>
      <c r="D38" s="73">
        <v>30</v>
      </c>
      <c r="E38" s="74">
        <f t="shared" si="0"/>
        <v>7.2800789172892337E-4</v>
      </c>
      <c r="F38" s="75">
        <v>7.8282281022294101E-4</v>
      </c>
      <c r="G38" s="75">
        <v>97619.645175225945</v>
      </c>
      <c r="H38" s="75">
        <v>76.418884969036739</v>
      </c>
      <c r="I38" s="75">
        <v>51.335831263290594</v>
      </c>
      <c r="J38" s="77">
        <v>0.72800789172892333</v>
      </c>
      <c r="K38" s="63"/>
      <c r="L38" s="62">
        <f t="shared" si="1"/>
        <v>8.7030789172892341E-4</v>
      </c>
      <c r="M38" s="63"/>
      <c r="N38" s="13"/>
    </row>
    <row r="39" spans="1:14" ht="15.6" x14ac:dyDescent="0.3">
      <c r="A39" s="13"/>
      <c r="B39" s="13"/>
      <c r="C39" s="13"/>
      <c r="D39" s="73">
        <v>31</v>
      </c>
      <c r="E39" s="74">
        <f t="shared" si="0"/>
        <v>7.7870094236868136E-4</v>
      </c>
      <c r="F39" s="75">
        <v>8.3525403566221581E-4</v>
      </c>
      <c r="G39" s="75">
        <v>97543.226290256905</v>
      </c>
      <c r="H39" s="75">
        <v>81.473373410449824</v>
      </c>
      <c r="I39" s="75">
        <v>50.375657888771016</v>
      </c>
      <c r="J39" s="77">
        <v>0.77870094236868137</v>
      </c>
      <c r="K39" s="63"/>
      <c r="L39" s="62">
        <f t="shared" si="1"/>
        <v>9.2100094236868141E-4</v>
      </c>
      <c r="M39" s="63"/>
      <c r="N39" s="13"/>
    </row>
    <row r="40" spans="1:14" ht="15.6" x14ac:dyDescent="0.3">
      <c r="A40" s="13"/>
      <c r="B40" s="13"/>
      <c r="C40" s="13"/>
      <c r="D40" s="73">
        <v>32</v>
      </c>
      <c r="E40" s="74">
        <f t="shared" si="0"/>
        <v>8.2981922814218524E-4</v>
      </c>
      <c r="F40" s="75">
        <v>8.8886279035477298E-4</v>
      </c>
      <c r="G40" s="75">
        <v>97461.752916846453</v>
      </c>
      <c r="H40" s="75">
        <v>86.630125650535575</v>
      </c>
      <c r="I40" s="75">
        <v>49.417351558109495</v>
      </c>
      <c r="J40" s="77">
        <v>0.82981922814218523</v>
      </c>
      <c r="K40" s="63"/>
      <c r="L40" s="62">
        <f t="shared" si="1"/>
        <v>9.7211922814218529E-4</v>
      </c>
      <c r="M40" s="63"/>
      <c r="N40" s="13"/>
    </row>
    <row r="41" spans="1:14" ht="15.6" x14ac:dyDescent="0.3">
      <c r="A41" s="13"/>
      <c r="B41" s="13"/>
      <c r="C41" s="13"/>
      <c r="D41" s="73">
        <v>33</v>
      </c>
      <c r="E41" s="74">
        <f t="shared" si="0"/>
        <v>8.7994288588288136E-4</v>
      </c>
      <c r="F41" s="75">
        <v>9.4248305330506168E-4</v>
      </c>
      <c r="G41" s="75">
        <v>97375.122791195914</v>
      </c>
      <c r="H41" s="75">
        <v>91.77440304420162</v>
      </c>
      <c r="I41" s="75">
        <v>48.460871054573268</v>
      </c>
      <c r="J41" s="77">
        <v>0.87994288588288139</v>
      </c>
      <c r="K41" s="63"/>
      <c r="L41" s="62">
        <f t="shared" si="1"/>
        <v>1.0222428858828814E-3</v>
      </c>
      <c r="M41" s="63"/>
      <c r="N41" s="13"/>
    </row>
    <row r="42" spans="1:14" ht="15.6" x14ac:dyDescent="0.3">
      <c r="A42" s="13"/>
      <c r="B42" s="13"/>
      <c r="C42" s="13"/>
      <c r="D42" s="73">
        <v>34</v>
      </c>
      <c r="E42" s="74">
        <f t="shared" si="0"/>
        <v>9.3180027320038754E-4</v>
      </c>
      <c r="F42" s="75">
        <v>9.9859045630233461E-4</v>
      </c>
      <c r="G42" s="75">
        <v>97283.348388151717</v>
      </c>
      <c r="H42" s="75">
        <v>97.146223257543411</v>
      </c>
      <c r="I42" s="75">
        <v>47.506116005363317</v>
      </c>
      <c r="J42" s="77">
        <v>0.9318002732003875</v>
      </c>
      <c r="K42" s="63"/>
      <c r="L42" s="62">
        <f t="shared" si="1"/>
        <v>1.0741002732003876E-3</v>
      </c>
      <c r="M42" s="63"/>
      <c r="N42" s="13"/>
    </row>
    <row r="43" spans="1:14" ht="15.6" x14ac:dyDescent="0.3">
      <c r="A43" s="13"/>
      <c r="B43" s="13"/>
      <c r="C43" s="13"/>
      <c r="D43" s="73">
        <v>35</v>
      </c>
      <c r="E43" s="74">
        <f t="shared" si="0"/>
        <v>9.8984581448752348E-4</v>
      </c>
      <c r="F43" s="75">
        <v>1.0615845052225766E-3</v>
      </c>
      <c r="G43" s="75">
        <v>97186.202164894174</v>
      </c>
      <c r="H43" s="75">
        <v>103.17136633968049</v>
      </c>
      <c r="I43" s="75">
        <v>46.553102784743579</v>
      </c>
      <c r="J43" s="77">
        <v>0.98984581448752351</v>
      </c>
      <c r="K43" s="63"/>
      <c r="L43" s="62">
        <f t="shared" si="1"/>
        <v>1.1321458144875234E-3</v>
      </c>
      <c r="M43" s="63"/>
      <c r="N43" s="13"/>
    </row>
    <row r="44" spans="1:14" ht="15.6" x14ac:dyDescent="0.3">
      <c r="A44" s="13"/>
      <c r="B44" s="13"/>
      <c r="C44" s="13"/>
      <c r="D44" s="73">
        <v>36</v>
      </c>
      <c r="E44" s="74">
        <f t="shared" si="0"/>
        <v>1.0579123341668856E-3</v>
      </c>
      <c r="F44" s="75">
        <v>1.1345992961935406E-3</v>
      </c>
      <c r="G44" s="75">
        <v>97083.030798554493</v>
      </c>
      <c r="H44" s="75">
        <v>110.15033841637576</v>
      </c>
      <c r="I44" s="75">
        <v>45.602044000313398</v>
      </c>
      <c r="J44" s="77">
        <v>1.0579123341668857</v>
      </c>
      <c r="K44" s="63"/>
      <c r="L44" s="62">
        <f t="shared" si="1"/>
        <v>1.2002123341668855E-3</v>
      </c>
      <c r="M44" s="63"/>
      <c r="N44" s="13"/>
    </row>
    <row r="45" spans="1:14" ht="15.6" x14ac:dyDescent="0.3">
      <c r="A45" s="13"/>
      <c r="B45" s="13"/>
      <c r="C45" s="13"/>
      <c r="D45" s="73">
        <v>37</v>
      </c>
      <c r="E45" s="74">
        <f t="shared" si="0"/>
        <v>1.1368413236865587E-3</v>
      </c>
      <c r="F45" s="75">
        <v>1.2177207648230691E-3</v>
      </c>
      <c r="G45" s="75">
        <v>96972.880460138113</v>
      </c>
      <c r="H45" s="75">
        <v>118.08589016101543</v>
      </c>
      <c r="I45" s="75">
        <v>44.653274874206517</v>
      </c>
      <c r="J45" s="77">
        <v>1.1368413236865587</v>
      </c>
      <c r="K45" s="63"/>
      <c r="L45" s="62">
        <f t="shared" si="1"/>
        <v>1.2791413236865586E-3</v>
      </c>
      <c r="M45" s="63"/>
      <c r="N45" s="13"/>
    </row>
    <row r="46" spans="1:14" ht="15.6" x14ac:dyDescent="0.3">
      <c r="A46" s="13"/>
      <c r="B46" s="13"/>
      <c r="C46" s="13"/>
      <c r="D46" s="73">
        <v>38</v>
      </c>
      <c r="E46" s="74">
        <f t="shared" si="0"/>
        <v>1.2286120318070679E-3</v>
      </c>
      <c r="F46" s="75">
        <v>1.3125154496704701E-3</v>
      </c>
      <c r="G46" s="75">
        <v>96854.794569977093</v>
      </c>
      <c r="H46" s="75">
        <v>127.1234142477545</v>
      </c>
      <c r="I46" s="75">
        <v>43.707106786092687</v>
      </c>
      <c r="J46" s="77">
        <v>1.2286120318070679</v>
      </c>
      <c r="K46" s="63"/>
      <c r="L46" s="62">
        <f t="shared" si="1"/>
        <v>1.3709120318070678E-3</v>
      </c>
      <c r="M46" s="63"/>
      <c r="N46" s="13"/>
    </row>
    <row r="47" spans="1:14" ht="15.6" x14ac:dyDescent="0.3">
      <c r="A47" s="13"/>
      <c r="B47" s="13"/>
      <c r="C47" s="13"/>
      <c r="D47" s="73">
        <v>39</v>
      </c>
      <c r="E47" s="74">
        <f t="shared" si="0"/>
        <v>1.3334622245670241E-3</v>
      </c>
      <c r="F47" s="75">
        <v>1.4197783757068201E-3</v>
      </c>
      <c r="G47" s="75">
        <v>96727.671155729346</v>
      </c>
      <c r="H47" s="75">
        <v>137.33185583938484</v>
      </c>
      <c r="I47" s="75">
        <v>42.763891311852355</v>
      </c>
      <c r="J47" s="77">
        <v>1.3334622245670242</v>
      </c>
      <c r="K47" s="63"/>
      <c r="L47" s="62">
        <f t="shared" si="1"/>
        <v>1.4757622245670241E-3</v>
      </c>
      <c r="M47" s="63"/>
      <c r="N47" s="13"/>
    </row>
    <row r="48" spans="1:14" ht="15.6" x14ac:dyDescent="0.3">
      <c r="A48" s="13"/>
      <c r="B48" s="13"/>
      <c r="C48" s="13"/>
      <c r="D48" s="73">
        <v>40</v>
      </c>
      <c r="E48" s="74">
        <f t="shared" si="0"/>
        <v>1.4480499524677749E-3</v>
      </c>
      <c r="F48" s="75">
        <v>1.5367901185060668E-3</v>
      </c>
      <c r="G48" s="75">
        <v>96590.339299889965</v>
      </c>
      <c r="H48" s="75">
        <v>148.43907897921912</v>
      </c>
      <c r="I48" s="75">
        <v>41.823981986250232</v>
      </c>
      <c r="J48" s="79">
        <v>1.4480499524677748</v>
      </c>
      <c r="K48" s="63"/>
      <c r="L48" s="62">
        <f t="shared" si="1"/>
        <v>1.5903499524677748E-3</v>
      </c>
      <c r="M48" s="63"/>
      <c r="N48" s="13"/>
    </row>
    <row r="49" spans="1:14" ht="15.6" x14ac:dyDescent="0.3">
      <c r="A49" s="13"/>
      <c r="B49" s="13"/>
      <c r="C49" s="13"/>
      <c r="D49" s="73">
        <v>41</v>
      </c>
      <c r="E49" s="74">
        <f t="shared" si="0"/>
        <v>1.5743982110635445E-3</v>
      </c>
      <c r="F49" s="75">
        <v>1.6666526074640413E-3</v>
      </c>
      <c r="G49" s="75">
        <v>96441.900220910742</v>
      </c>
      <c r="H49" s="75">
        <v>160.7351444719678</v>
      </c>
      <c r="I49" s="75">
        <v>40.88758601947378</v>
      </c>
      <c r="J49" s="77">
        <v>1.5743982110635446</v>
      </c>
      <c r="K49" s="63"/>
      <c r="L49" s="62">
        <f t="shared" si="1"/>
        <v>1.7166982110635445E-3</v>
      </c>
      <c r="M49" s="63"/>
      <c r="N49" s="13"/>
    </row>
    <row r="50" spans="1:14" ht="15.6" x14ac:dyDescent="0.3">
      <c r="A50" s="13"/>
      <c r="B50" s="13"/>
      <c r="C50" s="13"/>
      <c r="D50" s="73">
        <v>42</v>
      </c>
      <c r="E50" s="74">
        <f t="shared" si="0"/>
        <v>1.7188191550294625E-3</v>
      </c>
      <c r="F50" s="75">
        <v>1.8164142265157356E-3</v>
      </c>
      <c r="G50" s="75">
        <v>96281.165076438774</v>
      </c>
      <c r="H50" s="75">
        <v>174.8864779903534</v>
      </c>
      <c r="I50" s="75">
        <v>39.955010468155521</v>
      </c>
      <c r="J50" s="77">
        <v>1.7188191550294625</v>
      </c>
      <c r="K50" s="63"/>
      <c r="L50" s="62">
        <f t="shared" si="1"/>
        <v>1.8611191550294624E-3</v>
      </c>
      <c r="M50" s="63"/>
      <c r="N50" s="13"/>
    </row>
    <row r="51" spans="1:14" ht="15.6" x14ac:dyDescent="0.3">
      <c r="A51" s="13"/>
      <c r="B51" s="13"/>
      <c r="C51" s="13"/>
      <c r="D51" s="73">
        <v>43</v>
      </c>
      <c r="E51" s="74">
        <f t="shared" si="0"/>
        <v>1.8838034256705579E-3</v>
      </c>
      <c r="F51" s="75">
        <v>1.9891724963467601E-3</v>
      </c>
      <c r="G51" s="75">
        <v>96106.278598448422</v>
      </c>
      <c r="H51" s="75">
        <v>191.17196611427286</v>
      </c>
      <c r="I51" s="75">
        <v>39.026807523670264</v>
      </c>
      <c r="J51" s="77">
        <v>1.8838034256705578</v>
      </c>
      <c r="K51" s="63"/>
      <c r="L51" s="62">
        <f t="shared" si="1"/>
        <v>2.0261034256705578E-3</v>
      </c>
      <c r="M51" s="63"/>
      <c r="N51" s="13"/>
    </row>
    <row r="52" spans="1:14" ht="15.6" x14ac:dyDescent="0.3">
      <c r="A52" s="13"/>
      <c r="B52" s="13"/>
      <c r="C52" s="13"/>
      <c r="D52" s="73">
        <v>44</v>
      </c>
      <c r="E52" s="74">
        <f t="shared" si="0"/>
        <v>2.067298761503333E-3</v>
      </c>
      <c r="F52" s="75">
        <v>2.1824452427624957E-3</v>
      </c>
      <c r="G52" s="75">
        <v>95915.106632334151</v>
      </c>
      <c r="H52" s="75">
        <v>209.32946817879517</v>
      </c>
      <c r="I52" s="75">
        <v>38.103596736558686</v>
      </c>
      <c r="J52" s="77">
        <v>2.0672987615033329</v>
      </c>
      <c r="K52" s="63"/>
      <c r="L52" s="62">
        <f t="shared" si="1"/>
        <v>2.2095987615033332E-3</v>
      </c>
      <c r="M52" s="63"/>
      <c r="N52" s="13"/>
    </row>
    <row r="53" spans="1:14" ht="15.6" x14ac:dyDescent="0.3">
      <c r="A53" s="13"/>
      <c r="B53" s="13"/>
      <c r="C53" s="13"/>
      <c r="D53" s="73">
        <v>45</v>
      </c>
      <c r="E53" s="74">
        <f t="shared" si="0"/>
        <v>2.2680996693704618E-3</v>
      </c>
      <c r="F53" s="75">
        <v>2.3941540894845429E-3</v>
      </c>
      <c r="G53" s="75">
        <v>95705.777164155355</v>
      </c>
      <c r="H53" s="75">
        <v>229.13437778485894</v>
      </c>
      <c r="I53" s="75">
        <v>37.185844027576159</v>
      </c>
      <c r="J53" s="77">
        <v>2.268099669370462</v>
      </c>
      <c r="K53" s="63"/>
      <c r="L53" s="62">
        <f t="shared" si="1"/>
        <v>2.410399669370462E-3</v>
      </c>
      <c r="M53" s="63"/>
      <c r="N53" s="13"/>
    </row>
    <row r="54" spans="1:14" ht="15.6" x14ac:dyDescent="0.3">
      <c r="A54" s="13"/>
      <c r="B54" s="13"/>
      <c r="C54" s="13"/>
      <c r="D54" s="73">
        <v>46</v>
      </c>
      <c r="E54" s="74">
        <f t="shared" si="0"/>
        <v>2.4808670286560583E-3</v>
      </c>
      <c r="F54" s="75">
        <v>2.6182609707982589E-3</v>
      </c>
      <c r="G54" s="75">
        <v>95476.642786370503</v>
      </c>
      <c r="H54" s="75">
        <v>249.98276743040103</v>
      </c>
      <c r="I54" s="75">
        <v>36.273886378034362</v>
      </c>
      <c r="J54" s="77">
        <v>2.4808670286560583</v>
      </c>
      <c r="K54" s="63"/>
      <c r="L54" s="62">
        <f t="shared" si="1"/>
        <v>2.6231670286560585E-3</v>
      </c>
      <c r="M54" s="63"/>
      <c r="N54" s="13"/>
    </row>
    <row r="55" spans="1:14" ht="15.6" x14ac:dyDescent="0.3">
      <c r="A55" s="13"/>
      <c r="B55" s="13"/>
      <c r="C55" s="13"/>
      <c r="D55" s="73">
        <v>47</v>
      </c>
      <c r="E55" s="74">
        <f t="shared" si="0"/>
        <v>2.7007276391968903E-3</v>
      </c>
      <c r="F55" s="75">
        <v>2.8499591343889761E-3</v>
      </c>
      <c r="G55" s="75">
        <v>95226.660018940107</v>
      </c>
      <c r="H55" s="75">
        <v>271.39208955833186</v>
      </c>
      <c r="I55" s="75">
        <v>35.367797632684507</v>
      </c>
      <c r="J55" s="77">
        <v>2.7007276391968902</v>
      </c>
      <c r="K55" s="63"/>
      <c r="L55" s="62">
        <f t="shared" si="1"/>
        <v>2.8430276391968904E-3</v>
      </c>
      <c r="M55" s="63"/>
      <c r="N55" s="13"/>
    </row>
    <row r="56" spans="1:14" ht="15.6" x14ac:dyDescent="0.3">
      <c r="A56" s="13"/>
      <c r="B56" s="13"/>
      <c r="C56" s="13"/>
      <c r="D56" s="73">
        <v>48</v>
      </c>
      <c r="E56" s="74">
        <f t="shared" si="0"/>
        <v>2.9247749256348663E-3</v>
      </c>
      <c r="F56" s="75">
        <v>3.0861110976734877E-3</v>
      </c>
      <c r="G56" s="75">
        <v>94955.267929381778</v>
      </c>
      <c r="H56" s="75">
        <v>293.04250613942452</v>
      </c>
      <c r="I56" s="75">
        <v>34.467453446039364</v>
      </c>
      <c r="J56" s="77">
        <v>2.9247749256348663</v>
      </c>
      <c r="K56" s="63"/>
      <c r="L56" s="62">
        <f t="shared" si="1"/>
        <v>3.0670749256348664E-3</v>
      </c>
      <c r="M56" s="63"/>
      <c r="N56" s="13"/>
    </row>
    <row r="57" spans="1:14" ht="15.6" x14ac:dyDescent="0.3">
      <c r="A57" s="13"/>
      <c r="B57" s="13"/>
      <c r="C57" s="13"/>
      <c r="D57" s="73">
        <v>49</v>
      </c>
      <c r="E57" s="74">
        <f t="shared" si="0"/>
        <v>3.1571462194117847E-3</v>
      </c>
      <c r="F57" s="75">
        <v>3.3310531535648913E-3</v>
      </c>
      <c r="G57" s="75">
        <v>94662.225423242358</v>
      </c>
      <c r="H57" s="75">
        <v>315.3249045195621</v>
      </c>
      <c r="I57" s="75">
        <v>33.572605291355664</v>
      </c>
      <c r="J57" s="77">
        <v>3.1571462194117847</v>
      </c>
      <c r="K57" s="63"/>
      <c r="L57" s="62">
        <f t="shared" si="1"/>
        <v>3.2994462194117849E-3</v>
      </c>
      <c r="M57" s="63"/>
      <c r="N57" s="13"/>
    </row>
    <row r="58" spans="1:14" ht="15.6" x14ac:dyDescent="0.3">
      <c r="A58" s="13"/>
      <c r="B58" s="13"/>
      <c r="C58" s="13"/>
      <c r="D58" s="73">
        <v>50</v>
      </c>
      <c r="E58" s="74">
        <f t="shared" si="0"/>
        <v>3.4085483017893539E-3</v>
      </c>
      <c r="F58" s="75">
        <v>3.5958798201348222E-3</v>
      </c>
      <c r="G58" s="75">
        <v>94346.900518722803</v>
      </c>
      <c r="H58" s="75">
        <v>339.26011566754289</v>
      </c>
      <c r="I58" s="75">
        <v>32.68314009481368</v>
      </c>
      <c r="J58" s="77">
        <v>3.4085483017893541</v>
      </c>
      <c r="K58" s="63"/>
      <c r="L58" s="62">
        <f t="shared" si="1"/>
        <v>3.550848301789354E-3</v>
      </c>
      <c r="M58" s="63"/>
      <c r="N58" s="13"/>
    </row>
    <row r="59" spans="1:14" ht="15.6" x14ac:dyDescent="0.3">
      <c r="A59" s="13"/>
      <c r="B59" s="13"/>
      <c r="C59" s="13"/>
      <c r="D59" s="73">
        <v>51</v>
      </c>
      <c r="E59" s="74">
        <f t="shared" si="0"/>
        <v>3.6824163307290709E-3</v>
      </c>
      <c r="F59" s="75">
        <v>3.8843620639803481E-3</v>
      </c>
      <c r="G59" s="75">
        <v>94007.640403055266</v>
      </c>
      <c r="H59" s="75">
        <v>365.15971210593409</v>
      </c>
      <c r="I59" s="75">
        <v>31.799284439936034</v>
      </c>
      <c r="J59" s="77">
        <v>3.6824163307290707</v>
      </c>
      <c r="K59" s="63"/>
      <c r="L59" s="62">
        <f t="shared" si="1"/>
        <v>3.824716330729071E-3</v>
      </c>
      <c r="M59" s="63"/>
      <c r="N59" s="13"/>
    </row>
    <row r="60" spans="1:14" ht="15.6" x14ac:dyDescent="0.3">
      <c r="A60" s="13"/>
      <c r="B60" s="13"/>
      <c r="C60" s="13"/>
      <c r="D60" s="73">
        <v>52</v>
      </c>
      <c r="E60" s="74">
        <f t="shared" si="0"/>
        <v>3.9733917526114564E-3</v>
      </c>
      <c r="F60" s="75">
        <v>4.1911684023840413E-3</v>
      </c>
      <c r="G60" s="75">
        <v>93642.480690949335</v>
      </c>
      <c r="H60" s="75">
        <v>392.47140619276456</v>
      </c>
      <c r="I60" s="75">
        <v>30.921336286607303</v>
      </c>
      <c r="J60" s="77">
        <v>3.9733917526114566</v>
      </c>
      <c r="K60" s="63"/>
      <c r="L60" s="62">
        <f t="shared" si="1"/>
        <v>4.1156917526114561E-3</v>
      </c>
      <c r="M60" s="63"/>
      <c r="N60" s="13"/>
    </row>
    <row r="61" spans="1:14" ht="15.6" x14ac:dyDescent="0.3">
      <c r="A61" s="13"/>
      <c r="B61" s="13"/>
      <c r="C61" s="13"/>
      <c r="D61" s="73">
        <v>53</v>
      </c>
      <c r="E61" s="74">
        <f t="shared" si="0"/>
        <v>4.2822804957996039E-3</v>
      </c>
      <c r="F61" s="75">
        <v>4.5172564239976034E-3</v>
      </c>
      <c r="G61" s="75">
        <v>93250.009284756568</v>
      </c>
      <c r="H61" s="75">
        <v>421.23420347940277</v>
      </c>
      <c r="I61" s="75">
        <v>30.049373857029504</v>
      </c>
      <c r="J61" s="77">
        <v>4.2822804957996041</v>
      </c>
      <c r="K61" s="63"/>
      <c r="L61" s="62">
        <f t="shared" si="1"/>
        <v>4.4245804957996036E-3</v>
      </c>
      <c r="M61" s="63"/>
      <c r="N61" s="13"/>
    </row>
    <row r="62" spans="1:14" ht="15.6" x14ac:dyDescent="0.3">
      <c r="A62" s="13"/>
      <c r="B62" s="13"/>
      <c r="C62" s="13"/>
      <c r="D62" s="73">
        <v>54</v>
      </c>
      <c r="E62" s="74">
        <f t="shared" si="0"/>
        <v>4.6136249715134124E-3</v>
      </c>
      <c r="F62" s="75">
        <v>4.8671473926158526E-3</v>
      </c>
      <c r="G62" s="75">
        <v>92828.77508127717</v>
      </c>
      <c r="H62" s="75">
        <v>451.81133059656162</v>
      </c>
      <c r="I62" s="75">
        <v>29.183461664921854</v>
      </c>
      <c r="J62" s="77">
        <v>4.6136249715134126</v>
      </c>
      <c r="K62" s="63"/>
      <c r="L62" s="62">
        <f t="shared" si="1"/>
        <v>4.7559249715134122E-3</v>
      </c>
      <c r="M62" s="63"/>
      <c r="N62" s="13"/>
    </row>
    <row r="63" spans="1:14" ht="15.6" x14ac:dyDescent="0.3">
      <c r="A63" s="13"/>
      <c r="B63" s="13"/>
      <c r="C63" s="13"/>
      <c r="D63" s="73">
        <v>55</v>
      </c>
      <c r="E63" s="74">
        <f t="shared" si="0"/>
        <v>4.9777437085279019E-3</v>
      </c>
      <c r="F63" s="75">
        <v>5.2512875833047729E-3</v>
      </c>
      <c r="G63" s="75">
        <v>92376.963750680603</v>
      </c>
      <c r="H63" s="75">
        <v>485.09800272734412</v>
      </c>
      <c r="I63" s="75">
        <v>28.323751109982215</v>
      </c>
      <c r="J63" s="77">
        <v>4.9777437085279015</v>
      </c>
      <c r="K63" s="63"/>
      <c r="L63" s="62">
        <f t="shared" si="1"/>
        <v>5.1200437085279016E-3</v>
      </c>
      <c r="M63" s="63"/>
      <c r="N63" s="13"/>
    </row>
    <row r="64" spans="1:14" ht="15.6" x14ac:dyDescent="0.3">
      <c r="A64" s="13"/>
      <c r="B64" s="13"/>
      <c r="C64" s="13"/>
      <c r="D64" s="73">
        <v>56</v>
      </c>
      <c r="E64" s="74">
        <f t="shared" si="0"/>
        <v>5.3773820169618217E-3</v>
      </c>
      <c r="F64" s="75">
        <v>5.6722213780355593E-3</v>
      </c>
      <c r="G64" s="75">
        <v>91891.865747953256</v>
      </c>
      <c r="H64" s="75">
        <v>521.23100536311404</v>
      </c>
      <c r="I64" s="75">
        <v>27.470632947476474</v>
      </c>
      <c r="J64" s="77">
        <v>5.3773820169618221</v>
      </c>
      <c r="K64" s="63"/>
      <c r="L64" s="62">
        <f t="shared" si="1"/>
        <v>5.5196820169618214E-3</v>
      </c>
      <c r="M64" s="63"/>
      <c r="N64" s="13"/>
    </row>
    <row r="65" spans="1:14" ht="15.6" x14ac:dyDescent="0.3">
      <c r="A65" s="13"/>
      <c r="B65" s="13"/>
      <c r="C65" s="13"/>
      <c r="D65" s="73">
        <v>57</v>
      </c>
      <c r="E65" s="74">
        <f t="shared" si="0"/>
        <v>5.8084707180694264E-3</v>
      </c>
      <c r="F65" s="75">
        <v>6.1255935042469987E-3</v>
      </c>
      <c r="G65" s="75">
        <v>91370.634742590148</v>
      </c>
      <c r="H65" s="75">
        <v>559.69936665813532</v>
      </c>
      <c r="I65" s="75">
        <v>26.62448905415776</v>
      </c>
      <c r="J65" s="77">
        <v>5.8084707180694268</v>
      </c>
      <c r="K65" s="63"/>
      <c r="L65" s="62">
        <f t="shared" si="1"/>
        <v>5.9507707180694262E-3</v>
      </c>
      <c r="M65" s="63"/>
      <c r="N65" s="13"/>
    </row>
    <row r="66" spans="1:14" ht="15.6" x14ac:dyDescent="0.3">
      <c r="A66" s="13"/>
      <c r="B66" s="13"/>
      <c r="C66" s="13"/>
      <c r="D66" s="73">
        <v>58</v>
      </c>
      <c r="E66" s="74">
        <f t="shared" si="0"/>
        <v>6.2728959862498115E-3</v>
      </c>
      <c r="F66" s="75">
        <v>6.6132098400000505E-3</v>
      </c>
      <c r="G66" s="75">
        <v>90810.935375932007</v>
      </c>
      <c r="H66" s="75">
        <v>600.55177140772219</v>
      </c>
      <c r="I66" s="75">
        <v>25.785503362812868</v>
      </c>
      <c r="J66" s="77">
        <v>6.2728959862498117</v>
      </c>
      <c r="K66" s="63"/>
      <c r="L66" s="62">
        <f t="shared" si="1"/>
        <v>6.4151959862498113E-3</v>
      </c>
      <c r="M66" s="63"/>
      <c r="N66" s="13"/>
    </row>
    <row r="67" spans="1:14" ht="15.6" x14ac:dyDescent="0.3">
      <c r="A67" s="13"/>
      <c r="B67" s="13"/>
      <c r="C67" s="13"/>
      <c r="D67" s="73">
        <v>59</v>
      </c>
      <c r="E67" s="74">
        <f t="shared" si="0"/>
        <v>6.7788904935577703E-3</v>
      </c>
      <c r="F67" s="75">
        <v>7.1437209401337036E-3</v>
      </c>
      <c r="G67" s="75">
        <v>90210.383604524279</v>
      </c>
      <c r="H67" s="75">
        <v>644.43780637313421</v>
      </c>
      <c r="I67" s="75">
        <v>24.953834914334081</v>
      </c>
      <c r="J67" s="77">
        <v>6.7788904935577703</v>
      </c>
      <c r="K67" s="63"/>
      <c r="L67" s="62">
        <f t="shared" si="1"/>
        <v>6.92119049355777E-3</v>
      </c>
      <c r="M67" s="63"/>
      <c r="N67" s="13"/>
    </row>
    <row r="68" spans="1:14" ht="15.6" x14ac:dyDescent="0.3">
      <c r="A68" s="13"/>
      <c r="B68" s="13"/>
      <c r="C68" s="13"/>
      <c r="D68" s="73">
        <v>60</v>
      </c>
      <c r="E68" s="74">
        <f t="shared" si="0"/>
        <v>7.3352990432822051E-3</v>
      </c>
      <c r="F68" s="75">
        <v>7.7265493939330989E-3</v>
      </c>
      <c r="G68" s="75">
        <v>89565.945798151151</v>
      </c>
      <c r="H68" s="75">
        <v>692.03570422374958</v>
      </c>
      <c r="I68" s="75">
        <v>24.129783212419593</v>
      </c>
      <c r="J68" s="77">
        <v>7.3352990432822054</v>
      </c>
      <c r="K68" s="63"/>
      <c r="L68" s="62">
        <f t="shared" si="1"/>
        <v>7.4775990432822048E-3</v>
      </c>
      <c r="M68" s="63"/>
      <c r="N68" s="13"/>
    </row>
    <row r="69" spans="1:14" ht="15.6" x14ac:dyDescent="0.3">
      <c r="A69" s="13"/>
      <c r="B69" s="13"/>
      <c r="C69" s="13"/>
      <c r="D69" s="73">
        <v>61</v>
      </c>
      <c r="E69" s="74">
        <f t="shared" si="0"/>
        <v>7.9547349283782976E-3</v>
      </c>
      <c r="F69" s="75">
        <v>8.375010828104339E-3</v>
      </c>
      <c r="G69" s="80">
        <v>88873.910093927407</v>
      </c>
      <c r="H69" s="75">
        <v>744.31995937261354</v>
      </c>
      <c r="I69" s="75">
        <v>23.313781571991921</v>
      </c>
      <c r="J69" s="77">
        <v>7.954734928378298</v>
      </c>
      <c r="K69" s="63"/>
      <c r="L69" s="62">
        <f t="shared" si="1"/>
        <v>8.0970349283782973E-3</v>
      </c>
      <c r="M69" s="63"/>
      <c r="N69" s="13"/>
    </row>
    <row r="70" spans="1:14" ht="15.6" x14ac:dyDescent="0.3">
      <c r="A70" s="13"/>
      <c r="B70" s="13"/>
      <c r="C70" s="13"/>
      <c r="D70" s="73">
        <v>62</v>
      </c>
      <c r="E70" s="74">
        <f t="shared" si="0"/>
        <v>8.6484806387537097E-3</v>
      </c>
      <c r="F70" s="75">
        <v>9.1008855608380734E-3</v>
      </c>
      <c r="G70" s="75">
        <v>88129.59013455479</v>
      </c>
      <c r="H70" s="75">
        <v>802.05731433814719</v>
      </c>
      <c r="I70" s="75">
        <v>22.506460931408828</v>
      </c>
      <c r="J70" s="77">
        <v>8.6484806387537105</v>
      </c>
      <c r="K70" s="75"/>
      <c r="L70" s="62">
        <f t="shared" si="1"/>
        <v>8.7907806387537094E-3</v>
      </c>
      <c r="M70" s="63"/>
      <c r="N70" s="13"/>
    </row>
    <row r="71" spans="1:14" ht="15.6" x14ac:dyDescent="0.3">
      <c r="A71" s="13"/>
      <c r="B71" s="13"/>
      <c r="C71" s="13"/>
      <c r="D71" s="73">
        <v>63</v>
      </c>
      <c r="E71" s="74">
        <f t="shared" si="0"/>
        <v>9.4274958397523798E-3</v>
      </c>
      <c r="F71" s="75">
        <v>9.9157405021392461E-3</v>
      </c>
      <c r="G71" s="75">
        <v>87327.532820216642</v>
      </c>
      <c r="H71" s="75">
        <v>865.91715413731652</v>
      </c>
      <c r="I71" s="75">
        <v>21.708578664301509</v>
      </c>
      <c r="J71" s="77">
        <v>9.42749583975238</v>
      </c>
      <c r="K71" s="75"/>
      <c r="L71" s="62">
        <f t="shared" si="1"/>
        <v>9.5697958397523795E-3</v>
      </c>
      <c r="M71" s="63"/>
      <c r="N71" s="13"/>
    </row>
    <row r="72" spans="1:14" ht="15.6" x14ac:dyDescent="0.3">
      <c r="A72" s="13"/>
      <c r="B72" s="13"/>
      <c r="C72" s="13"/>
      <c r="D72" s="73">
        <v>64</v>
      </c>
      <c r="E72" s="74">
        <f t="shared" si="0"/>
        <v>1.0296464042192095E-2</v>
      </c>
      <c r="F72" s="75">
        <v>1.0824569081288586E-2</v>
      </c>
      <c r="G72" s="75">
        <v>86461.61566607932</v>
      </c>
      <c r="H72" s="75">
        <v>935.90973165729906</v>
      </c>
      <c r="I72" s="75">
        <v>20.920983578769167</v>
      </c>
      <c r="J72" s="77">
        <v>10.296464042192095</v>
      </c>
      <c r="K72" s="75"/>
      <c r="L72" s="62">
        <f t="shared" si="1"/>
        <v>1.0438764042192095E-2</v>
      </c>
      <c r="M72" s="63"/>
      <c r="N72" s="13"/>
    </row>
    <row r="73" spans="1:14" ht="15.6" x14ac:dyDescent="0.3">
      <c r="A73" s="13"/>
      <c r="B73" s="13"/>
      <c r="C73" s="13"/>
      <c r="D73" s="73">
        <v>65</v>
      </c>
      <c r="E73" s="74">
        <f t="shared" ref="E73:E108" si="2">J73/1000</f>
        <v>1.1247227082903139E-2</v>
      </c>
      <c r="F73" s="75">
        <v>1.1817267814732271E-2</v>
      </c>
      <c r="G73" s="75">
        <v>85525.705934422018</v>
      </c>
      <c r="H73" s="75">
        <v>1010.6801720711021</v>
      </c>
      <c r="I73" s="75">
        <v>20.144450863284053</v>
      </c>
      <c r="J73" s="77">
        <v>11.247227082903139</v>
      </c>
      <c r="K73" s="75"/>
      <c r="L73" s="62">
        <f t="shared" ref="L73:L88" si="3">E73+$L$6</f>
        <v>1.1389527082903139E-2</v>
      </c>
      <c r="M73" s="63"/>
      <c r="N73" s="13"/>
    </row>
    <row r="74" spans="1:14" ht="15.6" x14ac:dyDescent="0.3">
      <c r="A74" s="13"/>
      <c r="B74" s="13"/>
      <c r="C74" s="13"/>
      <c r="D74" s="73">
        <v>66</v>
      </c>
      <c r="E74" s="74">
        <f t="shared" si="2"/>
        <v>1.2292019426447606E-2</v>
      </c>
      <c r="F74" s="75">
        <v>1.290799656662445E-2</v>
      </c>
      <c r="G74" s="75">
        <v>84515.02576235091</v>
      </c>
      <c r="H74" s="75">
        <v>1090.9196623686025</v>
      </c>
      <c r="I74" s="75">
        <v>19.379370710963862</v>
      </c>
      <c r="J74" s="77">
        <v>12.292019426447606</v>
      </c>
      <c r="K74" s="75"/>
      <c r="L74" s="62">
        <f t="shared" si="3"/>
        <v>1.2434319426447606E-2</v>
      </c>
      <c r="M74" s="63"/>
      <c r="N74" s="13"/>
    </row>
    <row r="75" spans="1:14" ht="15.6" x14ac:dyDescent="0.3">
      <c r="A75" s="13"/>
      <c r="B75" s="13"/>
      <c r="C75" s="13"/>
      <c r="D75" s="73">
        <v>67</v>
      </c>
      <c r="E75" s="74">
        <f t="shared" si="2"/>
        <v>1.3461124131015263E-2</v>
      </c>
      <c r="F75" s="75">
        <v>1.4131771151799418E-2</v>
      </c>
      <c r="G75" s="75">
        <v>83424.106099982309</v>
      </c>
      <c r="H75" s="75">
        <v>1178.9303759483839</v>
      </c>
      <c r="I75" s="75">
        <v>18.626252310115223</v>
      </c>
      <c r="J75" s="77">
        <v>13.461124131015263</v>
      </c>
      <c r="K75" s="75"/>
      <c r="L75" s="62">
        <f t="shared" si="3"/>
        <v>1.3603424131015262E-2</v>
      </c>
      <c r="M75" s="63"/>
      <c r="N75" s="13"/>
    </row>
    <row r="76" spans="1:14" ht="15.6" x14ac:dyDescent="0.3">
      <c r="A76" s="13"/>
      <c r="B76" s="13"/>
      <c r="C76" s="13"/>
      <c r="D76" s="73">
        <v>68</v>
      </c>
      <c r="E76" s="74">
        <f t="shared" si="2"/>
        <v>1.4772527297546783E-2</v>
      </c>
      <c r="F76" s="75">
        <v>1.550900193736318E-2</v>
      </c>
      <c r="G76" s="75">
        <v>82245.175724033921</v>
      </c>
      <c r="H76" s="75">
        <v>1275.5405896428172</v>
      </c>
      <c r="I76" s="75">
        <v>17.886080187706526</v>
      </c>
      <c r="J76" s="77">
        <v>14.772527297546782</v>
      </c>
      <c r="K76" s="75"/>
      <c r="L76" s="62">
        <f t="shared" si="3"/>
        <v>1.4914827297546783E-2</v>
      </c>
      <c r="M76" s="63"/>
      <c r="N76" s="13"/>
    </row>
    <row r="77" spans="1:14" ht="15.6" x14ac:dyDescent="0.3">
      <c r="A77" s="13"/>
      <c r="B77" s="13"/>
      <c r="C77" s="13"/>
      <c r="D77" s="73">
        <v>69</v>
      </c>
      <c r="E77" s="74">
        <f t="shared" si="2"/>
        <v>1.6229188692505867E-2</v>
      </c>
      <c r="F77" s="75">
        <v>1.7041348368976524E-2</v>
      </c>
      <c r="G77" s="75">
        <v>80969.635134391108</v>
      </c>
      <c r="H77" s="75">
        <v>1379.8317596340803</v>
      </c>
      <c r="I77" s="75">
        <v>17.159968676118215</v>
      </c>
      <c r="J77" s="77">
        <v>16.229188692505868</v>
      </c>
      <c r="K77" s="75"/>
      <c r="L77" s="62">
        <f t="shared" si="3"/>
        <v>1.6371488692505869E-2</v>
      </c>
      <c r="M77" s="63"/>
      <c r="N77" s="13"/>
    </row>
    <row r="78" spans="1:14" ht="15.6" x14ac:dyDescent="0.3">
      <c r="A78" s="13"/>
      <c r="B78" s="13"/>
      <c r="C78" s="13"/>
      <c r="D78" s="73">
        <v>70</v>
      </c>
      <c r="E78" s="74">
        <f t="shared" si="2"/>
        <v>1.7805902674802261E-2</v>
      </c>
      <c r="F78" s="75">
        <v>1.8699420191250867E-2</v>
      </c>
      <c r="G78" s="75">
        <v>79589.80337475703</v>
      </c>
      <c r="H78" s="75">
        <v>1488.2831762436181</v>
      </c>
      <c r="I78" s="75">
        <v>16.448799065427956</v>
      </c>
      <c r="J78" s="77">
        <v>17.805902674802262</v>
      </c>
      <c r="K78" s="75"/>
      <c r="L78" s="62">
        <f t="shared" si="3"/>
        <v>1.7948202674802263E-2</v>
      </c>
      <c r="M78" s="63"/>
      <c r="N78" s="13"/>
    </row>
    <row r="79" spans="1:14" ht="15.6" x14ac:dyDescent="0.3">
      <c r="A79" s="13"/>
      <c r="B79" s="13"/>
      <c r="C79" s="13"/>
      <c r="D79" s="73">
        <v>71</v>
      </c>
      <c r="E79" s="74">
        <f t="shared" si="2"/>
        <v>1.9519962451920669E-2</v>
      </c>
      <c r="F79" s="75">
        <v>2.0498844634668233E-2</v>
      </c>
      <c r="G79" s="75">
        <v>78101.520198513404</v>
      </c>
      <c r="H79" s="75">
        <v>1600.9909282807291</v>
      </c>
      <c r="I79" s="75">
        <v>15.752715420321371</v>
      </c>
      <c r="J79" s="77">
        <v>19.519962451920669</v>
      </c>
      <c r="K79" s="75"/>
      <c r="L79" s="62">
        <f t="shared" si="3"/>
        <v>1.9662262451920671E-2</v>
      </c>
      <c r="M79" s="63"/>
      <c r="N79" s="13"/>
    </row>
    <row r="80" spans="1:14" ht="15.6" x14ac:dyDescent="0.3">
      <c r="A80" s="13"/>
      <c r="B80" s="13"/>
      <c r="C80" s="13"/>
      <c r="D80" s="73">
        <v>72</v>
      </c>
      <c r="E80" s="74">
        <f t="shared" si="2"/>
        <v>2.1428976641400477E-2</v>
      </c>
      <c r="F80" s="75">
        <v>2.2500069474519557E-2</v>
      </c>
      <c r="G80" s="75">
        <v>76500.52927023267</v>
      </c>
      <c r="H80" s="75">
        <v>1721.2672234177519</v>
      </c>
      <c r="I80" s="75">
        <v>15.07192182650612</v>
      </c>
      <c r="J80" s="77">
        <v>21.428976641400478</v>
      </c>
      <c r="K80" s="75"/>
      <c r="L80" s="62">
        <f t="shared" si="3"/>
        <v>2.1571276641400478E-2</v>
      </c>
      <c r="M80" s="63"/>
      <c r="N80" s="13"/>
    </row>
    <row r="81" spans="1:14" ht="15.6" x14ac:dyDescent="0.3">
      <c r="A81" s="13"/>
      <c r="B81" s="13"/>
      <c r="C81" s="13"/>
      <c r="D81" s="73">
        <v>73</v>
      </c>
      <c r="E81" s="74">
        <f t="shared" si="2"/>
        <v>2.3564923677865706E-2</v>
      </c>
      <c r="F81" s="75">
        <v>2.4735760730054884E-2</v>
      </c>
      <c r="G81" s="75">
        <v>74779.262046814911</v>
      </c>
      <c r="H81" s="75">
        <v>1849.7219335600878</v>
      </c>
      <c r="I81" s="75">
        <v>14.407337966430962</v>
      </c>
      <c r="J81" s="77">
        <v>23.564923677865707</v>
      </c>
      <c r="K81" s="75"/>
      <c r="L81" s="62">
        <f t="shared" si="3"/>
        <v>2.3707223677865708E-2</v>
      </c>
      <c r="M81" s="63"/>
      <c r="N81" s="13"/>
    </row>
    <row r="82" spans="1:14" ht="15.6" x14ac:dyDescent="0.3">
      <c r="A82" s="13"/>
      <c r="B82" s="13"/>
      <c r="C82" s="13"/>
      <c r="D82" s="73">
        <v>74</v>
      </c>
      <c r="E82" s="74">
        <f t="shared" si="2"/>
        <v>2.5928823933844193E-2</v>
      </c>
      <c r="F82" s="75">
        <v>2.7207307324570371E-2</v>
      </c>
      <c r="G82" s="75">
        <v>72929.540113254829</v>
      </c>
      <c r="H82" s="75">
        <v>1984.2164109009068</v>
      </c>
      <c r="I82" s="75">
        <v>13.760071687691118</v>
      </c>
      <c r="J82" s="77">
        <v>25.928823933844193</v>
      </c>
      <c r="K82" s="75"/>
      <c r="L82" s="62">
        <f t="shared" si="3"/>
        <v>2.6071123933844195E-2</v>
      </c>
      <c r="M82" s="63"/>
      <c r="N82" s="13"/>
    </row>
    <row r="83" spans="1:14" ht="15.6" x14ac:dyDescent="0.3">
      <c r="A83" s="13"/>
      <c r="B83" s="13"/>
      <c r="C83" s="13"/>
      <c r="D83" s="73">
        <v>75</v>
      </c>
      <c r="E83" s="74">
        <f t="shared" si="2"/>
        <v>2.8470123290250917E-2</v>
      </c>
      <c r="F83" s="75">
        <v>2.9863611559728637E-2</v>
      </c>
      <c r="G83" s="75">
        <v>70945.323702353926</v>
      </c>
      <c r="H83" s="75">
        <v>2118.6835890263069</v>
      </c>
      <c r="I83" s="75">
        <v>13.130932661739593</v>
      </c>
      <c r="J83" s="77">
        <v>28.470123290250918</v>
      </c>
      <c r="K83" s="75"/>
      <c r="L83" s="62">
        <f t="shared" si="3"/>
        <v>2.8612423290250918E-2</v>
      </c>
      <c r="M83" s="63"/>
      <c r="N83" s="13"/>
    </row>
    <row r="84" spans="1:14" ht="15.6" x14ac:dyDescent="0.3">
      <c r="A84" s="13"/>
      <c r="B84" s="13"/>
      <c r="C84" s="13"/>
      <c r="D84" s="73">
        <v>76</v>
      </c>
      <c r="E84" s="74">
        <f t="shared" si="2"/>
        <v>3.1210031536478691E-2</v>
      </c>
      <c r="F84" s="75">
        <v>3.2726459108036107E-2</v>
      </c>
      <c r="G84" s="75">
        <v>68826.640113327623</v>
      </c>
      <c r="H84" s="75">
        <v>2252.452223212334</v>
      </c>
      <c r="I84" s="75">
        <v>12.51974940043932</v>
      </c>
      <c r="J84" s="77">
        <v>31.210031536478692</v>
      </c>
      <c r="K84" s="75"/>
      <c r="L84" s="62">
        <f t="shared" si="3"/>
        <v>3.1352331536478692E-2</v>
      </c>
      <c r="M84" s="63"/>
      <c r="N84" s="13"/>
    </row>
    <row r="85" spans="1:14" ht="15.6" x14ac:dyDescent="0.3">
      <c r="A85" s="13"/>
      <c r="B85" s="13"/>
      <c r="C85" s="13"/>
      <c r="D85" s="73">
        <v>77</v>
      </c>
      <c r="E85" s="74">
        <f t="shared" si="2"/>
        <v>3.4246217126012647E-2</v>
      </c>
      <c r="F85" s="75">
        <v>3.5895884520333744E-2</v>
      </c>
      <c r="G85" s="75">
        <v>66574.187890115296</v>
      </c>
      <c r="H85" s="75">
        <v>2389.7393605385801</v>
      </c>
      <c r="I85" s="75">
        <v>11.926422198373585</v>
      </c>
      <c r="J85" s="77">
        <v>34.246217126012645</v>
      </c>
      <c r="K85" s="75"/>
      <c r="L85" s="62">
        <f t="shared" si="3"/>
        <v>3.4388517126012645E-2</v>
      </c>
      <c r="M85" s="63"/>
      <c r="N85" s="13"/>
    </row>
    <row r="86" spans="1:14" ht="15.6" x14ac:dyDescent="0.3">
      <c r="A86" s="13"/>
      <c r="B86" s="13"/>
      <c r="C86" s="13"/>
      <c r="D86" s="73">
        <v>78</v>
      </c>
      <c r="E86" s="74">
        <f t="shared" si="2"/>
        <v>3.7633370496524356E-2</v>
      </c>
      <c r="F86" s="75">
        <v>3.9428659199896368E-2</v>
      </c>
      <c r="G86" s="75">
        <v>64184.448529576715</v>
      </c>
      <c r="H86" s="75">
        <v>2530.7067470059701</v>
      </c>
      <c r="I86" s="75">
        <v>11.351855017431026</v>
      </c>
      <c r="J86" s="77">
        <v>37.633370496524357</v>
      </c>
      <c r="K86" s="75"/>
      <c r="L86" s="62">
        <f t="shared" si="3"/>
        <v>3.7775670496524354E-2</v>
      </c>
      <c r="M86" s="63"/>
      <c r="N86" s="13"/>
    </row>
    <row r="87" spans="1:14" ht="15.6" x14ac:dyDescent="0.3">
      <c r="A87" s="13"/>
      <c r="B87" s="13"/>
      <c r="C87" s="13"/>
      <c r="D87" s="73">
        <v>79</v>
      </c>
      <c r="E87" s="74">
        <f t="shared" si="2"/>
        <v>4.1376113320402731E-2</v>
      </c>
      <c r="F87" s="75">
        <v>4.3330683701381233E-2</v>
      </c>
      <c r="G87" s="75">
        <v>61653.741782570745</v>
      </c>
      <c r="H87" s="75">
        <v>2671.4987841872053</v>
      </c>
      <c r="I87" s="75">
        <v>10.797292097421961</v>
      </c>
      <c r="J87" s="77">
        <v>41.37611332040273</v>
      </c>
      <c r="K87" s="75"/>
      <c r="L87" s="62">
        <f t="shared" si="3"/>
        <v>4.1518413320402729E-2</v>
      </c>
      <c r="M87" s="63"/>
      <c r="N87" s="13"/>
    </row>
    <row r="88" spans="1:14" ht="15.6" x14ac:dyDescent="0.3">
      <c r="A88" s="13"/>
      <c r="B88" s="13"/>
      <c r="C88" s="13"/>
      <c r="D88" s="73">
        <v>80</v>
      </c>
      <c r="E88" s="74">
        <f t="shared" si="2"/>
        <v>1</v>
      </c>
      <c r="F88" s="75">
        <v>1</v>
      </c>
      <c r="G88" s="75">
        <v>58982.242998383539</v>
      </c>
      <c r="H88" s="75">
        <v>58982.242998383539</v>
      </c>
      <c r="I88" s="75">
        <v>10.263690150806218</v>
      </c>
      <c r="J88" s="81">
        <v>1000</v>
      </c>
      <c r="K88" s="75"/>
      <c r="L88" s="62">
        <f t="shared" si="3"/>
        <v>1.0001423</v>
      </c>
      <c r="M88" s="63"/>
      <c r="N88" s="13"/>
    </row>
    <row r="89" spans="1:14" ht="15.6" x14ac:dyDescent="0.3">
      <c r="A89" s="13"/>
      <c r="B89" s="13"/>
      <c r="C89" s="13"/>
      <c r="D89" s="73">
        <v>81</v>
      </c>
      <c r="E89" s="74">
        <f t="shared" si="2"/>
        <v>1</v>
      </c>
      <c r="F89" s="75">
        <v>1</v>
      </c>
      <c r="G89" s="75">
        <v>58982.242998383539</v>
      </c>
      <c r="H89" s="75">
        <v>58982.242998383539</v>
      </c>
      <c r="I89" s="75">
        <v>10.263690150806218</v>
      </c>
      <c r="J89" s="81">
        <v>1000</v>
      </c>
      <c r="K89" s="75"/>
      <c r="L89" s="63"/>
      <c r="M89" s="63"/>
      <c r="N89" s="13"/>
    </row>
    <row r="90" spans="1:14" ht="15.6" x14ac:dyDescent="0.3">
      <c r="A90" s="13"/>
      <c r="B90" s="13"/>
      <c r="C90" s="13"/>
      <c r="D90" s="73">
        <v>82</v>
      </c>
      <c r="E90" s="74">
        <f t="shared" si="2"/>
        <v>1</v>
      </c>
      <c r="F90" s="75">
        <v>1</v>
      </c>
      <c r="G90" s="75">
        <v>58982.242998383539</v>
      </c>
      <c r="H90" s="75">
        <v>58982.242998383539</v>
      </c>
      <c r="I90" s="75">
        <v>10.263690150806218</v>
      </c>
      <c r="J90" s="81">
        <v>1000</v>
      </c>
      <c r="K90" s="75"/>
      <c r="L90" s="63"/>
      <c r="M90" s="63"/>
      <c r="N90" s="13"/>
    </row>
    <row r="91" spans="1:14" ht="15.6" x14ac:dyDescent="0.3">
      <c r="A91" s="13"/>
      <c r="B91" s="13"/>
      <c r="C91" s="13"/>
      <c r="D91" s="73">
        <v>83</v>
      </c>
      <c r="E91" s="74">
        <f t="shared" si="2"/>
        <v>1</v>
      </c>
      <c r="F91" s="75">
        <v>1</v>
      </c>
      <c r="G91" s="75">
        <v>58982.242998383539</v>
      </c>
      <c r="H91" s="75">
        <v>58982.242998383539</v>
      </c>
      <c r="I91" s="75">
        <v>10.263690150806218</v>
      </c>
      <c r="J91" s="81">
        <v>1000</v>
      </c>
      <c r="K91" s="75"/>
      <c r="L91" s="63"/>
      <c r="M91" s="63"/>
      <c r="N91" s="13"/>
    </row>
    <row r="92" spans="1:14" ht="15.6" x14ac:dyDescent="0.3">
      <c r="A92" s="13"/>
      <c r="B92" s="13"/>
      <c r="C92" s="13"/>
      <c r="D92" s="73">
        <v>84</v>
      </c>
      <c r="E92" s="74">
        <f t="shared" si="2"/>
        <v>1</v>
      </c>
      <c r="F92" s="75">
        <v>1</v>
      </c>
      <c r="G92" s="75">
        <v>58982.242998383539</v>
      </c>
      <c r="H92" s="75">
        <v>58982.242998383539</v>
      </c>
      <c r="I92" s="75">
        <v>10.263690150806218</v>
      </c>
      <c r="J92" s="81">
        <v>1000</v>
      </c>
      <c r="K92" s="75"/>
      <c r="L92" s="63"/>
      <c r="M92" s="63"/>
      <c r="N92" s="13"/>
    </row>
    <row r="93" spans="1:14" ht="15.6" x14ac:dyDescent="0.3">
      <c r="A93" s="13"/>
      <c r="B93" s="13"/>
      <c r="C93" s="13"/>
      <c r="D93" s="73">
        <v>85</v>
      </c>
      <c r="E93" s="74">
        <f t="shared" si="2"/>
        <v>1</v>
      </c>
      <c r="F93" s="75">
        <v>1</v>
      </c>
      <c r="G93" s="75">
        <v>58982.242998383539</v>
      </c>
      <c r="H93" s="75">
        <v>58982.242998383539</v>
      </c>
      <c r="I93" s="75">
        <v>10.263690150806218</v>
      </c>
      <c r="J93" s="81">
        <v>1000</v>
      </c>
      <c r="K93" s="75"/>
      <c r="L93" s="63"/>
      <c r="M93" s="63"/>
      <c r="N93" s="13"/>
    </row>
    <row r="94" spans="1:14" ht="15.6" x14ac:dyDescent="0.3">
      <c r="A94" s="13"/>
      <c r="B94" s="13"/>
      <c r="C94" s="13"/>
      <c r="D94" s="73">
        <v>86</v>
      </c>
      <c r="E94" s="74">
        <f t="shared" si="2"/>
        <v>1</v>
      </c>
      <c r="F94" s="75">
        <v>1</v>
      </c>
      <c r="G94" s="75">
        <v>58982.242998383539</v>
      </c>
      <c r="H94" s="75">
        <v>58982.242998383539</v>
      </c>
      <c r="I94" s="75">
        <v>10.263690150806218</v>
      </c>
      <c r="J94" s="81">
        <v>1000</v>
      </c>
      <c r="K94" s="75"/>
      <c r="L94" s="63"/>
      <c r="M94" s="63"/>
      <c r="N94" s="13"/>
    </row>
    <row r="95" spans="1:14" ht="15.6" x14ac:dyDescent="0.3">
      <c r="A95" s="13"/>
      <c r="B95" s="13"/>
      <c r="C95" s="13"/>
      <c r="D95" s="73">
        <v>87</v>
      </c>
      <c r="E95" s="74">
        <f t="shared" si="2"/>
        <v>1</v>
      </c>
      <c r="F95" s="75">
        <v>1</v>
      </c>
      <c r="G95" s="75">
        <v>58982.242998383539</v>
      </c>
      <c r="H95" s="75">
        <v>58982.242998383539</v>
      </c>
      <c r="I95" s="75">
        <v>10.263690150806218</v>
      </c>
      <c r="J95" s="81">
        <v>1000</v>
      </c>
      <c r="K95" s="75"/>
      <c r="L95" s="63"/>
      <c r="M95" s="63"/>
      <c r="N95" s="13"/>
    </row>
    <row r="96" spans="1:14" ht="15.6" x14ac:dyDescent="0.3">
      <c r="A96" s="13"/>
      <c r="B96" s="13"/>
      <c r="C96" s="13"/>
      <c r="D96" s="73">
        <v>88</v>
      </c>
      <c r="E96" s="74">
        <f t="shared" si="2"/>
        <v>1</v>
      </c>
      <c r="F96" s="75">
        <v>1</v>
      </c>
      <c r="G96" s="75">
        <v>58982.242998383539</v>
      </c>
      <c r="H96" s="75">
        <v>58982.242998383539</v>
      </c>
      <c r="I96" s="75">
        <v>10.263690150806218</v>
      </c>
      <c r="J96" s="81">
        <v>1000</v>
      </c>
      <c r="K96" s="75"/>
      <c r="L96" s="63"/>
      <c r="M96" s="63"/>
      <c r="N96" s="13"/>
    </row>
    <row r="97" spans="1:14" ht="15.6" x14ac:dyDescent="0.3">
      <c r="A97" s="13"/>
      <c r="B97" s="13"/>
      <c r="C97" s="13"/>
      <c r="D97" s="73">
        <v>89</v>
      </c>
      <c r="E97" s="74">
        <f t="shared" si="2"/>
        <v>1</v>
      </c>
      <c r="F97" s="75">
        <v>1</v>
      </c>
      <c r="G97" s="75">
        <v>58982.242998383539</v>
      </c>
      <c r="H97" s="75">
        <v>58982.242998383539</v>
      </c>
      <c r="I97" s="75">
        <v>10.263690150806218</v>
      </c>
      <c r="J97" s="81">
        <v>1000</v>
      </c>
      <c r="K97" s="75"/>
      <c r="L97" s="63"/>
      <c r="M97" s="63"/>
      <c r="N97" s="13"/>
    </row>
    <row r="98" spans="1:14" ht="15.6" x14ac:dyDescent="0.3">
      <c r="A98" s="13"/>
      <c r="B98" s="13"/>
      <c r="C98" s="13"/>
      <c r="D98" s="73">
        <v>90</v>
      </c>
      <c r="E98" s="74">
        <f t="shared" si="2"/>
        <v>1</v>
      </c>
      <c r="F98" s="75">
        <v>1</v>
      </c>
      <c r="G98" s="75">
        <v>58982.242998383539</v>
      </c>
      <c r="H98" s="75">
        <v>58982.242998383539</v>
      </c>
      <c r="I98" s="75">
        <v>10.263690150806218</v>
      </c>
      <c r="J98" s="81">
        <v>1000</v>
      </c>
      <c r="K98" s="75"/>
      <c r="L98" s="63"/>
      <c r="M98" s="63"/>
      <c r="N98" s="13"/>
    </row>
    <row r="99" spans="1:14" ht="15.6" x14ac:dyDescent="0.3">
      <c r="A99" s="13"/>
      <c r="B99" s="13"/>
      <c r="C99" s="13"/>
      <c r="D99" s="73">
        <v>91</v>
      </c>
      <c r="E99" s="74">
        <f t="shared" si="2"/>
        <v>1</v>
      </c>
      <c r="F99" s="75">
        <v>1</v>
      </c>
      <c r="G99" s="75">
        <v>58982.242998383539</v>
      </c>
      <c r="H99" s="75">
        <v>58982.242998383539</v>
      </c>
      <c r="I99" s="75">
        <v>10.263690150806218</v>
      </c>
      <c r="J99" s="81">
        <v>1000</v>
      </c>
      <c r="K99" s="75"/>
      <c r="L99" s="63"/>
      <c r="M99" s="63"/>
      <c r="N99" s="13"/>
    </row>
    <row r="100" spans="1:14" ht="15.6" x14ac:dyDescent="0.3">
      <c r="A100" s="13"/>
      <c r="B100" s="13"/>
      <c r="C100" s="13"/>
      <c r="D100" s="73">
        <v>92</v>
      </c>
      <c r="E100" s="74">
        <f t="shared" si="2"/>
        <v>1</v>
      </c>
      <c r="F100" s="75">
        <v>1</v>
      </c>
      <c r="G100" s="75">
        <v>58982.242998383539</v>
      </c>
      <c r="H100" s="75">
        <v>58982.242998383539</v>
      </c>
      <c r="I100" s="75">
        <v>10.263690150806218</v>
      </c>
      <c r="J100" s="81">
        <v>1000</v>
      </c>
      <c r="K100" s="75"/>
      <c r="L100" s="63"/>
      <c r="M100" s="63"/>
      <c r="N100" s="13"/>
    </row>
    <row r="101" spans="1:14" ht="15.6" x14ac:dyDescent="0.3">
      <c r="A101" s="13"/>
      <c r="B101" s="13"/>
      <c r="C101" s="13"/>
      <c r="D101" s="73">
        <v>93</v>
      </c>
      <c r="E101" s="74">
        <f t="shared" si="2"/>
        <v>1</v>
      </c>
      <c r="F101" s="75">
        <v>1</v>
      </c>
      <c r="G101" s="75">
        <v>58982.242998383539</v>
      </c>
      <c r="H101" s="75">
        <v>58982.242998383539</v>
      </c>
      <c r="I101" s="75">
        <v>10.263690150806218</v>
      </c>
      <c r="J101" s="81">
        <v>1000</v>
      </c>
      <c r="K101" s="75"/>
      <c r="L101" s="63"/>
      <c r="M101" s="63"/>
      <c r="N101" s="13"/>
    </row>
    <row r="102" spans="1:14" ht="15.6" x14ac:dyDescent="0.3">
      <c r="A102" s="13"/>
      <c r="B102" s="13"/>
      <c r="C102" s="13"/>
      <c r="D102" s="73">
        <v>94</v>
      </c>
      <c r="E102" s="74">
        <f t="shared" si="2"/>
        <v>1</v>
      </c>
      <c r="F102" s="75">
        <v>1</v>
      </c>
      <c r="G102" s="75">
        <v>58982.242998383539</v>
      </c>
      <c r="H102" s="75">
        <v>58982.242998383539</v>
      </c>
      <c r="I102" s="75">
        <v>10.263690150806218</v>
      </c>
      <c r="J102" s="81">
        <v>1000</v>
      </c>
      <c r="K102" s="75"/>
      <c r="L102" s="63"/>
      <c r="M102" s="63"/>
      <c r="N102" s="13"/>
    </row>
    <row r="103" spans="1:14" ht="15.6" x14ac:dyDescent="0.3">
      <c r="A103" s="13"/>
      <c r="B103" s="13"/>
      <c r="C103" s="13"/>
      <c r="D103" s="73">
        <v>95</v>
      </c>
      <c r="E103" s="74">
        <f t="shared" si="2"/>
        <v>1</v>
      </c>
      <c r="F103" s="75">
        <v>1</v>
      </c>
      <c r="G103" s="75">
        <v>58982.242998383539</v>
      </c>
      <c r="H103" s="75">
        <v>58982.242998383539</v>
      </c>
      <c r="I103" s="75">
        <v>10.263690150806218</v>
      </c>
      <c r="J103" s="81">
        <v>1000</v>
      </c>
      <c r="K103" s="75"/>
      <c r="L103" s="63"/>
      <c r="M103" s="63"/>
      <c r="N103" s="13"/>
    </row>
    <row r="104" spans="1:14" ht="15.6" x14ac:dyDescent="0.3">
      <c r="A104" s="13"/>
      <c r="B104" s="13"/>
      <c r="C104" s="13"/>
      <c r="D104" s="73">
        <v>96</v>
      </c>
      <c r="E104" s="74">
        <f t="shared" si="2"/>
        <v>1</v>
      </c>
      <c r="F104" s="75">
        <v>1</v>
      </c>
      <c r="G104" s="75">
        <v>58982.242998383539</v>
      </c>
      <c r="H104" s="75">
        <v>58982.242998383539</v>
      </c>
      <c r="I104" s="75">
        <v>10.263690150806218</v>
      </c>
      <c r="J104" s="81">
        <v>1000</v>
      </c>
      <c r="K104" s="75"/>
      <c r="L104" s="63"/>
      <c r="M104" s="63"/>
      <c r="N104" s="13"/>
    </row>
    <row r="105" spans="1:14" ht="15.6" x14ac:dyDescent="0.3">
      <c r="A105" s="13"/>
      <c r="B105" s="13"/>
      <c r="C105" s="13"/>
      <c r="D105" s="73">
        <v>97</v>
      </c>
      <c r="E105" s="74">
        <f t="shared" si="2"/>
        <v>1</v>
      </c>
      <c r="F105" s="75">
        <v>1</v>
      </c>
      <c r="G105" s="75">
        <v>58982.242998383539</v>
      </c>
      <c r="H105" s="75">
        <v>58982.242998383539</v>
      </c>
      <c r="I105" s="75">
        <v>10.263690150806218</v>
      </c>
      <c r="J105" s="81">
        <v>1000</v>
      </c>
      <c r="K105" s="75"/>
      <c r="L105" s="63"/>
      <c r="M105" s="63"/>
      <c r="N105" s="13"/>
    </row>
    <row r="106" spans="1:14" ht="15.6" x14ac:dyDescent="0.3">
      <c r="A106" s="13"/>
      <c r="B106" s="13"/>
      <c r="C106" s="13"/>
      <c r="D106" s="73">
        <v>98</v>
      </c>
      <c r="E106" s="74">
        <f t="shared" si="2"/>
        <v>1</v>
      </c>
      <c r="F106" s="75">
        <v>1</v>
      </c>
      <c r="G106" s="75">
        <v>58982.242998383539</v>
      </c>
      <c r="H106" s="75">
        <v>58982.242998383539</v>
      </c>
      <c r="I106" s="75">
        <v>10.263690150806218</v>
      </c>
      <c r="J106" s="81">
        <v>1000</v>
      </c>
      <c r="K106" s="75"/>
      <c r="L106" s="63"/>
      <c r="M106" s="63"/>
      <c r="N106" s="13"/>
    </row>
    <row r="107" spans="1:14" ht="15.6" x14ac:dyDescent="0.3">
      <c r="A107" s="13"/>
      <c r="B107" s="13"/>
      <c r="C107" s="13"/>
      <c r="D107" s="73">
        <v>99</v>
      </c>
      <c r="E107" s="74">
        <f t="shared" si="2"/>
        <v>1</v>
      </c>
      <c r="F107" s="75">
        <v>1</v>
      </c>
      <c r="G107" s="75">
        <v>58982.242998383539</v>
      </c>
      <c r="H107" s="75">
        <v>58982.242998383539</v>
      </c>
      <c r="I107" s="75">
        <v>10.263690150806218</v>
      </c>
      <c r="J107" s="81">
        <v>1000</v>
      </c>
      <c r="K107" s="75"/>
      <c r="L107" s="63"/>
      <c r="M107" s="63"/>
      <c r="N107" s="13"/>
    </row>
    <row r="108" spans="1:14" ht="15.6" x14ac:dyDescent="0.3">
      <c r="A108" s="13"/>
      <c r="B108" s="13"/>
      <c r="C108" s="13"/>
      <c r="D108" s="73">
        <v>100</v>
      </c>
      <c r="E108" s="74">
        <f t="shared" si="2"/>
        <v>1</v>
      </c>
      <c r="F108" s="75">
        <v>1</v>
      </c>
      <c r="G108" s="75">
        <v>58982.242998383539</v>
      </c>
      <c r="H108" s="75">
        <v>58982.242998383539</v>
      </c>
      <c r="I108" s="75">
        <v>10.263690150806218</v>
      </c>
      <c r="J108" s="81">
        <v>1000</v>
      </c>
      <c r="K108" s="75"/>
      <c r="L108" s="63"/>
      <c r="M108" s="63"/>
      <c r="N108" s="13"/>
    </row>
    <row r="109" spans="1:14" ht="15.6" x14ac:dyDescent="0.3">
      <c r="A109" s="13"/>
      <c r="B109" s="13"/>
      <c r="C109" s="13"/>
      <c r="D109" s="63"/>
      <c r="E109" s="63"/>
      <c r="F109" s="63"/>
      <c r="G109" s="63"/>
      <c r="H109" s="63"/>
      <c r="I109" s="63"/>
      <c r="J109" s="63"/>
      <c r="K109" s="63"/>
      <c r="L109" s="63"/>
      <c r="M109" s="63"/>
      <c r="N109" s="13"/>
    </row>
    <row r="110" spans="1:14" ht="15.6" x14ac:dyDescent="0.3">
      <c r="A110" s="13"/>
      <c r="B110" s="13"/>
      <c r="C110" s="13"/>
      <c r="D110" s="63"/>
      <c r="E110" s="63"/>
      <c r="F110" s="63"/>
      <c r="G110" s="63"/>
      <c r="H110" s="63"/>
      <c r="I110" s="63"/>
      <c r="J110" s="63"/>
      <c r="K110" s="63"/>
      <c r="L110" s="63"/>
      <c r="M110" s="63"/>
      <c r="N110" s="13"/>
    </row>
    <row r="111" spans="1:14" ht="15.6" x14ac:dyDescent="0.3">
      <c r="A111" s="13"/>
      <c r="B111" s="13"/>
      <c r="C111" s="13"/>
      <c r="D111" s="69"/>
      <c r="E111" s="69"/>
      <c r="F111" s="69"/>
      <c r="G111" s="69"/>
      <c r="H111" s="69"/>
      <c r="I111" s="69"/>
      <c r="J111" s="69"/>
      <c r="K111" s="69"/>
      <c r="L111" s="69"/>
      <c r="M111" s="69"/>
      <c r="N111" s="13"/>
    </row>
  </sheetData>
  <mergeCells count="1">
    <mergeCell ref="D2:L2"/>
  </mergeCells>
  <hyperlinks>
    <hyperlink ref="D2" r:id="rId1" xr:uid="{00000000-0004-0000-0F00-000000000000}"/>
  </hyperlinks>
  <pageMargins left="0.511811024" right="0.511811024" top="0.78740157499999996" bottom="0.78740157499999996" header="0.31496062000000002" footer="0.3149606200000000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1B0BB-19A4-4A77-9E33-43DB92285E2B}">
  <sheetPr codeName="Planilha17">
    <tabColor theme="0" tint="-0.499984740745262"/>
  </sheetPr>
  <dimension ref="A17:B19"/>
  <sheetViews>
    <sheetView showGridLines="0" workbookViewId="0">
      <selection activeCell="N31" sqref="N31"/>
    </sheetView>
  </sheetViews>
  <sheetFormatPr defaultRowHeight="14.4" x14ac:dyDescent="0.3"/>
  <cols>
    <col min="2" max="2" width="4.5546875" bestFit="1" customWidth="1"/>
  </cols>
  <sheetData>
    <row r="17" spans="1:2" x14ac:dyDescent="0.3">
      <c r="A17" t="s">
        <v>519</v>
      </c>
    </row>
    <row r="19" spans="1:2" x14ac:dyDescent="0.3">
      <c r="A19" t="s">
        <v>520</v>
      </c>
      <c r="B19" s="195">
        <v>5.2778999999999998</v>
      </c>
    </row>
  </sheetData>
  <pageMargins left="0.511811024" right="0.511811024" top="0.78740157499999996" bottom="0.78740157499999996" header="0.31496062000000002" footer="0.31496062000000002"/>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11</vt:i4>
      </vt:variant>
      <vt:variant>
        <vt:lpstr>Intervalos Nomeados</vt:lpstr>
      </vt:variant>
      <vt:variant>
        <vt:i4>52</vt:i4>
      </vt:variant>
    </vt:vector>
  </HeadingPairs>
  <TitlesOfParts>
    <vt:vector size="63" baseType="lpstr">
      <vt:lpstr>Presentation</vt:lpstr>
      <vt:lpstr>CostEffectiveAnalysis</vt:lpstr>
      <vt:lpstr>Model</vt:lpstr>
      <vt:lpstr>Parameters</vt:lpstr>
      <vt:lpstr>Costs</vt:lpstr>
      <vt:lpstr>DSA</vt:lpstr>
      <vt:lpstr>cmed</vt:lpstr>
      <vt:lpstr>CEASimulation</vt:lpstr>
      <vt:lpstr>Markov</vt:lpstr>
      <vt:lpstr>Table of Life</vt:lpstr>
      <vt:lpstr>Forex</vt:lpstr>
      <vt:lpstr>c_biopsia</vt:lpstr>
      <vt:lpstr>c_mamog</vt:lpstr>
      <vt:lpstr>c_reconv</vt:lpstr>
      <vt:lpstr>c_tomos</vt:lpstr>
      <vt:lpstr>c_tto_DCIS</vt:lpstr>
      <vt:lpstr>c_tto_DCIS_2</vt:lpstr>
      <vt:lpstr>c_tto_local_1ano</vt:lpstr>
      <vt:lpstr>c_tto_local_anoseg</vt:lpstr>
      <vt:lpstr>c_tto_metast</vt:lpstr>
      <vt:lpstr>c_tto_tnm1_1ano</vt:lpstr>
      <vt:lpstr>c_tto_tnm1_segano</vt:lpstr>
      <vt:lpstr>c_tto_tnm2_1ano</vt:lpstr>
      <vt:lpstr>c_tto_tnm2_segano</vt:lpstr>
      <vt:lpstr>c_tto_tnm3_1ano</vt:lpstr>
      <vt:lpstr>c_tto_tnm3_segano</vt:lpstr>
      <vt:lpstr>idade_entrada</vt:lpstr>
      <vt:lpstr>p_biopsia_M</vt:lpstr>
      <vt:lpstr>p_biopsia_T</vt:lpstr>
      <vt:lpstr>p_biopsia_US_mamog</vt:lpstr>
      <vt:lpstr>p_biopsia_US_tomos</vt:lpstr>
      <vt:lpstr>p_cancer_M</vt:lpstr>
      <vt:lpstr>p_cancer_T</vt:lpstr>
      <vt:lpstr>p_cancer_US</vt:lpstr>
      <vt:lpstr>p_cancerInv_M</vt:lpstr>
      <vt:lpstr>p_cancerInv_T</vt:lpstr>
      <vt:lpstr>p_cancerInv_US</vt:lpstr>
      <vt:lpstr>p_cIntervalo_M</vt:lpstr>
      <vt:lpstr>p_cIntervalo_T</vt:lpstr>
      <vt:lpstr>p_recall_M</vt:lpstr>
      <vt:lpstr>p_recall_T</vt:lpstr>
      <vt:lpstr>p_sobrev_CIntervalo</vt:lpstr>
      <vt:lpstr>p_sobrev_DCIS</vt:lpstr>
      <vt:lpstr>p_sobrev_TNM1</vt:lpstr>
      <vt:lpstr>p_sobrev_TNM2</vt:lpstr>
      <vt:lpstr>p_sobrev_TNM3</vt:lpstr>
      <vt:lpstr>p_sobrev_TNM4</vt:lpstr>
      <vt:lpstr>slmd_tnm1</vt:lpstr>
      <vt:lpstr>slmd_tnm2</vt:lpstr>
      <vt:lpstr>slmd_tnm3</vt:lpstr>
      <vt:lpstr>taxa_desconto</vt:lpstr>
      <vt:lpstr>u_cancer_interv</vt:lpstr>
      <vt:lpstr>u_DCIS</vt:lpstr>
      <vt:lpstr>u_FN</vt:lpstr>
      <vt:lpstr>u_FP</vt:lpstr>
      <vt:lpstr>u_sem_CM</vt:lpstr>
      <vt:lpstr>u_TNM1</vt:lpstr>
      <vt:lpstr>u_TNM2</vt:lpstr>
      <vt:lpstr>u_TNM3</vt:lpstr>
      <vt:lpstr>u_TNM4</vt:lpstr>
      <vt:lpstr>u_VN</vt:lpstr>
      <vt:lpstr>u_VP</vt:lpstr>
      <vt:lpstr>Costs!WfTarget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Ludmila Peres Gargano</dc:creator>
  <cp:lastModifiedBy>Henrique Lima Couto</cp:lastModifiedBy>
  <dcterms:created xsi:type="dcterms:W3CDTF">2015-06-05T18:19:34Z</dcterms:created>
  <dcterms:modified xsi:type="dcterms:W3CDTF">2023-10-04T03:56:14Z</dcterms:modified>
</cp:coreProperties>
</file>