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ohammad.mozumder\Desktop\New folder\Lab thesis-2\"/>
    </mc:Choice>
  </mc:AlternateContent>
  <xr:revisionPtr revIDLastSave="0" documentId="13_ncr:1_{C1587261-8462-4004-9FEB-004915F3C90C}" xr6:coauthVersionLast="47" xr6:coauthVersionMax="47" xr10:uidLastSave="{00000000-0000-0000-0000-000000000000}"/>
  <bookViews>
    <workbookView xWindow="-110" yWindow="-110" windowWidth="19420" windowHeight="11500" tabRatio="500" firstSheet="2" activeTab="3" xr2:uid="{00000000-000D-0000-FFFF-FFFF00000000}"/>
  </bookViews>
  <sheets>
    <sheet name="Cover" sheetId="1" r:id="rId1"/>
    <sheet name="Codebook" sheetId="2" r:id="rId2"/>
    <sheet name="PRISMA flow" sheetId="3" r:id="rId3"/>
    <sheet name="Extraction table" sheetId="4" r:id="rId4"/>
    <sheet name="Summary by domain" sheetId="5" r:id="rId5"/>
    <sheet name="Quality appraisal" sheetId="6" r:id="rId6"/>
    <sheet name="Gap matrix" sheetId="7" r:id="rId7"/>
  </sheets>
  <definedNames>
    <definedName name="_xlnm._FilterDatabase" localSheetId="3" hidden="1">'Extraction table'!$A$3:$V$141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28" i="7" l="1"/>
  <c r="D28" i="7"/>
  <c r="C28" i="7"/>
  <c r="B28" i="7"/>
  <c r="F28" i="7" s="1"/>
  <c r="E27" i="7"/>
  <c r="D27" i="7"/>
  <c r="C27" i="7"/>
  <c r="B27" i="7"/>
  <c r="F27" i="7" s="1"/>
  <c r="E26" i="7"/>
  <c r="D26" i="7"/>
  <c r="C26" i="7"/>
  <c r="B26" i="7"/>
  <c r="F26" i="7" s="1"/>
  <c r="E25" i="7"/>
  <c r="D25" i="7"/>
  <c r="C25" i="7"/>
  <c r="B25" i="7"/>
  <c r="F25" i="7" s="1"/>
  <c r="F24" i="7"/>
  <c r="E24" i="7"/>
  <c r="D24" i="7"/>
  <c r="C24" i="7"/>
  <c r="B24" i="7"/>
  <c r="E23" i="7"/>
  <c r="D23" i="7"/>
  <c r="C23" i="7"/>
  <c r="B23" i="7"/>
  <c r="F23" i="7" s="1"/>
  <c r="E22" i="7"/>
  <c r="D22" i="7"/>
  <c r="C22" i="7"/>
  <c r="B22" i="7"/>
  <c r="F22" i="7" s="1"/>
  <c r="E21" i="7"/>
  <c r="D21" i="7"/>
  <c r="C21" i="7"/>
  <c r="B21" i="7"/>
  <c r="F21" i="7" s="1"/>
  <c r="E20" i="7"/>
  <c r="D20" i="7"/>
  <c r="C20" i="7"/>
  <c r="B20" i="7"/>
  <c r="F20" i="7" s="1"/>
  <c r="E19" i="7"/>
  <c r="D19" i="7"/>
  <c r="C19" i="7"/>
  <c r="F19" i="7" s="1"/>
  <c r="B19" i="7"/>
  <c r="E12" i="7"/>
  <c r="D12" i="7"/>
  <c r="C12" i="7"/>
  <c r="B12" i="7"/>
  <c r="F12" i="7" s="1"/>
  <c r="E11" i="7"/>
  <c r="D11" i="7"/>
  <c r="C11" i="7"/>
  <c r="B11" i="7"/>
  <c r="F11" i="7" s="1"/>
  <c r="E10" i="7"/>
  <c r="D10" i="7"/>
  <c r="C10" i="7"/>
  <c r="B10" i="7"/>
  <c r="F10" i="7" s="1"/>
  <c r="E9" i="7"/>
  <c r="D9" i="7"/>
  <c r="C9" i="7"/>
  <c r="F9" i="7" s="1"/>
  <c r="B9" i="7"/>
  <c r="E8" i="7"/>
  <c r="D8" i="7"/>
  <c r="C8" i="7"/>
  <c r="B8" i="7"/>
  <c r="F8" i="7" s="1"/>
  <c r="E7" i="7"/>
  <c r="D7" i="7"/>
  <c r="F7" i="7" s="1"/>
  <c r="C7" i="7"/>
  <c r="B7" i="7"/>
  <c r="E6" i="7"/>
  <c r="E13" i="7" s="1"/>
  <c r="D6" i="7"/>
  <c r="D13" i="7" s="1"/>
  <c r="C6" i="7"/>
  <c r="C13" i="7" s="1"/>
  <c r="B6" i="7"/>
  <c r="F6" i="7" s="1"/>
  <c r="I141" i="6"/>
  <c r="H141" i="6"/>
  <c r="I140" i="6"/>
  <c r="H140" i="6"/>
  <c r="I139" i="6"/>
  <c r="H139" i="6"/>
  <c r="I138" i="6"/>
  <c r="H138" i="6"/>
  <c r="H137" i="6"/>
  <c r="I137" i="6" s="1"/>
  <c r="I136" i="6"/>
  <c r="H136" i="6"/>
  <c r="I135" i="6"/>
  <c r="H135" i="6"/>
  <c r="I134" i="6"/>
  <c r="H134" i="6"/>
  <c r="I133" i="6"/>
  <c r="H133" i="6"/>
  <c r="I132" i="6"/>
  <c r="H132" i="6"/>
  <c r="I131" i="6"/>
  <c r="H131" i="6"/>
  <c r="I130" i="6"/>
  <c r="H130" i="6"/>
  <c r="I129" i="6"/>
  <c r="H129" i="6"/>
  <c r="I128" i="6"/>
  <c r="H128" i="6"/>
  <c r="I127" i="6"/>
  <c r="H127" i="6"/>
  <c r="I126" i="6"/>
  <c r="H126" i="6"/>
  <c r="I125" i="6"/>
  <c r="H125" i="6"/>
  <c r="I124" i="6"/>
  <c r="H124" i="6"/>
  <c r="I123" i="6"/>
  <c r="H123" i="6"/>
  <c r="I122" i="6"/>
  <c r="H122" i="6"/>
  <c r="I121" i="6"/>
  <c r="H121" i="6"/>
  <c r="I120" i="6"/>
  <c r="H120" i="6"/>
  <c r="I119" i="6"/>
  <c r="H119" i="6"/>
  <c r="I118" i="6"/>
  <c r="H118" i="6"/>
  <c r="I117" i="6"/>
  <c r="H117" i="6"/>
  <c r="I116" i="6"/>
  <c r="H116" i="6"/>
  <c r="I115" i="6"/>
  <c r="H115" i="6"/>
  <c r="I114" i="6"/>
  <c r="H114" i="6"/>
  <c r="I113" i="6"/>
  <c r="H113" i="6"/>
  <c r="I112" i="6"/>
  <c r="H112" i="6"/>
  <c r="I111" i="6"/>
  <c r="H111" i="6"/>
  <c r="I110" i="6"/>
  <c r="H110" i="6"/>
  <c r="I109" i="6"/>
  <c r="H109" i="6"/>
  <c r="I108" i="6"/>
  <c r="H108" i="6"/>
  <c r="I107" i="6"/>
  <c r="H107" i="6"/>
  <c r="I106" i="6"/>
  <c r="H106" i="6"/>
  <c r="I105" i="6"/>
  <c r="H105" i="6"/>
  <c r="I104" i="6"/>
  <c r="H104" i="6"/>
  <c r="I103" i="6"/>
  <c r="H103" i="6"/>
  <c r="I102" i="6"/>
  <c r="H102" i="6"/>
  <c r="I101" i="6"/>
  <c r="H101" i="6"/>
  <c r="I100" i="6"/>
  <c r="H100" i="6"/>
  <c r="I99" i="6"/>
  <c r="H99" i="6"/>
  <c r="I98" i="6"/>
  <c r="H98" i="6"/>
  <c r="I97" i="6"/>
  <c r="H97" i="6"/>
  <c r="I96" i="6"/>
  <c r="H96" i="6"/>
  <c r="I95" i="6"/>
  <c r="H95" i="6"/>
  <c r="I94" i="6"/>
  <c r="H94" i="6"/>
  <c r="I93" i="6"/>
  <c r="H93" i="6"/>
  <c r="I92" i="6"/>
  <c r="H92" i="6"/>
  <c r="I91" i="6"/>
  <c r="H91" i="6"/>
  <c r="I90" i="6"/>
  <c r="H90" i="6"/>
  <c r="I89" i="6"/>
  <c r="H89" i="6"/>
  <c r="I88" i="6"/>
  <c r="H88" i="6"/>
  <c r="I87" i="6"/>
  <c r="H87" i="6"/>
  <c r="I86" i="6"/>
  <c r="H86" i="6"/>
  <c r="I85" i="6"/>
  <c r="H85" i="6"/>
  <c r="I84" i="6"/>
  <c r="H84" i="6"/>
  <c r="I83" i="6"/>
  <c r="H83" i="6"/>
  <c r="I82" i="6"/>
  <c r="H82" i="6"/>
  <c r="I81" i="6"/>
  <c r="H81" i="6"/>
  <c r="I80" i="6"/>
  <c r="H80" i="6"/>
  <c r="I79" i="6"/>
  <c r="H79" i="6"/>
  <c r="I78" i="6"/>
  <c r="H78" i="6"/>
  <c r="I77" i="6"/>
  <c r="H77" i="6"/>
  <c r="I76" i="6"/>
  <c r="H76" i="6"/>
  <c r="I75" i="6"/>
  <c r="H75" i="6"/>
  <c r="I74" i="6"/>
  <c r="H74" i="6"/>
  <c r="H73" i="6"/>
  <c r="I73" i="6" s="1"/>
  <c r="I72" i="6"/>
  <c r="H72" i="6"/>
  <c r="I71" i="6"/>
  <c r="H71" i="6"/>
  <c r="I70" i="6"/>
  <c r="H70" i="6"/>
  <c r="I69" i="6"/>
  <c r="H69" i="6"/>
  <c r="I68" i="6"/>
  <c r="H68" i="6"/>
  <c r="I67" i="6"/>
  <c r="H67" i="6"/>
  <c r="H66" i="6"/>
  <c r="I66" i="6" s="1"/>
  <c r="I65" i="6"/>
  <c r="H65" i="6"/>
  <c r="I64" i="6"/>
  <c r="H64" i="6"/>
  <c r="I63" i="6"/>
  <c r="H63" i="6"/>
  <c r="I62" i="6"/>
  <c r="H62" i="6"/>
  <c r="I61" i="6"/>
  <c r="H61" i="6"/>
  <c r="I60" i="6"/>
  <c r="H60" i="6"/>
  <c r="H59" i="6"/>
  <c r="I59" i="6" s="1"/>
  <c r="I58" i="6"/>
  <c r="H58" i="6"/>
  <c r="I57" i="6"/>
  <c r="H57" i="6"/>
  <c r="I56" i="6"/>
  <c r="H56" i="6"/>
  <c r="I55" i="6"/>
  <c r="H55" i="6"/>
  <c r="I54" i="6"/>
  <c r="H54" i="6"/>
  <c r="I53" i="6"/>
  <c r="H53" i="6"/>
  <c r="H52" i="6"/>
  <c r="I52" i="6" s="1"/>
  <c r="I51" i="6"/>
  <c r="H51" i="6"/>
  <c r="I50" i="6"/>
  <c r="H50" i="6"/>
  <c r="I49" i="6"/>
  <c r="H49" i="6"/>
  <c r="I48" i="6"/>
  <c r="H48" i="6"/>
  <c r="I47" i="6"/>
  <c r="H47" i="6"/>
  <c r="I46" i="6"/>
  <c r="H46" i="6"/>
  <c r="H45" i="6"/>
  <c r="I45" i="6" s="1"/>
  <c r="I44" i="6"/>
  <c r="H44" i="6"/>
  <c r="I43" i="6"/>
  <c r="H43" i="6"/>
  <c r="I42" i="6"/>
  <c r="H42" i="6"/>
  <c r="I41" i="6"/>
  <c r="H41" i="6"/>
  <c r="I40" i="6"/>
  <c r="H40" i="6"/>
  <c r="I39" i="6"/>
  <c r="H39" i="6"/>
  <c r="H38" i="6"/>
  <c r="I38" i="6" s="1"/>
  <c r="I37" i="6"/>
  <c r="H37" i="6"/>
  <c r="I36" i="6"/>
  <c r="H36" i="6"/>
  <c r="I35" i="6"/>
  <c r="H35" i="6"/>
  <c r="I34" i="6"/>
  <c r="H34" i="6"/>
  <c r="I33" i="6"/>
  <c r="H33" i="6"/>
  <c r="I32" i="6"/>
  <c r="H32" i="6"/>
  <c r="H31" i="6"/>
  <c r="I31" i="6" s="1"/>
  <c r="I30" i="6"/>
  <c r="H30" i="6"/>
  <c r="I29" i="6"/>
  <c r="H29" i="6"/>
  <c r="I28" i="6"/>
  <c r="H28" i="6"/>
  <c r="I27" i="6"/>
  <c r="H27" i="6"/>
  <c r="I26" i="6"/>
  <c r="H26" i="6"/>
  <c r="I25" i="6"/>
  <c r="H25" i="6"/>
  <c r="H24" i="6"/>
  <c r="I24" i="6" s="1"/>
  <c r="I23" i="6"/>
  <c r="H23" i="6"/>
  <c r="I22" i="6"/>
  <c r="H22" i="6"/>
  <c r="I21" i="6"/>
  <c r="H21" i="6"/>
  <c r="I20" i="6"/>
  <c r="H20" i="6"/>
  <c r="I19" i="6"/>
  <c r="H19" i="6"/>
  <c r="I18" i="6"/>
  <c r="H18" i="6"/>
  <c r="H17" i="6"/>
  <c r="I17" i="6" s="1"/>
  <c r="I16" i="6"/>
  <c r="H16" i="6"/>
  <c r="I15" i="6"/>
  <c r="H15" i="6"/>
  <c r="I14" i="6"/>
  <c r="H14" i="6"/>
  <c r="I13" i="6"/>
  <c r="H13" i="6"/>
  <c r="I12" i="6"/>
  <c r="H12" i="6"/>
  <c r="I11" i="6"/>
  <c r="H11" i="6"/>
  <c r="H10" i="6"/>
  <c r="I10" i="6" s="1"/>
  <c r="I9" i="6"/>
  <c r="H9" i="6"/>
  <c r="I8" i="6"/>
  <c r="H8" i="6"/>
  <c r="I7" i="6"/>
  <c r="H7" i="6"/>
  <c r="I6" i="6"/>
  <c r="H6" i="6"/>
  <c r="I5" i="6"/>
  <c r="H5" i="6"/>
  <c r="H4" i="6"/>
  <c r="I4" i="6" s="1"/>
  <c r="B49" i="5"/>
  <c r="B48" i="5"/>
  <c r="C48" i="5" s="1"/>
  <c r="B47" i="5"/>
  <c r="C47" i="5" s="1"/>
  <c r="B46" i="5"/>
  <c r="C46" i="5" s="1"/>
  <c r="B45" i="5"/>
  <c r="C45" i="5" s="1"/>
  <c r="B44" i="5"/>
  <c r="C44" i="5" s="1"/>
  <c r="B43" i="5"/>
  <c r="C43" i="5" s="1"/>
  <c r="E37" i="5"/>
  <c r="D37" i="5"/>
  <c r="B37" i="5"/>
  <c r="C37" i="5" s="1"/>
  <c r="E36" i="5"/>
  <c r="D36" i="5"/>
  <c r="B36" i="5"/>
  <c r="C36" i="5" s="1"/>
  <c r="E35" i="5"/>
  <c r="D35" i="5"/>
  <c r="B35" i="5"/>
  <c r="C35" i="5" s="1"/>
  <c r="E34" i="5"/>
  <c r="D34" i="5"/>
  <c r="B34" i="5"/>
  <c r="C34" i="5" s="1"/>
  <c r="E33" i="5"/>
  <c r="D33" i="5"/>
  <c r="B33" i="5"/>
  <c r="C33" i="5" s="1"/>
  <c r="E32" i="5"/>
  <c r="D32" i="5"/>
  <c r="B32" i="5"/>
  <c r="C32" i="5" s="1"/>
  <c r="E31" i="5"/>
  <c r="D31" i="5"/>
  <c r="B31" i="5"/>
  <c r="C31" i="5" s="1"/>
  <c r="E30" i="5"/>
  <c r="D30" i="5"/>
  <c r="B30" i="5"/>
  <c r="C30" i="5" s="1"/>
  <c r="E29" i="5"/>
  <c r="D29" i="5"/>
  <c r="B29" i="5"/>
  <c r="C29" i="5" s="1"/>
  <c r="E28" i="5"/>
  <c r="D28" i="5"/>
  <c r="B28" i="5"/>
  <c r="C28" i="5" s="1"/>
  <c r="E21" i="5"/>
  <c r="D21" i="5"/>
  <c r="B21" i="5"/>
  <c r="C21" i="5" s="1"/>
  <c r="E20" i="5"/>
  <c r="D20" i="5"/>
  <c r="B20" i="5"/>
  <c r="C20" i="5" s="1"/>
  <c r="E19" i="5"/>
  <c r="D19" i="5"/>
  <c r="B19" i="5"/>
  <c r="C19" i="5" s="1"/>
  <c r="E18" i="5"/>
  <c r="D18" i="5"/>
  <c r="B18" i="5"/>
  <c r="C18" i="5" s="1"/>
  <c r="E17" i="5"/>
  <c r="D17" i="5"/>
  <c r="B17" i="5"/>
  <c r="C17" i="5" s="1"/>
  <c r="E16" i="5"/>
  <c r="D16" i="5"/>
  <c r="B16" i="5"/>
  <c r="C16" i="5" s="1"/>
  <c r="E15" i="5"/>
  <c r="E22" i="5" s="1"/>
  <c r="D15" i="5"/>
  <c r="D22" i="5" s="1"/>
  <c r="B15" i="5"/>
  <c r="C15" i="5" s="1"/>
  <c r="C9" i="5"/>
  <c r="D9" i="5" s="1"/>
  <c r="C8" i="5"/>
  <c r="D8" i="5" s="1"/>
  <c r="C7" i="5"/>
  <c r="D7" i="5" s="1"/>
  <c r="C6" i="5"/>
  <c r="D6" i="5" s="1"/>
  <c r="B10" i="3"/>
  <c r="B14" i="3" s="1"/>
  <c r="B15" i="3" s="1"/>
  <c r="B19" i="3" s="1"/>
  <c r="B23" i="3" s="1"/>
  <c r="D10" i="5" l="1"/>
  <c r="F13" i="7"/>
  <c r="C22" i="5"/>
  <c r="B149" i="6"/>
  <c r="B148" i="6"/>
  <c r="B147" i="6"/>
  <c r="B146" i="6"/>
  <c r="B13" i="7"/>
  <c r="B22" i="5"/>
  <c r="C10" i="5"/>
</calcChain>
</file>

<file path=xl/sharedStrings.xml><?xml version="1.0" encoding="utf-8"?>
<sst xmlns="http://schemas.openxmlformats.org/spreadsheetml/2006/main" count="3544" uniqueCount="1648">
  <si>
    <t>Supplementary File 1</t>
  </si>
  <si>
    <t>PRISMA 2020 Coded Data Extraction Table for the Systematic Review: “Integrating Participatory Processes, Conflict Management, and Circular Economy for Sustainable Natural Resource Governance — A Participation–Conflict–Circularity (PCC) Nexus Approach.”</t>
  </si>
  <si>
    <t>Review period</t>
  </si>
  <si>
    <t>January 2000 – March 2026</t>
  </si>
  <si>
    <t>Databases searched</t>
  </si>
  <si>
    <t>Scopus, Web of Science, ScienceDirect, Wiley Online Library (plus snowballing from key references)</t>
  </si>
  <si>
    <t>PRISMA protocol</t>
  </si>
  <si>
    <t>PRISMA 2020 (Page et al., 2021)</t>
  </si>
  <si>
    <t>Total records identified</t>
  </si>
  <si>
    <t>1,847</t>
  </si>
  <si>
    <t>Duplicates removed</t>
  </si>
  <si>
    <t>412</t>
  </si>
  <si>
    <t>Records screened (title/abstract)</t>
  </si>
  <si>
    <t>1,435</t>
  </si>
  <si>
    <t>Full-text articles assessed</t>
  </si>
  <si>
    <t>312</t>
  </si>
  <si>
    <t>Studies included in synthesis</t>
  </si>
  <si>
    <t>138</t>
  </si>
  <si>
    <t>Quality appraisal tool</t>
  </si>
  <si>
    <t>CASP (qualitative) and MMAT 2018 (mixed methods)</t>
  </si>
  <si>
    <t>Risk-of-bias tool</t>
  </si>
  <si>
    <t>ROBIS (for systematic reviews within corpus)</t>
  </si>
  <si>
    <t>Sheets in this workbook</t>
  </si>
  <si>
    <t>1. Cover</t>
  </si>
  <si>
    <t>This page — protocol summary and sheet index</t>
  </si>
  <si>
    <t>2. Codebook</t>
  </si>
  <si>
    <t>Variable definitions, coding scheme, and quality score rubric</t>
  </si>
  <si>
    <t>3. PRISMA flow</t>
  </si>
  <si>
    <t>Record counts at each PRISMA phase with exclusion reasons</t>
  </si>
  <si>
    <t>4. Extraction table</t>
  </si>
  <si>
    <t>Full coded extraction of 138 included studies (22 variables each)</t>
  </si>
  <si>
    <t>5. Summary by domain</t>
  </si>
  <si>
    <t>Cross-tabulations of domain coverage, integration type, methods</t>
  </si>
  <si>
    <t>6. Quality appraisal</t>
  </si>
  <si>
    <t>Per-study quality scores and risk-of-bias summary</t>
  </si>
  <si>
    <t>7. Gap matrix</t>
  </si>
  <si>
    <t>Domain-by-region and domain-by-sector integration gaps</t>
  </si>
  <si>
    <t>Citation</t>
  </si>
  <si>
    <t>To cite this supplementary file, cite the main article and reference Supplementary File 1.</t>
  </si>
  <si>
    <t>Contact</t>
  </si>
  <si>
    <t>Corresponding author (see main manuscript).</t>
  </si>
  <si>
    <t>Codebook — variable definitions and coding scheme</t>
  </si>
  <si>
    <t>Variable</t>
  </si>
  <si>
    <t>Type</t>
  </si>
  <si>
    <t>Allowed values / coding rule</t>
  </si>
  <si>
    <t>Rationale</t>
  </si>
  <si>
    <t>Study ID</t>
  </si>
  <si>
    <t>Text</t>
  </si>
  <si>
    <t>S001–S138, sequential</t>
  </si>
  <si>
    <t>Unique identifier</t>
  </si>
  <si>
    <t>Author (year)</t>
  </si>
  <si>
    <t>First author surname + year (APA short form)</t>
  </si>
  <si>
    <t>Primary citation</t>
  </si>
  <si>
    <t>Country / region</t>
  </si>
  <si>
    <t>ISO-3 country code(s) or region; “Global” if comparative multi-region</t>
  </si>
  <si>
    <t>Geographic context</t>
  </si>
  <si>
    <t>Continent</t>
  </si>
  <si>
    <t>Categorical</t>
  </si>
  <si>
    <t>Africa / Asia / Europe / North America / Latin America / Oceania / Global</t>
  </si>
  <si>
    <t>Regional synthesis</t>
  </si>
  <si>
    <t>Sector</t>
  </si>
  <si>
    <t>Categorical (multi-select)</t>
  </si>
  <si>
    <t>Fisheries / Forestry / Water / Mining / Agriculture / Wildlife / Protected area / Energy / Waste / Multi-sector</t>
  </si>
  <si>
    <t>Sectoral gap analysis</t>
  </si>
  <si>
    <t>Primary domain(s)</t>
  </si>
  <si>
    <t>P = Participation; C = Conflict management; CE = Circular economy; D = Digital; I = Integrated</t>
  </si>
  <si>
    <t>Core pillar mapping</t>
  </si>
  <si>
    <t>Domain combination</t>
  </si>
  <si>
    <t>Single / Dual / Tri / Tri+Digital (PCC-D)</t>
  </si>
  <si>
    <t>Integration type</t>
  </si>
  <si>
    <t>Study type</t>
  </si>
  <si>
    <t>Empirical–qual / Empirical–quant / Mixed methods / Modelling / Case study / Systematic review / Conceptual</t>
  </si>
  <si>
    <t>Evidence base</t>
  </si>
  <si>
    <t>Methodology</t>
  </si>
  <si>
    <t>Free text (e.g., fuzzy cognitive mapping, Delphi, Q-method, ethnography)</t>
  </si>
  <si>
    <t>Method transparency</t>
  </si>
  <si>
    <t>Sample / scope</t>
  </si>
  <si>
    <t>Number of stakeholders / cases / documents analysed; study duration</t>
  </si>
  <si>
    <t>External validity</t>
  </si>
  <si>
    <t>Theoretical framework</t>
  </si>
  <si>
    <t>Named framework (Ostrom, Arnstein, Glasl–Yasmi, CE-3R, INRM, WEFE, etc.)</t>
  </si>
  <si>
    <t>Theoretical grounding</t>
  </si>
  <si>
    <t>Key finding(s)</t>
  </si>
  <si>
    <t>1–3 sentence synthesis of main empirical/theoretical contribution</t>
  </si>
  <si>
    <t>Core evidence</t>
  </si>
  <si>
    <t>Integration mechanism</t>
  </si>
  <si>
    <t>How participation/conflict/CE/digital interact in the case (if applicable)</t>
  </si>
  <si>
    <t>PCC framework evidence</t>
  </si>
  <si>
    <t>Outcome dimensions</t>
  </si>
  <si>
    <t>Legitimacy / Learning / Behavioural change / Redistribution / Resource outcomes / Conflict de-escalation / Circularity gain</t>
  </si>
  <si>
    <t>Outcome mapping</t>
  </si>
  <si>
    <t>Barriers identified</t>
  </si>
  <si>
    <t>Free text — elite capture, funding, regulatory, data, capacity, etc.</t>
  </si>
  <si>
    <t>Failure patterns</t>
  </si>
  <si>
    <t>Power / equity lens</t>
  </si>
  <si>
    <t>Binary</t>
  </si>
  <si>
    <t>Yes / No — does the study explicitly analyse power, equity, or distribution?</t>
  </si>
  <si>
    <t>Critical synthesis</t>
  </si>
  <si>
    <t>Digital tool used</t>
  </si>
  <si>
    <t>None / Blockchain / IoT / AI–ML / GIS–remote sensing / DSS / Mobile platform</t>
  </si>
  <si>
    <t>Technology enablers</t>
  </si>
  <si>
    <t>Gap / limitation noted by authors</t>
  </si>
  <si>
    <t>Author-identified limitations and research gaps</t>
  </si>
  <si>
    <t>Gap synthesis</t>
  </si>
  <si>
    <t>Relevance to PCC framework</t>
  </si>
  <si>
    <t>Ordinal</t>
  </si>
  <si>
    <t>High / Medium / Low — weighted by integration depth and transferability</t>
  </si>
  <si>
    <t>Framework defense</t>
  </si>
  <si>
    <t>Quality score (0–5)</t>
  </si>
  <si>
    <t>Composite score: clarity of aims, design appropriateness, data rigour, reflexivity, contribution</t>
  </si>
  <si>
    <t>Appraisal</t>
  </si>
  <si>
    <t>Risk of bias</t>
  </si>
  <si>
    <t>Low / Moderate / High / Unclear</t>
  </si>
  <si>
    <t>ROBIS / MMAT-aligned</t>
  </si>
  <si>
    <t>Source database</t>
  </si>
  <si>
    <t>Scopus / WoS / SD / Wiley / Snowball</t>
  </si>
  <si>
    <t>Search provenance</t>
  </si>
  <si>
    <t>Quality score rubric (0–5 composite)</t>
  </si>
  <si>
    <t>Criterion</t>
  </si>
  <si>
    <t>0 = Absent</t>
  </si>
  <si>
    <t>1 = Partial</t>
  </si>
  <si>
    <t>2 = Strong</t>
  </si>
  <si>
    <t>Clarity of aims &amp; research question</t>
  </si>
  <si>
    <t>Not stated</t>
  </si>
  <si>
    <t>Implied</t>
  </si>
  <si>
    <t>Explicit, testable</t>
  </si>
  <si>
    <t>Design appropriate for aim</t>
  </si>
  <si>
    <t>Mismatched</t>
  </si>
  <si>
    <t>Partially suited</t>
  </si>
  <si>
    <t>Well-matched</t>
  </si>
  <si>
    <t>Data rigour / triangulation</t>
  </si>
  <si>
    <t>Single source, thin</t>
  </si>
  <si>
    <t>One method, reasonable</t>
  </si>
  <si>
    <t>Multi-source / mixed</t>
  </si>
  <si>
    <t>Reflexivity on power &amp; positionality</t>
  </si>
  <si>
    <t>None</t>
  </si>
  <si>
    <t>Brief acknowledgement</t>
  </si>
  <si>
    <t>Deep, analytic</t>
  </si>
  <si>
    <t>Contribution to governance theory/practice</t>
  </si>
  <si>
    <t>Descriptive</t>
  </si>
  <si>
    <t>Incremental</t>
  </si>
  <si>
    <t>Novel or transferable</t>
  </si>
  <si>
    <t>Scores are summed (max 10) then rescaled to 0–5. Inter-coder agreement (two coders on 20% of corpus) Cohen's κ = 0.78.</t>
  </si>
  <si>
    <t>PRISMA 2020 flow — record counts by phase</t>
  </si>
  <si>
    <t>Phase</t>
  </si>
  <si>
    <t>Records</t>
  </si>
  <si>
    <t>Notes</t>
  </si>
  <si>
    <t>Exclusion reasons (where applicable)</t>
  </si>
  <si>
    <t>IDENTIFICATION</t>
  </si>
  <si>
    <t>Scopus</t>
  </si>
  <si>
    <t>Search executed 2026-03-10</t>
  </si>
  <si>
    <t>—</t>
  </si>
  <si>
    <t>Web of Science</t>
  </si>
  <si>
    <t>ScienceDirect</t>
  </si>
  <si>
    <t>Search executed 2026-03-11</t>
  </si>
  <si>
    <t>Wiley Online Library</t>
  </si>
  <si>
    <t>Snowballing / hand-search</t>
  </si>
  <si>
    <t>Key references in editor's corpus + Scopus AI export</t>
  </si>
  <si>
    <t>SCREENING</t>
  </si>
  <si>
    <t>De-duplicated via DOI + fuzzy title match in Zotero</t>
  </si>
  <si>
    <t>Records after de-duplication</t>
  </si>
  <si>
    <t>Two independent reviewers</t>
  </si>
  <si>
    <t>Records excluded at screening</t>
  </si>
  <si>
    <t>Against inclusion criteria</t>
  </si>
  <si>
    <t>Off-topic (n=612); non-English (n=189); non-peer-reviewed (n=142); opinion/editorial (n=103); pre-2000 (n=77)</t>
  </si>
  <si>
    <t>ELIGIBILITY</t>
  </si>
  <si>
    <t>Full-text articles excluded</t>
  </si>
  <si>
    <t>With reasons</t>
  </si>
  <si>
    <t>No governance focus (n=58); no empirical or theoretical engagement with pillars (n=44); insufficient methodological detail (n=31); case irretrievable / duplicate data (n=22); commentary only (n=19)</t>
  </si>
  <si>
    <t>INCLUDED</t>
  </si>
  <si>
    <t>Studies included in qualitative synthesis</t>
  </si>
  <si>
    <t>138 studies</t>
  </si>
  <si>
    <t>Studies included in quantitative / cross-tab synthesis</t>
  </si>
  <si>
    <t>All 138 contribute to gap matrix</t>
  </si>
  <si>
    <t>Coded data extraction — 138 included studies (2000–2026). Domain codes: P = Participation; C = Conflict management; CE = Circular economy; D = Digital; I = Integrated framework.</t>
  </si>
  <si>
    <t>ID</t>
  </si>
  <si>
    <t>Country / Region</t>
  </si>
  <si>
    <t>Domain combo</t>
  </si>
  <si>
    <t>Key finding</t>
  </si>
  <si>
    <t>Digital tool</t>
  </si>
  <si>
    <t>Gap / limitation</t>
  </si>
  <si>
    <t>Relevance to PCC</t>
  </si>
  <si>
    <t>Quality (0–5)</t>
  </si>
  <si>
    <t>Source DB</t>
  </si>
  <si>
    <t>S001</t>
  </si>
  <si>
    <t>Bixler et al. (2015)</t>
  </si>
  <si>
    <t>USA; Global review</t>
  </si>
  <si>
    <t>North America</t>
  </si>
  <si>
    <t>Protected area; Multi-sector</t>
  </si>
  <si>
    <t>P</t>
  </si>
  <si>
    <t>Single</t>
  </si>
  <si>
    <t>Conceptual / review</t>
  </si>
  <si>
    <t>Political-ecology discourse analysis</t>
  </si>
  <si>
    <t>Review of participatory conservation literature</t>
  </si>
  <si>
    <t>Political ecology; Adaptive co-management</t>
  </si>
  <si>
    <t>Participatory conservation operates within discourses that can either democratize decision-making or entrench elite institutions; frames determine outcomes.</t>
  </si>
  <si>
    <t>P precondition for I — flags risk that participation alone re-inscribes power</t>
  </si>
  <si>
    <t>Legitimacy; Redistribution</t>
  </si>
  <si>
    <t>Discursive capture; institutional inertia</t>
  </si>
  <si>
    <t>Yes</t>
  </si>
  <si>
    <t>Lacks empirical metrics for discourse-institution linkage</t>
  </si>
  <si>
    <t>High</t>
  </si>
  <si>
    <t>Low</t>
  </si>
  <si>
    <t>S002</t>
  </si>
  <si>
    <t>Pourcq et al. (2015)</t>
  </si>
  <si>
    <t>Global (protected areas)</t>
  </si>
  <si>
    <t>Global</t>
  </si>
  <si>
    <t>Protected area; Forestry</t>
  </si>
  <si>
    <t>P, C</t>
  </si>
  <si>
    <t>Dual</t>
  </si>
  <si>
    <t>Systematic review</t>
  </si>
  <si>
    <t>Narrative review of co-management cases</t>
  </si>
  <si>
    <t>28 enabling conditions across ~50 protected-area co-management cases</t>
  </si>
  <si>
    <t>Ostrom design principles; Co-management</t>
  </si>
  <si>
    <t>Co-management reduces conflicts only when specific enabling conditions (ownership, effective participation, conflict-resolution mechanisms) are met.</t>
  </si>
  <si>
    <t>P–C linkage: participatory ownership directly correlated with conflict reduction</t>
  </si>
  <si>
    <t>Legitimacy; Conflict de-escalation; Resource outcomes</t>
  </si>
  <si>
    <t>Power asymmetry; weak tenure; inadequate conflict-resolution design</t>
  </si>
  <si>
    <t>Limited quantitative validation of the 28 conditions</t>
  </si>
  <si>
    <t>S003</t>
  </si>
  <si>
    <t>Wynberg et al. (2014)</t>
  </si>
  <si>
    <t>Global (coasts)</t>
  </si>
  <si>
    <t>Fisheries; Protected area</t>
  </si>
  <si>
    <t>Conceptual framework</t>
  </si>
  <si>
    <t>Framework development with empirical examples</t>
  </si>
  <si>
    <t>Small-scale fisheries case synthesis</t>
  </si>
  <si>
    <t>CBNRM; Benefit-sharing theory</t>
  </si>
  <si>
    <t>People-Power-Coast framework reframes benefit-sharing as power distribution rather than revenue sharing.</t>
  </si>
  <si>
    <t>P pillar: power-explicit participatory design</t>
  </si>
  <si>
    <t>Redistribution; Legitimacy</t>
  </si>
  <si>
    <t>Tokenism; decentralization without devolution</t>
  </si>
  <si>
    <t>Needs sector-specific operationalization</t>
  </si>
  <si>
    <t>S004</t>
  </si>
  <si>
    <t>Pétursson &amp; Kristófersson (2021)</t>
  </si>
  <si>
    <t>Iceland</t>
  </si>
  <si>
    <t>Europe</t>
  </si>
  <si>
    <t>Protected area</t>
  </si>
  <si>
    <t>Case study</t>
  </si>
  <si>
    <t>Governance system analysis of Vatnajökull National Park</t>
  </si>
  <si>
    <t>1 park, multi-actor board, 2008–2020</t>
  </si>
  <si>
    <t>Co-management; Governance system theory</t>
  </si>
  <si>
    <t>Tailor-made co-management regime built legitimacy after predecessor failures but was later destabilised by unresolved concession conflicts.</t>
  </si>
  <si>
    <t>P–C: participation without conflict infrastructure is fragile</t>
  </si>
  <si>
    <t>Legitimacy; Learning</t>
  </si>
  <si>
    <t>Concession governance gap; weak conflict escalation protocol</t>
  </si>
  <si>
    <t>Single-case; temporal cut-off</t>
  </si>
  <si>
    <t>S005</t>
  </si>
  <si>
    <t>Fidler et al. (2022)</t>
  </si>
  <si>
    <t>Global (multi-use MPAs)</t>
  </si>
  <si>
    <t>Protected area; Fisheries</t>
  </si>
  <si>
    <t>Meta-synthesis of MPA governance outcomes</t>
  </si>
  <si>
    <t>Multiple MPA cases worldwide</t>
  </si>
  <si>
    <t>Equitable governance; Conservation effectiveness</t>
  </si>
  <si>
    <t>Participation and equitable governance — not penalties — drive MPA effectiveness.</t>
  </si>
  <si>
    <t>P pillar: equity precondition for outcome</t>
  </si>
  <si>
    <t>Legitimacy; Resource outcomes; Redistribution</t>
  </si>
  <si>
    <t>Top-down enforcement; tenure insecurity</t>
  </si>
  <si>
    <t>Outcome metrics heterogeneous across cases</t>
  </si>
  <si>
    <t>S006</t>
  </si>
  <si>
    <t>Fisher et al. (2019)</t>
  </si>
  <si>
    <t>Peru – Amazon Basin</t>
  </si>
  <si>
    <t>Latin America</t>
  </si>
  <si>
    <t>Adaptive learning network; participatory conflict analysis</t>
  </si>
  <si>
    <t>Multi-stakeholder intervention, 2015–2018</t>
  </si>
  <si>
    <t>Collaborative governance; Adaptive learning</t>
  </si>
  <si>
    <t>Elicitive co-designed training transformed entrenched conflict into cooperation through joint problem definition.</t>
  </si>
  <si>
    <t>P–C: elicitive participation is conflict-management mechanism</t>
  </si>
  <si>
    <t>Learning; Conflict de-escalation; Behavioural change</t>
  </si>
  <si>
    <t>Turnover of stakeholder representatives; funding cycles</t>
  </si>
  <si>
    <t>Short monitoring window</t>
  </si>
  <si>
    <t>S007</t>
  </si>
  <si>
    <t>Sultana et al. (2018)</t>
  </si>
  <si>
    <t>Bangladesh; Nepal</t>
  </si>
  <si>
    <t>Asia</t>
  </si>
  <si>
    <t>Water; Forestry; Fisheries</t>
  </si>
  <si>
    <t>Mixed methods</t>
  </si>
  <si>
    <t>Action research; community surveys</t>
  </si>
  <si>
    <t>19 community cases in Bangladesh and Nepal</t>
  </si>
  <si>
    <t>Adaptive governance; Climate adaptation</t>
  </si>
  <si>
    <t>Participatory dialogue plus incentive structures transformed conflicts into cooperation; physical works alone did not.</t>
  </si>
  <si>
    <t>P–C: incentive-aligned deliberation drives transformation</t>
  </si>
  <si>
    <t>Behavioural change; Conflict de-escalation; Legitimacy</t>
  </si>
  <si>
    <t>Elite capture; funding discontinuity</t>
  </si>
  <si>
    <t>Heterogeneous outcome measures across 19 sites</t>
  </si>
  <si>
    <t>S008</t>
  </si>
  <si>
    <t>Siangulube et al. (2023)</t>
  </si>
  <si>
    <t>Zambia – Kalomo</t>
  </si>
  <si>
    <t>Africa</t>
  </si>
  <si>
    <t>Multi-sector; Forestry; Agriculture</t>
  </si>
  <si>
    <t>Comparative MSP analysis; interviews; participant obs.</t>
  </si>
  <si>
    <t>2 MSPs; 45 interviews</t>
  </si>
  <si>
    <t>Landscape approach; Deliberative governance</t>
  </si>
  <si>
    <t>Formal and informal MSPs each advance deliberative governance differently; local-level MSPs excel at customary conflict resolution.</t>
  </si>
  <si>
    <t>P–C: MSPs as conflict-management infrastructure</t>
  </si>
  <si>
    <t>Legitimacy; Conflict de-escalation</t>
  </si>
  <si>
    <t>Elite capture; hidden power; cross-level coordination gaps</t>
  </si>
  <si>
    <t>Two-platform sample; Zambian specificity</t>
  </si>
  <si>
    <t>S009</t>
  </si>
  <si>
    <t>Kenny &amp; Castilla-Rho (2022)</t>
  </si>
  <si>
    <t>Water; Multi-sector</t>
  </si>
  <si>
    <t>Review</t>
  </si>
  <si>
    <t>Behavioural review of participatory modelling</t>
  </si>
  <si>
    <t>Review of participatory modelling cases</t>
  </si>
  <si>
    <t>Participatory modelling; Behavioural science</t>
  </si>
  <si>
    <t>Human-behavioural barriers (trust, power, expectations) are the dominant constraint on participatory modelling success.</t>
  </si>
  <si>
    <t>P pillar: behavioural design principle</t>
  </si>
  <si>
    <t>Learning; Legitimacy</t>
  </si>
  <si>
    <t>Trust deficit; power asymmetry; facilitation capacity</t>
  </si>
  <si>
    <t>Lacks quantitative effect sizes</t>
  </si>
  <si>
    <t>S010</t>
  </si>
  <si>
    <t>Tosunlu et al. (2025)</t>
  </si>
  <si>
    <t>Tunisia</t>
  </si>
  <si>
    <t>Water (groundwater); Agriculture</t>
  </si>
  <si>
    <t>Problem Structuring Methods + C-K theory (P-KCP)</t>
  </si>
  <si>
    <t>Lymaoua Ghar El Melh aquifer; ≈ 30 stakeholders</t>
  </si>
  <si>
    <t>Problem Structuring Methods; C-K design theory</t>
  </si>
  <si>
    <t>Integrating PSMs with design theory generated 39 innovative groundwater policy alternatives but revealed gender/farmer representation gaps.</t>
  </si>
  <si>
    <t>P pillar: design-theoretic participatory governance</t>
  </si>
  <si>
    <t>Learning; Redistribution</t>
  </si>
  <si>
    <t>Gender underrepresentation; farmer exclusion</t>
  </si>
  <si>
    <t>DSS</t>
  </si>
  <si>
    <t>Single aquifer; short-term pilot</t>
  </si>
  <si>
    <t>S011</t>
  </si>
  <si>
    <t>Durant et al. (2022)</t>
  </si>
  <si>
    <t>Africa (multi-country)</t>
  </si>
  <si>
    <t>Wildlife</t>
  </si>
  <si>
    <t>Conceptual / Theory of Change</t>
  </si>
  <si>
    <t>Theory-of-change workshops</t>
  </si>
  <si>
    <t>Large-carnivore coexistence programs</t>
  </si>
  <si>
    <t>Theory of Change; Coexistence</t>
  </si>
  <si>
    <t>Facilitation teams regarded as independent by all stakeholders are the decisive variable in coexistence outcomes.</t>
  </si>
  <si>
    <t>P–C: facilitation as cross-cutting enabler</t>
  </si>
  <si>
    <t>Behavioural change; Conflict de-escalation</t>
  </si>
  <si>
    <t>Facilitator availability; power asymmetry</t>
  </si>
  <si>
    <t>Limited empirical validation</t>
  </si>
  <si>
    <t>Medium</t>
  </si>
  <si>
    <t>S012</t>
  </si>
  <si>
    <t>Urquhart et al. (2023)</t>
  </si>
  <si>
    <t>United Kingdom</t>
  </si>
  <si>
    <t>Forestry; Fisheries</t>
  </si>
  <si>
    <t>Comparative case</t>
  </si>
  <si>
    <t>Co-design framework application</t>
  </si>
  <si>
    <t>Tree health + fisheries cases, UK</t>
  </si>
  <si>
    <t>Co-production; Co-design</t>
  </si>
  <si>
    <t>Co-designing policy with end users improved compliance and captured regional variation better than top-down forms.</t>
  </si>
  <si>
    <t>P pillar: co-design as policy mechanism</t>
  </si>
  <si>
    <t>Behavioural change; Legitimacy</t>
  </si>
  <si>
    <t>Agency capacity; time demands</t>
  </si>
  <si>
    <t>Two sectors; UK specificity</t>
  </si>
  <si>
    <t>S013</t>
  </si>
  <si>
    <t>Sorrentino et al. (2018)</t>
  </si>
  <si>
    <t>Multi-sector</t>
  </si>
  <si>
    <t>Conceptual</t>
  </si>
  <si>
    <t>Conceptual synthesis</t>
  </si>
  <si>
    <t>Co-production theory review</t>
  </si>
  <si>
    <t>New Public Governance; Co-production</t>
  </si>
  <si>
    <t>Distinction between traditional and non-traditional co-production clarifies enabling conditions and governance challenges.</t>
  </si>
  <si>
    <t>P pillar: typological clarity</t>
  </si>
  <si>
    <t>Legitimacy</t>
  </si>
  <si>
    <t>Abstract; limited operationalization</t>
  </si>
  <si>
    <t>No</t>
  </si>
  <si>
    <t>Needs empirical instantiation</t>
  </si>
  <si>
    <t>S014</t>
  </si>
  <si>
    <t>Krampe et al. (2021)</t>
  </si>
  <si>
    <t>Global (post-conflict)</t>
  </si>
  <si>
    <t>C</t>
  </si>
  <si>
    <t>Mechanism-based theory building</t>
  </si>
  <si>
    <t>Post-conflict resource governance literature</t>
  </si>
  <si>
    <t>Environmental peacebuilding</t>
  </si>
  <si>
    <t>Three mechanisms (contact hypothesis, norm diffusion, state service provision) translate resource governance into positive peace.</t>
  </si>
  <si>
    <t>C pillar: mechanism specification</t>
  </si>
  <si>
    <t>Conflict de-escalation; Legitimacy</t>
  </si>
  <si>
    <t>Elite capture; securitization</t>
  </si>
  <si>
    <t>Lacks systematic empirical test</t>
  </si>
  <si>
    <t>S015</t>
  </si>
  <si>
    <t>Yasmi et al. (2006)</t>
  </si>
  <si>
    <t>Global; Indonesia</t>
  </si>
  <si>
    <t>Forestry</t>
  </si>
  <si>
    <t>Empirical / modelling</t>
  </si>
  <si>
    <t>Markov-chain analysis of 118 conflict cases</t>
  </si>
  <si>
    <t>118 documented forest conflicts</t>
  </si>
  <si>
    <t>Glasl escalation; Markov modelling</t>
  </si>
  <si>
    <t>Forest resource conflicts escalate through eight identifiable stages with probabilistic transitions; no single generic path exists.</t>
  </si>
  <si>
    <t>C pillar: escalation diagnostic</t>
  </si>
  <si>
    <t>Conflict de-escalation</t>
  </si>
  <si>
    <t>Late-stage intervention failure</t>
  </si>
  <si>
    <t>Dataset biased to documented cases</t>
  </si>
  <si>
    <t>S016</t>
  </si>
  <si>
    <t>Kyllönen et al. (2006)</t>
  </si>
  <si>
    <t>Finland</t>
  </si>
  <si>
    <t>Forestry; Reindeer husbandry</t>
  </si>
  <si>
    <t>C, P</t>
  </si>
  <si>
    <t>Policy-document analysis; interviews</t>
  </si>
  <si>
    <t>Finnish forest-reindeer conflicts</t>
  </si>
  <si>
    <t>Institutional conflict theory</t>
  </si>
  <si>
    <t>Conflict management is a means, not an end — sustainable use requires integrating conflict resolution into institutional design.</t>
  </si>
  <si>
    <t>C–P: institutional design integration</t>
  </si>
  <si>
    <t>Jurisdictional fragmentation</t>
  </si>
  <si>
    <t>Country-specific legal context</t>
  </si>
  <si>
    <t>S017</t>
  </si>
  <si>
    <t>Ojha et al. (2019)</t>
  </si>
  <si>
    <t>Nepal</t>
  </si>
  <si>
    <t>Forestry; Water</t>
  </si>
  <si>
    <t>Action research; deliberation analysis</t>
  </si>
  <si>
    <t>Multi-community natural-resource cases</t>
  </si>
  <si>
    <t>Adaptive learning; Deliberation</t>
  </si>
  <si>
    <t>Adaptive learning plus deliberation transforms conflicts into cooperation when paired with graduated incentive structures.</t>
  </si>
  <si>
    <t>C–P: deliberation operationalization</t>
  </si>
  <si>
    <t>Learning; Conflict de-escalation</t>
  </si>
  <si>
    <t>Power asymmetry; elite facilitation</t>
  </si>
  <si>
    <t>Temporal bounded observation</t>
  </si>
  <si>
    <t>S018</t>
  </si>
  <si>
    <t>Losa et al. (2001)</t>
  </si>
  <si>
    <t>Water</t>
  </si>
  <si>
    <t>Methodological</t>
  </si>
  <si>
    <t>Multi-criteria biplot analysis</t>
  </si>
  <si>
    <t>MCDA conflict applications</t>
  </si>
  <si>
    <t>MCDA; Multivariate biplot</t>
  </si>
  <si>
    <t>Covariance biplots visualise multi-actor value conflicts and support post-hoc consensus building.</t>
  </si>
  <si>
    <t>C pillar: visualization method</t>
  </si>
  <si>
    <t>Learning</t>
  </si>
  <si>
    <t>Post-hoc use limits real-time decision support</t>
  </si>
  <si>
    <t>Mostly illustrative</t>
  </si>
  <si>
    <t>S019</t>
  </si>
  <si>
    <t>Raitio (2013)</t>
  </si>
  <si>
    <t>Discursive institutional analysis</t>
  </si>
  <si>
    <t>State-owned old-growth forest conflict</t>
  </si>
  <si>
    <t>Discursive institutionalism</t>
  </si>
  <si>
    <t>Frame contests over ‘sustainable use’ drove institutional change in Finnish state forests.</t>
  </si>
  <si>
    <t>C pillar: discursive analysis</t>
  </si>
  <si>
    <t>Frame rigidity</t>
  </si>
  <si>
    <t>Single national case</t>
  </si>
  <si>
    <t>S020</t>
  </si>
  <si>
    <t>Díez et al. (2015)</t>
  </si>
  <si>
    <t>Spain (Basque Country)</t>
  </si>
  <si>
    <t>Evaluation of participatory policy pilot</t>
  </si>
  <si>
    <t>Natura 2000 pilot case</t>
  </si>
  <si>
    <t>Deliberative governance</t>
  </si>
  <si>
    <t>Structured participation improved policy legitimacy but did not overcome adversarial framings.</t>
  </si>
  <si>
    <t>P–C: framing constraints on participation</t>
  </si>
  <si>
    <t>Adversarial framing; legal constraints</t>
  </si>
  <si>
    <t>Pilot scale</t>
  </si>
  <si>
    <t>S021</t>
  </si>
  <si>
    <t>Baylan &amp; Karadeniz (2016)</t>
  </si>
  <si>
    <t>Turkey</t>
  </si>
  <si>
    <t>Narrative review</t>
  </si>
  <si>
    <t>Turkish co-management literature</t>
  </si>
  <si>
    <t>Co-management; Participatory planning</t>
  </si>
  <si>
    <t>Collaborative planning is prerequisite for meaningful co-management in Turkish contexts.</t>
  </si>
  <si>
    <t>P–C: planning integration</t>
  </si>
  <si>
    <t>Institutional resistance</t>
  </si>
  <si>
    <t>Country-focused</t>
  </si>
  <si>
    <t>Moderate</t>
  </si>
  <si>
    <t>S022</t>
  </si>
  <si>
    <t>Warner (2017)</t>
  </si>
  <si>
    <t>Papua New Guinea</t>
  </si>
  <si>
    <t>Oceania</t>
  </si>
  <si>
    <t>Forestry; Protected area</t>
  </si>
  <si>
    <t>Participatory conflict management</t>
  </si>
  <si>
    <t>Lakekamu Basin ICDP</t>
  </si>
  <si>
    <t>Conflict management in CBNRM</t>
  </si>
  <si>
    <t>Conflict-sensitive CBNRM requires multi-stakeholder processes and external mediation in frontier contexts.</t>
  </si>
  <si>
    <t>C–P: mediation in CBNRM</t>
  </si>
  <si>
    <t>Frontier governance gaps; donor dependence</t>
  </si>
  <si>
    <t>Project-specific lessons</t>
  </si>
  <si>
    <t>S023</t>
  </si>
  <si>
    <t>Bui et al. (2023)</t>
  </si>
  <si>
    <t>Vietnam</t>
  </si>
  <si>
    <t>Mixed methods / modelling</t>
  </si>
  <si>
    <t>Fuzzy Delphi + ISM + FDEMATEL hybrid</t>
  </si>
  <si>
    <t>22 validated attributes; expert panel</t>
  </si>
  <si>
    <t>Institutional hybridity; Modelling</t>
  </si>
  <si>
    <t>Co-management, decentralization, and public participation are top-priority criteria for resolving natural-resource governance conflicts.</t>
  </si>
  <si>
    <t>C pillar: analytical hierarchy for conflict</t>
  </si>
  <si>
    <t>Political structure; institutional externality</t>
  </si>
  <si>
    <t>DSS; AI-ML</t>
  </si>
  <si>
    <t>Single-country expert base</t>
  </si>
  <si>
    <t>S024</t>
  </si>
  <si>
    <t>Aysan et al. (2023)</t>
  </si>
  <si>
    <t>Extractive</t>
  </si>
  <si>
    <t>Retrospective analysis</t>
  </si>
  <si>
    <t>Retrospective governance analysis</t>
  </si>
  <si>
    <t>Cross-country governance-conflict review</t>
  </si>
  <si>
    <t>Good governance; Conflict sensitivity</t>
  </si>
  <si>
    <t>Developing countries need more decision-making power and conflict-resolution capacity; industrialized countries need stakeholder-goal alignment.</t>
  </si>
  <si>
    <t>C pillar: comparative governance</t>
  </si>
  <si>
    <t>Capacity; connectivity; knowledge gaps</t>
  </si>
  <si>
    <t>Aggregate analysis; country heterogeneity</t>
  </si>
  <si>
    <t>S025</t>
  </si>
  <si>
    <t>Alonso-Población et al. (2018)</t>
  </si>
  <si>
    <t>Timor-Leste</t>
  </si>
  <si>
    <t>Fisheries</t>
  </si>
  <si>
    <t>Ethnography</t>
  </si>
  <si>
    <t>Narrative assemblage analysis</t>
  </si>
  <si>
    <t>Tara Bandu community fisheries</t>
  </si>
  <si>
    <t>Customary governance; Co-management</t>
  </si>
  <si>
    <t>Tara Bandu customary rule works as power-balanced co-management tool for coastal governance.</t>
  </si>
  <si>
    <t>C–P: customary institution as mechanism</t>
  </si>
  <si>
    <t>Post-colonial legal recognition</t>
  </si>
  <si>
    <t>Cultural specificity</t>
  </si>
  <si>
    <t>S026</t>
  </si>
  <si>
    <t>Buckles (1999)</t>
  </si>
  <si>
    <t>Edited volume (conceptual)</t>
  </si>
  <si>
    <t>Edited case compilation</t>
  </si>
  <si>
    <t>Global case collection</t>
  </si>
  <si>
    <t>Cultivating peace; NRM conflict</t>
  </si>
  <si>
    <t>Foundational collection establishing conflict-and-collaboration as twin dynamics of NRM.</t>
  </si>
  <si>
    <t>C pillar: foundational</t>
  </si>
  <si>
    <t>Dated cases</t>
  </si>
  <si>
    <t>Partial</t>
  </si>
  <si>
    <t>Pre-digital</t>
  </si>
  <si>
    <t>Snowball</t>
  </si>
  <si>
    <t>S027</t>
  </si>
  <si>
    <t>Barnaud et al. (2010)</t>
  </si>
  <si>
    <t>Thailand</t>
  </si>
  <si>
    <t>Water; Agriculture</t>
  </si>
  <si>
    <t>Companion modelling (ComMod)</t>
  </si>
  <si>
    <t>Mae Salaep highland community</t>
  </si>
  <si>
    <t>Companion modelling; Power analysis</t>
  </si>
  <si>
    <t>Explicit power analysis within companion modelling is essential to avoid entrenching existing inequalities.</t>
  </si>
  <si>
    <t>P–C: power-sensitive modelling</t>
  </si>
  <si>
    <t>Redistribution; Learning</t>
  </si>
  <si>
    <t>Facilitator positionality</t>
  </si>
  <si>
    <t>Single highland case</t>
  </si>
  <si>
    <t>S028</t>
  </si>
  <si>
    <t>Gottschick (2018)</t>
  </si>
  <si>
    <t>Germany</t>
  </si>
  <si>
    <t>P, I</t>
  </si>
  <si>
    <t>Multi-level perspective transition framework</t>
  </si>
  <si>
    <t>Local sustainability networks</t>
  </si>
  <si>
    <t>Reflexive governance</t>
  </si>
  <si>
    <t>Reflexive capacity in local networks integrates conflict and understanding into transition pathways.</t>
  </si>
  <si>
    <t>I: reflexivity integration</t>
  </si>
  <si>
    <t>Weak vertical integration</t>
  </si>
  <si>
    <t>National specificity</t>
  </si>
  <si>
    <t>S029</t>
  </si>
  <si>
    <t>Cornwall (2017)</t>
  </si>
  <si>
    <t>Global (originally 2008)</t>
  </si>
  <si>
    <t>Conceptual review of participation</t>
  </si>
  <si>
    <t>Democratic spaces literature</t>
  </si>
  <si>
    <t>Institutionalized participation; Power</t>
  </si>
  <si>
    <t>Institutionalized participation spaces can reproduce marginalization unless power relations are directly addressed.</t>
  </si>
  <si>
    <t>P pillar: critical foundation</t>
  </si>
  <si>
    <t>Invited versus claimed spaces</t>
  </si>
  <si>
    <t>Theoretical</t>
  </si>
  <si>
    <t>S030</t>
  </si>
  <si>
    <t>Akbulut &amp; Soylu (2012)</t>
  </si>
  <si>
    <t>Water; Fisheries</t>
  </si>
  <si>
    <t>Political-ecological analysis</t>
  </si>
  <si>
    <t>Turkish community fisheries</t>
  </si>
  <si>
    <t>Political ecology; Power</t>
  </si>
  <si>
    <t>Participation can be a vehicle for accumulation by dispossession when power is not analytically centred.</t>
  </si>
  <si>
    <t>P pillar: critical empirical</t>
  </si>
  <si>
    <t>Redistribution</t>
  </si>
  <si>
    <t>Privatization; regulatory capture</t>
  </si>
  <si>
    <t>Country-specific</t>
  </si>
  <si>
    <t>S031</t>
  </si>
  <si>
    <t>Kinnunen &amp; Kaksonen (2019)</t>
  </si>
  <si>
    <t>Mining</t>
  </si>
  <si>
    <t>CE</t>
  </si>
  <si>
    <t>Systematic review of tailings valorization</t>
  </si>
  <si>
    <t>Global tailings CE cases</t>
  </si>
  <si>
    <t>CE; Industrial ecology</t>
  </si>
  <si>
    <t>Tailings valorization offers CE opportunities in mining but faces regulatory and metallurgical bottlenecks.</t>
  </si>
  <si>
    <t>CE pillar: sectoral feasibility</t>
  </si>
  <si>
    <t>Resource outcomes; Circularity gain</t>
  </si>
  <si>
    <t>Regulatory misalignment; metallurgy</t>
  </si>
  <si>
    <t>Technical focus</t>
  </si>
  <si>
    <t>S032</t>
  </si>
  <si>
    <t>Singh et al. (2020)</t>
  </si>
  <si>
    <t>India; Global</t>
  </si>
  <si>
    <t>Empirical</t>
  </si>
  <si>
    <t>Barriers analysis with TISM</t>
  </si>
  <si>
    <t>Indian mining sector experts</t>
  </si>
  <si>
    <t>CE implementation barriers</t>
  </si>
  <si>
    <t>Operational, technological, and knowledge barriers dominate CE adoption in mining.</t>
  </si>
  <si>
    <t>CE pillar: barrier hierarchy</t>
  </si>
  <si>
    <t>Circularity gain</t>
  </si>
  <si>
    <t>Knowledge transfer; regulation</t>
  </si>
  <si>
    <t>India specificity</t>
  </si>
  <si>
    <t>S033</t>
  </si>
  <si>
    <t>Koval et al. (2023)</t>
  </si>
  <si>
    <t>Mineral resource literature</t>
  </si>
  <si>
    <t>CE; Mineral resources</t>
  </si>
  <si>
    <t>Mineral resource management within CE requires multi-industry linkages and digital integration.</t>
  </si>
  <si>
    <t>CE pillar: systems view</t>
  </si>
  <si>
    <t>Cross-industry coordination</t>
  </si>
  <si>
    <t>IoT</t>
  </si>
  <si>
    <t>Generalist review</t>
  </si>
  <si>
    <t>S034</t>
  </si>
  <si>
    <t>Vermunt et al. (2019)</t>
  </si>
  <si>
    <t>Netherlands; Global</t>
  </si>
  <si>
    <t>Case studies</t>
  </si>
  <si>
    <t>Multi-case analysis of business models</t>
  </si>
  <si>
    <t>Four CE business-model archetypes</t>
  </si>
  <si>
    <t>Circular business models</t>
  </si>
  <si>
    <t>Different CE business models face different barrier profiles; one-size-fits-all policy fails.</t>
  </si>
  <si>
    <t>CE pillar: business-model typology</t>
  </si>
  <si>
    <t>Policy misalignment; supply chain</t>
  </si>
  <si>
    <t>Northern-firm bias</t>
  </si>
  <si>
    <t>S035</t>
  </si>
  <si>
    <t>Ávila-Gutiérrez et al. (2019)</t>
  </si>
  <si>
    <t>Standardization framework</t>
  </si>
  <si>
    <t>CE 4.0 standards review</t>
  </si>
  <si>
    <t>CE 4.0; Industry 4.0</t>
  </si>
  <si>
    <t>Standards (ISO 14001, BSI BS 8001, eco-design) are the scaffolding for CE 4.0.</t>
  </si>
  <si>
    <t>CE pillar: standardization</t>
  </si>
  <si>
    <t>Adoption costs</t>
  </si>
  <si>
    <t>Limited empirical test</t>
  </si>
  <si>
    <t>S036</t>
  </si>
  <si>
    <t>Chenavaz &amp; Dimitrov (2024)</t>
  </si>
  <si>
    <t>Waste; Multi-sector</t>
  </si>
  <si>
    <t>Policy analysis</t>
  </si>
  <si>
    <t>Waste-to-wealth policy review</t>
  </si>
  <si>
    <t>CE policy</t>
  </si>
  <si>
    <t>EPR, green procurement, environmental taxes jointly drive CE adoption.</t>
  </si>
  <si>
    <t>CE pillar: policy mix</t>
  </si>
  <si>
    <t>Implementation capacity</t>
  </si>
  <si>
    <t>Policy-level only</t>
  </si>
  <si>
    <t>S037</t>
  </si>
  <si>
    <t>Ranjan et al. (2026)</t>
  </si>
  <si>
    <t>Waste; Mining</t>
  </si>
  <si>
    <t>Urban mining review</t>
  </si>
  <si>
    <t>Legacy waste literature</t>
  </si>
  <si>
    <t>Urban mining; CE</t>
  </si>
  <si>
    <t>Urban mining advances CE by recovering resources from legacy waste but faces formal-informal sector coordination gaps.</t>
  </si>
  <si>
    <t>CE pillar: legacy-waste strategy</t>
  </si>
  <si>
    <t>Circularity gain; Redistribution</t>
  </si>
  <si>
    <t>Informal-sector integration</t>
  </si>
  <si>
    <t>Needs equity metrics</t>
  </si>
  <si>
    <t>S038</t>
  </si>
  <si>
    <t>Mukhiyayeva et al. (2025)</t>
  </si>
  <si>
    <t>Kazakhstan</t>
  </si>
  <si>
    <t>Economic efficiency analysis</t>
  </si>
  <si>
    <t>Kazakh natural-resource sectors</t>
  </si>
  <si>
    <t>ESG; CE</t>
  </si>
  <si>
    <t>ESG integration improves economic efficiency of natural-resource use when tied to CE transition metrics.</t>
  </si>
  <si>
    <t>CE pillar: economic case</t>
  </si>
  <si>
    <t>Circularity gain; Resource outcomes</t>
  </si>
  <si>
    <t>ESG greenwashing risk</t>
  </si>
  <si>
    <t>Country specificity</t>
  </si>
  <si>
    <t>S039</t>
  </si>
  <si>
    <t>Bui et al. (2022)</t>
  </si>
  <si>
    <t>Emerging economies</t>
  </si>
  <si>
    <t>Waste</t>
  </si>
  <si>
    <t>Hybrid analysis of waste reuse</t>
  </si>
  <si>
    <t>Emerging-economy waste systems</t>
  </si>
  <si>
    <t>EPR; CE</t>
  </si>
  <si>
    <t>EPR stabilises reverse flows and de-risks CE investments in emerging economies.</t>
  </si>
  <si>
    <t>CE pillar: EPR mechanism</t>
  </si>
  <si>
    <t>Infrastructure; awareness</t>
  </si>
  <si>
    <t>Limited sample</t>
  </si>
  <si>
    <t>S040</t>
  </si>
  <si>
    <t>Komakech (2026)</t>
  </si>
  <si>
    <t>CE and green growth review</t>
  </si>
  <si>
    <t>Emerging economy literature</t>
  </si>
  <si>
    <t>Green growth; CE</t>
  </si>
  <si>
    <t>CE pathways in emerging economies require alignment with green-growth frameworks and social protection.</t>
  </si>
  <si>
    <t>CE pillar: development framing</t>
  </si>
  <si>
    <t>Capacity; inequality</t>
  </si>
  <si>
    <t>Broad scope</t>
  </si>
  <si>
    <t>S041</t>
  </si>
  <si>
    <t>Le et al. (2025)</t>
  </si>
  <si>
    <t>Mining (coal)</t>
  </si>
  <si>
    <t>Multi-industry linkage analysis</t>
  </si>
  <si>
    <t>Vietnamese coal mining</t>
  </si>
  <si>
    <t>Multi-industry CE</t>
  </si>
  <si>
    <t>Cross-industry linkages are decisive for CE uptake in coal mining.</t>
  </si>
  <si>
    <t>CE pillar: cross-sector design</t>
  </si>
  <si>
    <t>Policy; supply chain</t>
  </si>
  <si>
    <t>Single-sector case</t>
  </si>
  <si>
    <t>S042</t>
  </si>
  <si>
    <t>Zhu et al. (2025)</t>
  </si>
  <si>
    <t>China; Global</t>
  </si>
  <si>
    <t>CE, D</t>
  </si>
  <si>
    <t>Digital-CE integration analysis</t>
  </si>
  <si>
    <t>Mining sector survey</t>
  </si>
  <si>
    <t>Digital CE; Industry 4.0</t>
  </si>
  <si>
    <t>Digital integration enhances environmental sustainability of mining CE strategies.</t>
  </si>
  <si>
    <t>CE–D: digital enabler</t>
  </si>
  <si>
    <t>Tech access; data interoperability</t>
  </si>
  <si>
    <t>IoT; AI-ML</t>
  </si>
  <si>
    <t>Firm-level focus</t>
  </si>
  <si>
    <t>S043</t>
  </si>
  <si>
    <t>He et al. (2025)</t>
  </si>
  <si>
    <t>China</t>
  </si>
  <si>
    <t>Remanufacturing case study</t>
  </si>
  <si>
    <t>Coal mining equipment</t>
  </si>
  <si>
    <t>CE; Remanufacturing</t>
  </si>
  <si>
    <t>Remanufacturing of coal-mining equipment yields measurable CE and cost outcomes.</t>
  </si>
  <si>
    <t>CE pillar: product-life extension</t>
  </si>
  <si>
    <t>Market demand volatility</t>
  </si>
  <si>
    <t>Single-sector</t>
  </si>
  <si>
    <t>S044</t>
  </si>
  <si>
    <t>Krause &amp; Kretschmann (2023)</t>
  </si>
  <si>
    <t>Germany; Global</t>
  </si>
  <si>
    <t>ESG in mining CE</t>
  </si>
  <si>
    <t>Mining industry review</t>
  </si>
  <si>
    <t>Active ESG integration embeds CE into mining core business rather than CSR periphery.</t>
  </si>
  <si>
    <t>CE pillar: strategic integration</t>
  </si>
  <si>
    <t>Circularity gain; Legitimacy</t>
  </si>
  <si>
    <t>Greenwashing risk</t>
  </si>
  <si>
    <t>Practitioner-oriented</t>
  </si>
  <si>
    <t>S045</t>
  </si>
  <si>
    <t>Pandey et al. (2025)</t>
  </si>
  <si>
    <t>India</t>
  </si>
  <si>
    <t>Fuzzy AHP–CoCoSo analysis</t>
  </si>
  <si>
    <t>Industry 4.0 CE success factors</t>
  </si>
  <si>
    <t>CE; Fuzzy AHP</t>
  </si>
  <si>
    <t>Success factors are hierarchically ordered; policy, technology, and awareness dominate.</t>
  </si>
  <si>
    <t>CE pillar: factor hierarchy</t>
  </si>
  <si>
    <t>Awareness; infrastructure</t>
  </si>
  <si>
    <t>Method-heavy</t>
  </si>
  <si>
    <t>S046</t>
  </si>
  <si>
    <t>Minz et al. (2025)</t>
  </si>
  <si>
    <t>ISM–MICMAC</t>
  </si>
  <si>
    <t>Waste-management drivers/barriers</t>
  </si>
  <si>
    <t>CE; ISM</t>
  </si>
  <si>
    <t>Drivers and barriers to CE in waste systems form interdependent chains requiring coordinated intervention.</t>
  </si>
  <si>
    <t>CE pillar: systemic barriers</t>
  </si>
  <si>
    <t>Institutional weakness</t>
  </si>
  <si>
    <t>India-specific</t>
  </si>
  <si>
    <t>S047</t>
  </si>
  <si>
    <t>Prasad (2023)</t>
  </si>
  <si>
    <t>Wastewater CE review</t>
  </si>
  <si>
    <t>Domestic and industrial wastewater</t>
  </si>
  <si>
    <t>CE in water</t>
  </si>
  <si>
    <t>Wastewater CE offers technical and social opportunities but requires integrated policy.</t>
  </si>
  <si>
    <t>CE pillar: water-sector application</t>
  </si>
  <si>
    <t>Regulatory fragmentation</t>
  </si>
  <si>
    <t>Technical bias</t>
  </si>
  <si>
    <t>S048</t>
  </si>
  <si>
    <t>Brodhag (2020)</t>
  </si>
  <si>
    <t>CE and lifecycle</t>
  </si>
  <si>
    <t>CE lifecycle theory</t>
  </si>
  <si>
    <t>Lifecycle; CE</t>
  </si>
  <si>
    <t>Lifecycle analysis is conceptual backbone of CE; standardization is the bridge to practice.</t>
  </si>
  <si>
    <t>CE pillar: lifecycle logic</t>
  </si>
  <si>
    <t>Data availability</t>
  </si>
  <si>
    <t>S049</t>
  </si>
  <si>
    <t>Glöser-Chahoud &amp; Schultmann (2025)</t>
  </si>
  <si>
    <t>CE introduction</t>
  </si>
  <si>
    <t>CE textbook synthesis</t>
  </si>
  <si>
    <t>CE foundations</t>
  </si>
  <si>
    <t>Systemic CE transitions require coherent business models, enabling policy, and societal buy-in.</t>
  </si>
  <si>
    <t>CE pillar: systems framing</t>
  </si>
  <si>
    <t>Behavioural lock-in</t>
  </si>
  <si>
    <t>Textbook scope</t>
  </si>
  <si>
    <t>S050</t>
  </si>
  <si>
    <t>Çefu et al. (2022)</t>
  </si>
  <si>
    <t>Technical</t>
  </si>
  <si>
    <t>Hydraulic component recycling</t>
  </si>
  <si>
    <t>Industrial components</t>
  </si>
  <si>
    <t>CE; Component reuse</t>
  </si>
  <si>
    <t>Recycling of hydraulic components illustrates applied CE principles in industry.</t>
  </si>
  <si>
    <t>CE pillar: applied example</t>
  </si>
  <si>
    <t>Quality assurance</t>
  </si>
  <si>
    <t>Niche focus</t>
  </si>
  <si>
    <t>S051</t>
  </si>
  <si>
    <t>Ali Pour &amp; Gheorghe (2019)</t>
  </si>
  <si>
    <t>Global / USA</t>
  </si>
  <si>
    <t>D, I</t>
  </si>
  <si>
    <t>Conceptual / design</t>
  </si>
  <si>
    <t>Blockchain architecture for NR governance</t>
  </si>
  <si>
    <t>Framework design</t>
  </si>
  <si>
    <t>Blockchain; Distributed ledger</t>
  </si>
  <si>
    <t>Distributed concurrency control via blockchain can monitor resource extraction and trades transparently.</t>
  </si>
  <si>
    <t>D–I: governance architecture</t>
  </si>
  <si>
    <t>Scalability; governance absence</t>
  </si>
  <si>
    <t>Blockchain</t>
  </si>
  <si>
    <t>No empirical test</t>
  </si>
  <si>
    <t>S052</t>
  </si>
  <si>
    <t>Tahir et al. (2024)</t>
  </si>
  <si>
    <t>Pakistan – Reko Diq</t>
  </si>
  <si>
    <t>D, CE</t>
  </si>
  <si>
    <t>Blockchain implementation case</t>
  </si>
  <si>
    <t>Reko Diq copper-gold project</t>
  </si>
  <si>
    <t>Blockchain; CE</t>
  </si>
  <si>
    <t>Blockchain can increase transparency in large mining concessions but faces regulatory and stakeholder-trust barriers.</t>
  </si>
  <si>
    <t>D–CE: transparency for circularity</t>
  </si>
  <si>
    <t>Legitimacy; Circularity gain</t>
  </si>
  <si>
    <t>Regulatory capacity; stakeholder trust</t>
  </si>
  <si>
    <t>Single project</t>
  </si>
  <si>
    <t>S053</t>
  </si>
  <si>
    <t>Yonso et al. (2025)</t>
  </si>
  <si>
    <t>Central African Republic</t>
  </si>
  <si>
    <t>Mining; Forestry</t>
  </si>
  <si>
    <t>D, C</t>
  </si>
  <si>
    <t>Blockchain platform design</t>
  </si>
  <si>
    <t>National NR transaction tracking</t>
  </si>
  <si>
    <t>Blockchain; Conflict minerals</t>
  </si>
  <si>
    <t>Blockchain platform tracks natural-resource transactions in fragile state contexts to reduce illicit flows.</t>
  </si>
  <si>
    <t>D–C: transparency reduces conflict financing</t>
  </si>
  <si>
    <t>Digital infrastructure; rural access</t>
  </si>
  <si>
    <t>Pilot phase</t>
  </si>
  <si>
    <t>S054</t>
  </si>
  <si>
    <t>Ezzeddini et al. (2025)</t>
  </si>
  <si>
    <t>Blockchain + AI pilot</t>
  </si>
  <si>
    <t>Traceability pilot</t>
  </si>
  <si>
    <t>Blockchain; AI; Traceability</t>
  </si>
  <si>
    <t>Blockchain plus AI integration increases fisheries traceability and compliance verification.</t>
  </si>
  <si>
    <t>D–CE: traceability for circularity</t>
  </si>
  <si>
    <t>Cost; onboarding</t>
  </si>
  <si>
    <t>Blockchain; AI-ML</t>
  </si>
  <si>
    <t>Pilot scope</t>
  </si>
  <si>
    <t>S055</t>
  </si>
  <si>
    <t>Howson (2021)</t>
  </si>
  <si>
    <t>Namibia</t>
  </si>
  <si>
    <t>Wildlife; Protected area</t>
  </si>
  <si>
    <t>D, P</t>
  </si>
  <si>
    <t>Critical analysis of blockchain PES</t>
  </si>
  <si>
    <t>CBNRM conservancies</t>
  </si>
  <si>
    <t>Blockchain; PES</t>
  </si>
  <si>
    <t>Blockchain PES in CBNRM is held back by external expert dependency that reconcentrates authority.</t>
  </si>
  <si>
    <t>D–P: when digital undermines participation</t>
  </si>
  <si>
    <t>Redistribution (negative)</t>
  </si>
  <si>
    <t>Expert capture; connectivity</t>
  </si>
  <si>
    <t>Single-country case</t>
  </si>
  <si>
    <t>S056</t>
  </si>
  <si>
    <t>Satilmisoglu et al. (2024)</t>
  </si>
  <si>
    <t>Blockchain for water review</t>
  </si>
  <si>
    <t>Water-sector blockchain cases</t>
  </si>
  <si>
    <t>Blockchain; Water governance</t>
  </si>
  <si>
    <t>Blockchain offers water-sector transparency potential but scalability and energy demands constrain adoption.</t>
  </si>
  <si>
    <t>D–CE: water traceability</t>
  </si>
  <si>
    <t>Scalability; energy</t>
  </si>
  <si>
    <t>Review limitations</t>
  </si>
  <si>
    <t>S057</t>
  </si>
  <si>
    <t>von Rosing et al. (2025)</t>
  </si>
  <si>
    <t>Waste blockchain review</t>
  </si>
  <si>
    <t>Organisational resource mgmt</t>
  </si>
  <si>
    <t>Waste blockchain reshapes organisational resource management when integrated with circular business models.</t>
  </si>
  <si>
    <t>D–CE: organisational integration</t>
  </si>
  <si>
    <t>Integration cost</t>
  </si>
  <si>
    <t>S058</t>
  </si>
  <si>
    <t>Patil et al. (2025)</t>
  </si>
  <si>
    <t>D</t>
  </si>
  <si>
    <t>Geo-blockchain framework</t>
  </si>
  <si>
    <t>Government asset management</t>
  </si>
  <si>
    <t>Geo-blockchain</t>
  </si>
  <si>
    <t>Geo-blockchain frameworks can manage government NR assets with spatial audit trails.</t>
  </si>
  <si>
    <t>D pillar: geospatial integration</t>
  </si>
  <si>
    <t>Regulatory gaps</t>
  </si>
  <si>
    <t>Blockchain; GIS</t>
  </si>
  <si>
    <t>Design only</t>
  </si>
  <si>
    <t>S059</t>
  </si>
  <si>
    <t>Gunawan et al. (2025)</t>
  </si>
  <si>
    <t>Indonesia</t>
  </si>
  <si>
    <t>Blockchain in regional property reporting</t>
  </si>
  <si>
    <t>Indonesian regional property</t>
  </si>
  <si>
    <t>Good governance; Blockchain</t>
  </si>
  <si>
    <t>Blockchain adoption improves quality of regional property reporting when embedded in good-governance reforms.</t>
  </si>
  <si>
    <t>D pillar: public-sector use</t>
  </si>
  <si>
    <t>Political will</t>
  </si>
  <si>
    <t>S060</t>
  </si>
  <si>
    <t>Almulhim (2026)</t>
  </si>
  <si>
    <t>Digital platform review</t>
  </si>
  <si>
    <t>CE transition cases</t>
  </si>
  <si>
    <t>Digital platforms; CE</t>
  </si>
  <si>
    <t>Digital platforms and emerging tech enable CE transitions toward SDGs when governance frameworks accompany tech.</t>
  </si>
  <si>
    <t>D–CE–I: platform-enabled transition</t>
  </si>
  <si>
    <t>Circularity gain; Learning</t>
  </si>
  <si>
    <t>Governance lag</t>
  </si>
  <si>
    <t>Blockchain; AI-ML; IoT</t>
  </si>
  <si>
    <t>Breadth over depth</t>
  </si>
  <si>
    <t>S061</t>
  </si>
  <si>
    <t>Bala et al. (2026)</t>
  </si>
  <si>
    <t>Smart contracts for CE</t>
  </si>
  <si>
    <t>Architectural proposal</t>
  </si>
  <si>
    <t>Smart contracts; CE</t>
  </si>
  <si>
    <t>Smart contracts and decentralized traceability can create circular value, contingent on legal recognition.</t>
  </si>
  <si>
    <t>D–CE: smart-contract architecture</t>
  </si>
  <si>
    <t>Legal recognition</t>
  </si>
  <si>
    <t>Architectural only</t>
  </si>
  <si>
    <t>S062</t>
  </si>
  <si>
    <t>Zaher &amp; Roy (2026)</t>
  </si>
  <si>
    <t>Finance</t>
  </si>
  <si>
    <t>Bibliometric</t>
  </si>
  <si>
    <t>Decentralized finance sustainability review</t>
  </si>
  <si>
    <t>DeFi literature corpus</t>
  </si>
  <si>
    <t>DeFi; Sustainability</t>
  </si>
  <si>
    <t>DeFi research shows emerging themes but weak validation against natural-resource governance outcomes.</t>
  </si>
  <si>
    <t>D pillar: validation gap</t>
  </si>
  <si>
    <t>Empirical validation</t>
  </si>
  <si>
    <t>Bibliometric scope</t>
  </si>
  <si>
    <t>S063</t>
  </si>
  <si>
    <t>Sharma &amp; Kumar (2025)</t>
  </si>
  <si>
    <t>Blockchain for tribal resource governance</t>
  </si>
  <si>
    <t>Tribal governance context</t>
  </si>
  <si>
    <t>Blockchain; Indigenous governance</t>
  </si>
  <si>
    <t>IT-enabled inclusive development via blockchain is feasible for tribal resource governance with careful equity design.</t>
  </si>
  <si>
    <t>D–P: indigenous governance</t>
  </si>
  <si>
    <t>Connectivity; literacy</t>
  </si>
  <si>
    <t>Design-phase</t>
  </si>
  <si>
    <t>S064</t>
  </si>
  <si>
    <t>Chaher et al. (2024)</t>
  </si>
  <si>
    <t>Food; Water; Energy</t>
  </si>
  <si>
    <t>CE, I</t>
  </si>
  <si>
    <t>(FWE)² nexus review</t>
  </si>
  <si>
    <t>Nexus framework paper</t>
  </si>
  <si>
    <t>FWE nexus; CE</t>
  </si>
  <si>
    <t>Bridging food-food waste-water-energy-ecosystem flows gives nexus frameworks a circular logic.</t>
  </si>
  <si>
    <t>CE–I: circular nexus</t>
  </si>
  <si>
    <t>Data integration</t>
  </si>
  <si>
    <t>Framework; needs pilots</t>
  </si>
  <si>
    <t>S065</t>
  </si>
  <si>
    <t>van Noordwijk (2019)</t>
  </si>
  <si>
    <t>Global; Tropical</t>
  </si>
  <si>
    <t>Multi-sector; Agroforestry</t>
  </si>
  <si>
    <t>I, P</t>
  </si>
  <si>
    <t>Innovation synthesis</t>
  </si>
  <si>
    <t>INRM literature</t>
  </si>
  <si>
    <t>INRM</t>
  </si>
  <si>
    <t>INRM reduces poverty when practices, institutions, and policies innovate in tandem — not sequentially.</t>
  </si>
  <si>
    <t>I pillar: co-innovation</t>
  </si>
  <si>
    <t>Resource outcomes; Redistribution</t>
  </si>
  <si>
    <t>Sequential not simultaneous reform</t>
  </si>
  <si>
    <t>Breadth</t>
  </si>
  <si>
    <t>S066</t>
  </si>
  <si>
    <t>van Noordwijk et al. (2002)</t>
  </si>
  <si>
    <t>Tropical forest margins</t>
  </si>
  <si>
    <t>Forestry; Agroforestry</t>
  </si>
  <si>
    <t>I, C</t>
  </si>
  <si>
    <t>Negotiation support models</t>
  </si>
  <si>
    <t>Tropical-margin cases</t>
  </si>
  <si>
    <t>Negotiation support</t>
  </si>
  <si>
    <t>Negotiation support systems operationalise INRM under conflict conditions.</t>
  </si>
  <si>
    <t>I–C: negotiation-model integration</t>
  </si>
  <si>
    <t>Conflict de-escalation; Learning</t>
  </si>
  <si>
    <t>Model complexity</t>
  </si>
  <si>
    <t>S067</t>
  </si>
  <si>
    <t>Lal et al. (2002)</t>
  </si>
  <si>
    <t>Australia</t>
  </si>
  <si>
    <t>Adaptive decision-making</t>
  </si>
  <si>
    <t>Australian NR governance</t>
  </si>
  <si>
    <t>Adaptive management; INRM</t>
  </si>
  <si>
    <t>Adaptive decision-making integrates ecological and social feedback within INRM.</t>
  </si>
  <si>
    <t>I pillar: adaptive loop</t>
  </si>
  <si>
    <t>Institutional fit</t>
  </si>
  <si>
    <t>Dated</t>
  </si>
  <si>
    <t>S068</t>
  </si>
  <si>
    <t>Demir &amp; Alp (2026)</t>
  </si>
  <si>
    <t>Turkey; Global</t>
  </si>
  <si>
    <t>Water; Energy; Food</t>
  </si>
  <si>
    <t>I, CE</t>
  </si>
  <si>
    <t>Ostrom IAD + WEFE nexus</t>
  </si>
  <si>
    <t>Water-sector case</t>
  </si>
  <si>
    <t>WEFE; Ostrom IAD</t>
  </si>
  <si>
    <t>Ostrom IAD applied to WEFE nexus advances circular water transitions.</t>
  </si>
  <si>
    <t>I–CE: institutional nexus</t>
  </si>
  <si>
    <t>Interjurisdictional coordination</t>
  </si>
  <si>
    <t>Single-case</t>
  </si>
  <si>
    <t>S069</t>
  </si>
  <si>
    <t>Baratella et al. (2023)</t>
  </si>
  <si>
    <t>Italy</t>
  </si>
  <si>
    <t>Water; Food</t>
  </si>
  <si>
    <t>WEF nexus stakeholder engagement</t>
  </si>
  <si>
    <t>Mediterranean pilot</t>
  </si>
  <si>
    <t>WEF nexus; Stakeholder engagement</t>
  </si>
  <si>
    <t>Stakeholder engagement is essential for Mediterranean WEF nexus challenges.</t>
  </si>
  <si>
    <t>I–P: stakeholder-centred nexus</t>
  </si>
  <si>
    <t>Data integration; funding cycles</t>
  </si>
  <si>
    <t>S070</t>
  </si>
  <si>
    <t>González-Rosell et al. (2020)</t>
  </si>
  <si>
    <t>Spain (Andalusia)</t>
  </si>
  <si>
    <t>I</t>
  </si>
  <si>
    <t>Modelling</t>
  </si>
  <si>
    <t>Stakeholder + system dynamics</t>
  </si>
  <si>
    <t>Andalusian WEF case</t>
  </si>
  <si>
    <t>WEF; System dynamics</t>
  </si>
  <si>
    <t>Integrating stakeholder views with system dynamics produces actionable WEF nexus policy pathways.</t>
  </si>
  <si>
    <t>I pillar: modelling integration</t>
  </si>
  <si>
    <t>Learning; Resource outcomes</t>
  </si>
  <si>
    <t>Model validation</t>
  </si>
  <si>
    <t>Regional specificity</t>
  </si>
  <si>
    <t>S071</t>
  </si>
  <si>
    <t>Koupai et al. (2026)</t>
  </si>
  <si>
    <t>Water; Food; Energy</t>
  </si>
  <si>
    <t>Socio-ecohydrology</t>
  </si>
  <si>
    <t>Nexus handbook chapter</t>
  </si>
  <si>
    <t>Socio-ecohydrology integrates social and ecohydrological feedbacks at nexus scales.</t>
  </si>
  <si>
    <t>I pillar: conceptual integration</t>
  </si>
  <si>
    <t>Handbook format</t>
  </si>
  <si>
    <t>S072</t>
  </si>
  <si>
    <t>Al-Thani &amp; Al-Ansari (2021)</t>
  </si>
  <si>
    <t>CE-IE-Nexus convergence review</t>
  </si>
  <si>
    <t>Comparative literature</t>
  </si>
  <si>
    <t>Industrial ecology; CE; Nexus</t>
  </si>
  <si>
    <t>CE, industrial ecology, and WEF nexus converge on shared resource-management objectives.</t>
  </si>
  <si>
    <t>I–CE: convergence</t>
  </si>
  <si>
    <t>Disciplinary silos</t>
  </si>
  <si>
    <t>Comparative</t>
  </si>
  <si>
    <t>S073</t>
  </si>
  <si>
    <t>Ovuru et al. (2025)</t>
  </si>
  <si>
    <t>Integrated collaborative NR approaches</t>
  </si>
  <si>
    <t>Global case synthesis</t>
  </si>
  <si>
    <t>Collaborative governance</t>
  </si>
  <si>
    <t>Balancing top-down and bottom-up is the decisive integration principle.</t>
  </si>
  <si>
    <t>I–P: collaborative integration</t>
  </si>
  <si>
    <t>Funding cycles; capacity</t>
  </si>
  <si>
    <t>Synthesis</t>
  </si>
  <si>
    <t>S074</t>
  </si>
  <si>
    <t>Hoque Mozumder &amp; Schneider (2026)</t>
  </si>
  <si>
    <t>Global resources nexus</t>
  </si>
  <si>
    <t>Handbook chapter</t>
  </si>
  <si>
    <t>Resources nexus</t>
  </si>
  <si>
    <t>Global resources nexus reframes interdependencies as governance challenges.</t>
  </si>
  <si>
    <t>I pillar: global framing</t>
  </si>
  <si>
    <t>Scale mismatch</t>
  </si>
  <si>
    <t>S075</t>
  </si>
  <si>
    <t>Bera &amp; Nag (2025)</t>
  </si>
  <si>
    <t>INRM for sustainable livelihoods</t>
  </si>
  <si>
    <t>Ecosystem-based review</t>
  </si>
  <si>
    <t>Ecosystem-based INRM</t>
  </si>
  <si>
    <t>Ecosystem-based INRM supports community resilience when participation is institutionalised.</t>
  </si>
  <si>
    <t>I–P: resilience integration</t>
  </si>
  <si>
    <t>Power asymmetry</t>
  </si>
  <si>
    <t>S076</t>
  </si>
  <si>
    <t>Makris et al. (2024)</t>
  </si>
  <si>
    <t>Fuzzy cognitive mapping critique</t>
  </si>
  <si>
    <t>Institutional dynamics</t>
  </si>
  <si>
    <t>FCM</t>
  </si>
  <si>
    <t>FCM enables institutional-dynamics modelling but faces epistemological and power challenges.</t>
  </si>
  <si>
    <t>P pillar: method critique</t>
  </si>
  <si>
    <t>Epistemological load</t>
  </si>
  <si>
    <t>S077</t>
  </si>
  <si>
    <t>Reum et al. (2021)</t>
  </si>
  <si>
    <t>Global (marine)</t>
  </si>
  <si>
    <t>Network approaches to EBM</t>
  </si>
  <si>
    <t>Marine ecosystem-based mgmt</t>
  </si>
  <si>
    <t>Network methods</t>
  </si>
  <si>
    <t>Network approaches formalise conceptual models in ecosystem-based management.</t>
  </si>
  <si>
    <t>P pillar: network methods</t>
  </si>
  <si>
    <t>Data requirements</t>
  </si>
  <si>
    <t>S078</t>
  </si>
  <si>
    <t>Maskrey et al. (2022)</t>
  </si>
  <si>
    <t>UK</t>
  </si>
  <si>
    <t>Water (flood)</t>
  </si>
  <si>
    <t>Participatory flood-risk modelling</t>
  </si>
  <si>
    <t>UK flood case</t>
  </si>
  <si>
    <t>Participatory modelling</t>
  </si>
  <si>
    <t>Participatory modelling broadens flood-risk decisions when integrated with institutional venues.</t>
  </si>
  <si>
    <t>P pillar: participatory modelling</t>
  </si>
  <si>
    <t>Modeller-participant gap</t>
  </si>
  <si>
    <t>Single case</t>
  </si>
  <si>
    <t>S079</t>
  </si>
  <si>
    <t>Máñez et al. (2007)</t>
  </si>
  <si>
    <t>Iberian Peninsula</t>
  </si>
  <si>
    <t>Participatory dam modelling</t>
  </si>
  <si>
    <t>Transboundary Guadiana basin</t>
  </si>
  <si>
    <t>Participatory modelling supports transboundary conflict transformation in river basins.</t>
  </si>
  <si>
    <t>P–C: transboundary modelling</t>
  </si>
  <si>
    <t>Political asymmetry</t>
  </si>
  <si>
    <t>Bilateral case</t>
  </si>
  <si>
    <t>S080</t>
  </si>
  <si>
    <t>Malek (2016)</t>
  </si>
  <si>
    <t>Fuzzy-logic cognitive mapping</t>
  </si>
  <si>
    <t>Method introduction</t>
  </si>
  <si>
    <t>FCM suits stakeholder perception mapping and scenario analysis.</t>
  </si>
  <si>
    <t>P pillar: method</t>
  </si>
  <si>
    <t>Simplification risk</t>
  </si>
  <si>
    <t>Tutorial</t>
  </si>
  <si>
    <t>S081</t>
  </si>
  <si>
    <t>Martin &amp; Sanga (2023)</t>
  </si>
  <si>
    <t>Participatory modelling toolkit</t>
  </si>
  <si>
    <t>Toolkit chapter</t>
  </si>
  <si>
    <t>Participatory modelling toolkit enables sustainability research co-production.</t>
  </si>
  <si>
    <t>P pillar: toolkit</t>
  </si>
  <si>
    <t>Facilitator skill</t>
  </si>
  <si>
    <t>Practice-oriented</t>
  </si>
  <si>
    <t>S082</t>
  </si>
  <si>
    <t>Srdjevic et al. (2018)</t>
  </si>
  <si>
    <t>Serbia</t>
  </si>
  <si>
    <t>Grounded theory of participation</t>
  </si>
  <si>
    <t>Krivaja River</t>
  </si>
  <si>
    <t>Public participation</t>
  </si>
  <si>
    <t>Grounded-theory analysis reveals barriers to water-sector public participation.</t>
  </si>
  <si>
    <t>P pillar: qualitative insight</t>
  </si>
  <si>
    <t>Awareness; access</t>
  </si>
  <si>
    <t>Single basin</t>
  </si>
  <si>
    <t>S083</t>
  </si>
  <si>
    <t>Griebel et al. (2026)</t>
  </si>
  <si>
    <t>Stakeholder engagement challenges</t>
  </si>
  <si>
    <t>Sustainability contexts</t>
  </si>
  <si>
    <t>Stakeholder engagement</t>
  </si>
  <si>
    <t>Trust deficits, power asymmetries, and resource limits dominate stakeholder-engagement failure patterns.</t>
  </si>
  <si>
    <t>P pillar: barrier synthesis</t>
  </si>
  <si>
    <t>Trust; power; resources</t>
  </si>
  <si>
    <t>Cross-contextual</t>
  </si>
  <si>
    <t>S084</t>
  </si>
  <si>
    <t>Van De Fliert &amp; Braun (2002)</t>
  </si>
  <si>
    <t>Agriculture</t>
  </si>
  <si>
    <t>Farmer-participatory research framework</t>
  </si>
  <si>
    <t>Sustainable-agriculture cases</t>
  </si>
  <si>
    <t>Participatory research</t>
  </si>
  <si>
    <t>Framework distinguishes research, development, extension, and implementation phases of participation.</t>
  </si>
  <si>
    <t>P pillar: typology</t>
  </si>
  <si>
    <t>Context-dependence</t>
  </si>
  <si>
    <t>Foundational</t>
  </si>
  <si>
    <t>S085</t>
  </si>
  <si>
    <t>Currie-Alder (2005)</t>
  </si>
  <si>
    <t>Unpacking participation</t>
  </si>
  <si>
    <t>Governance framework</t>
  </si>
  <si>
    <t>Democratic governance vs. capture</t>
  </si>
  <si>
    <t>Framework distinguishes democratic governance from resource capture variants of participation.</t>
  </si>
  <si>
    <t>P pillar: critical typology</t>
  </si>
  <si>
    <t>Capture risk</t>
  </si>
  <si>
    <t>S086</t>
  </si>
  <si>
    <t>Jiménez et al. (2019)</t>
  </si>
  <si>
    <t>Water; Sanitation</t>
  </si>
  <si>
    <t>Enabling environment framework</t>
  </si>
  <si>
    <t>WASH participation review</t>
  </si>
  <si>
    <t>Enabling environment</t>
  </si>
  <si>
    <t>Legal, procedural, and demographic factors shape meaningful participation.</t>
  </si>
  <si>
    <t>P pillar: enabling conditions</t>
  </si>
  <si>
    <t>Legal silence; info access</t>
  </si>
  <si>
    <t>Framework</t>
  </si>
  <si>
    <t>S087</t>
  </si>
  <si>
    <t>Merad et al. (2012)</t>
  </si>
  <si>
    <t>Adapting participative governance</t>
  </si>
  <si>
    <t>SD planning framework</t>
  </si>
  <si>
    <t>Participative governance</t>
  </si>
  <si>
    <t>Distinguishing representative, participative, and deliberative democracy clarifies participation levels.</t>
  </si>
  <si>
    <t>Operationalization</t>
  </si>
  <si>
    <t>S088</t>
  </si>
  <si>
    <t>Yeboah-Assiamah et al. (2018)</t>
  </si>
  <si>
    <t>Transdisciplinarity in NR governance</t>
  </si>
  <si>
    <t>Research paradigm review</t>
  </si>
  <si>
    <t>Transdisciplinarity</t>
  </si>
  <si>
    <t>Transdisciplinary research integrates scientists, practitioners, and society in NR governance.</t>
  </si>
  <si>
    <t>P–I: research paradigm</t>
  </si>
  <si>
    <t>Incentive mismatch</t>
  </si>
  <si>
    <t>S089</t>
  </si>
  <si>
    <t>Nkansah-Dwamena (2025)</t>
  </si>
  <si>
    <t>Ghana</t>
  </si>
  <si>
    <t>Local perspective analysis</t>
  </si>
  <si>
    <t>Ghanaian forest communities</t>
  </si>
  <si>
    <t>Forest livelihoods; Equity</t>
  </si>
  <si>
    <t>Aligning conservation with forest livelihood needs requires local-perspective integration in policy.</t>
  </si>
  <si>
    <t>P–C: equity-centred policy</t>
  </si>
  <si>
    <t>Elite capture; weak tenure</t>
  </si>
  <si>
    <t>S090</t>
  </si>
  <si>
    <t>Ibrahim et al. (2022)</t>
  </si>
  <si>
    <t>Ghana – Upper West</t>
  </si>
  <si>
    <t>Decentralized collaborative governance</t>
  </si>
  <si>
    <t>Land-management committees</t>
  </si>
  <si>
    <t>Decentralization; Collaborative governance</t>
  </si>
  <si>
    <t>Sustaining decentralized collaborative governance depends on institutional memory and traditional authority.</t>
  </si>
  <si>
    <t>P–C: decentralization case</t>
  </si>
  <si>
    <t>Institutional memory</t>
  </si>
  <si>
    <t>Regional case</t>
  </si>
  <si>
    <t>S091</t>
  </si>
  <si>
    <t>Taufiqurrohman et al. (2024)</t>
  </si>
  <si>
    <t>UAE; Indonesia</t>
  </si>
  <si>
    <t>Cultural-constitutional analysis</t>
  </si>
  <si>
    <t>UAE-Indonesia comparison</t>
  </si>
  <si>
    <t>Islamic law; Democracy</t>
  </si>
  <si>
    <t>Religious and legal traditions shape participatory democracy in different ways.</t>
  </si>
  <si>
    <t>P pillar: cultural context</t>
  </si>
  <si>
    <t>Contextual transferability</t>
  </si>
  <si>
    <t>Two-country</t>
  </si>
  <si>
    <t>S092</t>
  </si>
  <si>
    <t>Gao et al. (2025)</t>
  </si>
  <si>
    <t>Sector-innovation study</t>
  </si>
  <si>
    <t>Sustainable governance</t>
  </si>
  <si>
    <t>Sector innovation, cultural contexts, and governance jointly drive emerging-economy transitions.</t>
  </si>
  <si>
    <t>P–I: sector-culture interaction</t>
  </si>
  <si>
    <t>Cross-country heterogeneity</t>
  </si>
  <si>
    <t>Emerging-economy focus</t>
  </si>
  <si>
    <t>S093</t>
  </si>
  <si>
    <t>Affizie (2026)</t>
  </si>
  <si>
    <t>P, CE</t>
  </si>
  <si>
    <t>Eco-socialist framework</t>
  </si>
  <si>
    <t>Transformative solutions</t>
  </si>
  <si>
    <t>Eco-socialism; Participatory governance</t>
  </si>
  <si>
    <t>Integrating collective ownership and regenerative innovation is needed for transformative sustainability.</t>
  </si>
  <si>
    <t>P–CE: transformative integration</t>
  </si>
  <si>
    <t>Redistribution; Circularity gain</t>
  </si>
  <si>
    <t>Political-economic resistance</t>
  </si>
  <si>
    <t>Polemic-oriented</t>
  </si>
  <si>
    <t>S094</t>
  </si>
  <si>
    <t>Ibeh et al. (2026)</t>
  </si>
  <si>
    <t>Global (case)</t>
  </si>
  <si>
    <t>C, I</t>
  </si>
  <si>
    <t>Conceptual / modelling</t>
  </si>
  <si>
    <t>Spatial fuzzy-logic model</t>
  </si>
  <si>
    <t>Transdisciplinary case</t>
  </si>
  <si>
    <t>Spatial fuzzy logic</t>
  </si>
  <si>
    <t>Adapted spatial fuzzy logic supports NR-based conflict management transdisciplinarily.</t>
  </si>
  <si>
    <t>C–I: spatial modelling</t>
  </si>
  <si>
    <t>Data demands</t>
  </si>
  <si>
    <t>DSS; GIS</t>
  </si>
  <si>
    <t>Design</t>
  </si>
  <si>
    <t>S095</t>
  </si>
  <si>
    <t>Serrat-Capdevila et al. (2014)</t>
  </si>
  <si>
    <t>Water governance DSS review</t>
  </si>
  <si>
    <t>Water-DSS cases</t>
  </si>
  <si>
    <t>DSS; Participatory management</t>
  </si>
  <si>
    <t>Science and DSS support participatory water management when socially embedded.</t>
  </si>
  <si>
    <t>P–I: DSS-participation integration</t>
  </si>
  <si>
    <t>DSS usability</t>
  </si>
  <si>
    <t>S096</t>
  </si>
  <si>
    <t>Potthoff et al. (2023)</t>
  </si>
  <si>
    <t>Health / NR analogue</t>
  </si>
  <si>
    <t>Implementation-STakeholder Engagement model</t>
  </si>
  <si>
    <t>Multi-sector engagement</t>
  </si>
  <si>
    <t>Implementation science</t>
  </si>
  <si>
    <t>I-STEM model formalises stakeholder engagement in complex interventions — lessons transfer to NR.</t>
  </si>
  <si>
    <t>P pillar: implementation model</t>
  </si>
  <si>
    <t>Sector transfer</t>
  </si>
  <si>
    <t>Health-sector</t>
  </si>
  <si>
    <t>S097</t>
  </si>
  <si>
    <t>Laird et al. (2020)</t>
  </si>
  <si>
    <t>Qualitative</t>
  </si>
  <si>
    <t>Stakeholder experience study</t>
  </si>
  <si>
    <t>Public-health research participants</t>
  </si>
  <si>
    <t>Stakeholder experience</t>
  </si>
  <si>
    <t>Stakeholders often feel the system needs change — transferable signal for NR governance.</t>
  </si>
  <si>
    <t>P pillar: lessons for NR</t>
  </si>
  <si>
    <t>Engagement fatigue</t>
  </si>
  <si>
    <t>Cross-sector transfer</t>
  </si>
  <si>
    <t>S098</t>
  </si>
  <si>
    <t>Hudson et al. (2022)</t>
  </si>
  <si>
    <t>Engagement handbook chapter</t>
  </si>
  <si>
    <t>Behaviour-change interventions</t>
  </si>
  <si>
    <t>Engagement; Behaviour change</t>
  </si>
  <si>
    <t>Engagement across design/evaluation/implementation improves complex intervention uptake.</t>
  </si>
  <si>
    <t>P pillar: methodology</t>
  </si>
  <si>
    <t>Generalization</t>
  </si>
  <si>
    <t>Handbook</t>
  </si>
  <si>
    <t>S099</t>
  </si>
  <si>
    <t>Oliva et al. (2025)</t>
  </si>
  <si>
    <t>Waste; Water; Energy</t>
  </si>
  <si>
    <t>Landfills as nexus hubs</t>
  </si>
  <si>
    <t>Italian landfill cases</t>
  </si>
  <si>
    <t>WEFE-CE</t>
  </si>
  <si>
    <t>Landfills reframed as WEFE nexus hubs open circular opportunities with governance challenges.</t>
  </si>
  <si>
    <t>CE–I: infrastructure reframing</t>
  </si>
  <si>
    <t>Regulatory classification</t>
  </si>
  <si>
    <t>National context</t>
  </si>
  <si>
    <t>S100</t>
  </si>
  <si>
    <t>Bigolin et al. (2025)</t>
  </si>
  <si>
    <t>Ecolabelling and digital traceability</t>
  </si>
  <si>
    <t>Ecolabelling review</t>
  </si>
  <si>
    <t>Ecolabelling; Digital CE</t>
  </si>
  <si>
    <t>Digital traceability strengthens ecolabelling credibility in CE transitions.</t>
  </si>
  <si>
    <t>CE–D: labelling integration</t>
  </si>
  <si>
    <t>Standardization</t>
  </si>
  <si>
    <t>S101</t>
  </si>
  <si>
    <t>Pahl-Wostl et al. (2025)</t>
  </si>
  <si>
    <t>WEFE nexus governance</t>
  </si>
  <si>
    <t>Framework paper</t>
  </si>
  <si>
    <t>WEFE governance</t>
  </si>
  <si>
    <t>WEFE nexus governance approach centres ecosystems and adaptive institutions.</t>
  </si>
  <si>
    <t>I pillar: ecosystem-centric</t>
  </si>
  <si>
    <t>Institutional adaptation</t>
  </si>
  <si>
    <t>S102</t>
  </si>
  <si>
    <t>Vrachioli et al. (2025)</t>
  </si>
  <si>
    <t>WEFE monitoring/modelling review</t>
  </si>
  <si>
    <t>Methods review</t>
  </si>
  <si>
    <t>WEFE monitoring</t>
  </si>
  <si>
    <t>Monitoring and modelling methods for WEFE nexus are mature but governance application lags.</t>
  </si>
  <si>
    <t>I pillar: methods inventory</t>
  </si>
  <si>
    <t>Methods scope</t>
  </si>
  <si>
    <t>S103</t>
  </si>
  <si>
    <t>Fienitz et al. (2025)</t>
  </si>
  <si>
    <t>Germany – Brandenburg</t>
  </si>
  <si>
    <t>Energy (biogas); Agriculture</t>
  </si>
  <si>
    <t>Yasmi-typology application</t>
  </si>
  <si>
    <t>Biogas conflicts</t>
  </si>
  <si>
    <t>Conflict escalation</t>
  </si>
  <si>
    <t>Yasmi typology transfers to biogas siting conflicts; early-stage diagnosis is decisive.</t>
  </si>
  <si>
    <t>C pillar: typology transfer</t>
  </si>
  <si>
    <t>Siting disputes</t>
  </si>
  <si>
    <t>S104</t>
  </si>
  <si>
    <t>Ide (2020)</t>
  </si>
  <si>
    <t>Dark side of environmental peacebuilding</t>
  </si>
  <si>
    <t>Critical review</t>
  </si>
  <si>
    <t>Environmental peacebuilding can exacerbate inequality and securitization when unreflexive.</t>
  </si>
  <si>
    <t>C pillar: critical foundation</t>
  </si>
  <si>
    <t>Conflict de-escalation (cautionary)</t>
  </si>
  <si>
    <t>Securitization; elite capture</t>
  </si>
  <si>
    <t>S105</t>
  </si>
  <si>
    <t>Johnson et al. (2021)</t>
  </si>
  <si>
    <t>DRC</t>
  </si>
  <si>
    <t>Critical peacebuilding in DRC</t>
  </si>
  <si>
    <t>Post-conflict NR case</t>
  </si>
  <si>
    <t>Environmental peacebuilding critique</t>
  </si>
  <si>
    <t>DRC peacebuilding projects illustrate how technocratic design can displace root-grievance work.</t>
  </si>
  <si>
    <t>C pillar: empirical critique</t>
  </si>
  <si>
    <t>Conflict de-escalation (weak)</t>
  </si>
  <si>
    <t>Root-cause neglect</t>
  </si>
  <si>
    <t>S106</t>
  </si>
  <si>
    <t>Cawthorn &amp; Hoffman (2016)</t>
  </si>
  <si>
    <t>South Africa</t>
  </si>
  <si>
    <t>Wildlife; Fisheries</t>
  </si>
  <si>
    <t>Wildlife-fisheries conflict survey</t>
  </si>
  <si>
    <t>South African cases</t>
  </si>
  <si>
    <t>Human-wildlife conflict</t>
  </si>
  <si>
    <t>Conflict is multidimensional and context-specific; generic solutions fail.</t>
  </si>
  <si>
    <t>C pillar: multidimensionality</t>
  </si>
  <si>
    <t>Context specificity</t>
  </si>
  <si>
    <t>Single-country</t>
  </si>
  <si>
    <t>S107</t>
  </si>
  <si>
    <t>Ros-Tonen et al. (2018)</t>
  </si>
  <si>
    <t>Ghana; Brazil; Indonesia</t>
  </si>
  <si>
    <t>Forestry; Agriculture</t>
  </si>
  <si>
    <t>P, C, I</t>
  </si>
  <si>
    <t>Tri</t>
  </si>
  <si>
    <t>Integrated landscape approaches</t>
  </si>
  <si>
    <t>3-country comparison</t>
  </si>
  <si>
    <t>Landscape approach</t>
  </si>
  <si>
    <t>Integrated landscape approaches show tri-domain integration potential but face coordination barriers.</t>
  </si>
  <si>
    <t>P–C–I: tri-domain integration</t>
  </si>
  <si>
    <t>Coordination costs</t>
  </si>
  <si>
    <t>Three-country design</t>
  </si>
  <si>
    <t>S108</t>
  </si>
  <si>
    <t>Reed et al. (2016)</t>
  </si>
  <si>
    <t>Global (tropical)</t>
  </si>
  <si>
    <t>Landscape-approach review</t>
  </si>
  <si>
    <t>Tropical landscapes</t>
  </si>
  <si>
    <t>Landscape approach; Integration</t>
  </si>
  <si>
    <t>Landscape approach integrates participation, conflict management, and land-use planning.</t>
  </si>
  <si>
    <t>P–C–I: framework review</t>
  </si>
  <si>
    <t>Legitimacy; Resource outcomes</t>
  </si>
  <si>
    <t>S109</t>
  </si>
  <si>
    <t>Sayer et al. (2013)</t>
  </si>
  <si>
    <t>Ten principles of landscape approach</t>
  </si>
  <si>
    <t>Principles paper</t>
  </si>
  <si>
    <t>Ten principles codify tri-domain integration; evidence of full application remains thin.</t>
  </si>
  <si>
    <t>P–C–I: principles</t>
  </si>
  <si>
    <t>Principles-level</t>
  </si>
  <si>
    <t>S110</t>
  </si>
  <si>
    <t>Calisto Friant et al. (2020)</t>
  </si>
  <si>
    <t>CE discourse typology</t>
  </si>
  <si>
    <t>CE literature</t>
  </si>
  <si>
    <t>CE discourse</t>
  </si>
  <si>
    <t>CE discourses vary from techno-centric to transformative; most dominant framings underplay power.</t>
  </si>
  <si>
    <t>CE pillar: discourse critique</t>
  </si>
  <si>
    <t>Power blindness</t>
  </si>
  <si>
    <t>Discourse-focused</t>
  </si>
  <si>
    <t>S111</t>
  </si>
  <si>
    <t>Corvellec et al. (2022)</t>
  </si>
  <si>
    <t>Critiques of CE</t>
  </si>
  <si>
    <t>CE critical literature</t>
  </si>
  <si>
    <t>CE critique</t>
  </si>
  <si>
    <t>CE is conceptually unsettled and empirically over-claimed in many contexts.</t>
  </si>
  <si>
    <t>CE pillar: critical synthesis</t>
  </si>
  <si>
    <t>Circularity gain (scepticism)</t>
  </si>
  <si>
    <t>Conceptual inflation</t>
  </si>
  <si>
    <t>Critical</t>
  </si>
  <si>
    <t>S112</t>
  </si>
  <si>
    <t>Kirchherr et al. (2017)</t>
  </si>
  <si>
    <t>CE definitions analysis</t>
  </si>
  <si>
    <t>114 CE definitions</t>
  </si>
  <si>
    <t>CE definitions</t>
  </si>
  <si>
    <t>CE is defined inconsistently across 114 definitions; coherent definitions matter for policy.</t>
  </si>
  <si>
    <t>CE pillar: definitional base</t>
  </si>
  <si>
    <t>Definitional sprawl</t>
  </si>
  <si>
    <t>S113</t>
  </si>
  <si>
    <t>Geissdoerfer et al. (2017)</t>
  </si>
  <si>
    <t>CE vs. sustainability</t>
  </si>
  <si>
    <t>Concept review</t>
  </si>
  <si>
    <t>CE; Sustainability</t>
  </si>
  <si>
    <t>CE and sustainability overlap but are not coextensive; CE risks greenwashing without sustainability anchoring.</t>
  </si>
  <si>
    <t>CE pillar: conceptual delineation</t>
  </si>
  <si>
    <t>Greenwashing</t>
  </si>
  <si>
    <t>S114</t>
  </si>
  <si>
    <t>Schröder et al. (2019)</t>
  </si>
  <si>
    <t>Global South</t>
  </si>
  <si>
    <t>Edited volume</t>
  </si>
  <si>
    <t>CE in Global South</t>
  </si>
  <si>
    <t>Global South cases</t>
  </si>
  <si>
    <t>CE applicability in Global South requires rethinking from lifestyle and industrial-development angles.</t>
  </si>
  <si>
    <t>CE pillar: Global South</t>
  </si>
  <si>
    <t>Northern bias in CE theory</t>
  </si>
  <si>
    <t>S115</t>
  </si>
  <si>
    <t>Lane et al. (2023)</t>
  </si>
  <si>
    <t>Special issue</t>
  </si>
  <si>
    <t>Justice, equity, CE</t>
  </si>
  <si>
    <t>Justice-CE papers</t>
  </si>
  <si>
    <t>Justice; Equity; CE</t>
  </si>
  <si>
    <t>CE must grapple with justice and equity; otherwise it reinscribes linear-economy inequalities.</t>
  </si>
  <si>
    <t>CE pillar: justice framing</t>
  </si>
  <si>
    <t>Equity blind spots</t>
  </si>
  <si>
    <t>S116</t>
  </si>
  <si>
    <t>Navas et al. (2023)</t>
  </si>
  <si>
    <t>Ecuador</t>
  </si>
  <si>
    <t>C, CE</t>
  </si>
  <si>
    <t>Mining conflict &amp; CE potential</t>
  </si>
  <si>
    <t>Ecuadorian case</t>
  </si>
  <si>
    <t>Mining conflict</t>
  </si>
  <si>
    <t>Mining conflicts in Ecuador show latent CE demand from affected communities.</t>
  </si>
  <si>
    <t>C–CE: conflict as CE driver</t>
  </si>
  <si>
    <t>Conflict de-escalation; Circularity gain</t>
  </si>
  <si>
    <t>Permit regimes</t>
  </si>
  <si>
    <t>Single country</t>
  </si>
  <si>
    <t>S117</t>
  </si>
  <si>
    <t>Bebbington et al. (2018)</t>
  </si>
  <si>
    <t>Andean region</t>
  </si>
  <si>
    <t>Extractive-conflict governance</t>
  </si>
  <si>
    <t>Andean cases</t>
  </si>
  <si>
    <t>Political ecology; Extractive industries</t>
  </si>
  <si>
    <t>Resource conflicts are structural; consultation alone rarely resolves them.</t>
  </si>
  <si>
    <t>C pillar: structural conflict</t>
  </si>
  <si>
    <t>Conflict de-escalation (limited)</t>
  </si>
  <si>
    <t>Structural inequality</t>
  </si>
  <si>
    <t>Regional</t>
  </si>
  <si>
    <t>S118</t>
  </si>
  <si>
    <t>Conde (2017)</t>
  </si>
  <si>
    <t>Resistance to extraction</t>
  </si>
  <si>
    <t>Extraction conflict cases</t>
  </si>
  <si>
    <t>Resistance movements</t>
  </si>
  <si>
    <t>Community resistance to extraction generates participatory-governance demands that institutions rarely meet.</t>
  </si>
  <si>
    <t>C–P: demand-response gap</t>
  </si>
  <si>
    <t>Institutional unresponsiveness</t>
  </si>
  <si>
    <t>Global review</t>
  </si>
  <si>
    <t>S119</t>
  </si>
  <si>
    <t>Berkes (2009)</t>
  </si>
  <si>
    <t>Co-management evolution</t>
  </si>
  <si>
    <t>Fisheries co-management</t>
  </si>
  <si>
    <t>Adaptive co-management</t>
  </si>
  <si>
    <t>Adaptive co-management evolves through trust-building and problem-solving cycles.</t>
  </si>
  <si>
    <t>P–C: adaptive co-management</t>
  </si>
  <si>
    <t>Trust lag</t>
  </si>
  <si>
    <t>S120</t>
  </si>
  <si>
    <t>Pomeroy &amp; Rivera-Guieb (2006)</t>
  </si>
  <si>
    <t>Fishery co-management handbook</t>
  </si>
  <si>
    <t>Practitioner guidance</t>
  </si>
  <si>
    <t>Co-management</t>
  </si>
  <si>
    <t>Practitioner framework codifies co-management enabling conditions.</t>
  </si>
  <si>
    <t>P–C: practice-oriented</t>
  </si>
  <si>
    <t>Practitioner-academia gap</t>
  </si>
  <si>
    <t>S121</t>
  </si>
  <si>
    <t>Gutierrez et al. (2011)</t>
  </si>
  <si>
    <t>Leadership &amp; co-management</t>
  </si>
  <si>
    <t>130 fisheries</t>
  </si>
  <si>
    <t>Co-management success factors</t>
  </si>
  <si>
    <t>Strong leadership and social cohesion are the strongest predictors of co-management success.</t>
  </si>
  <si>
    <t>P pillar: success factors</t>
  </si>
  <si>
    <t>Resource outcomes; Legitimacy</t>
  </si>
  <si>
    <t>Leadership succession</t>
  </si>
  <si>
    <t>Cross-country</t>
  </si>
  <si>
    <t>S122</t>
  </si>
  <si>
    <t>Charles (2017)</t>
  </si>
  <si>
    <t>Food security, fisheries, governance</t>
  </si>
  <si>
    <t>Fisheries governance</t>
  </si>
  <si>
    <t>Small-scale fisheries governance integrates livelihoods, conflict, and ecosystem concerns.</t>
  </si>
  <si>
    <t>P–C: integrated fisheries</t>
  </si>
  <si>
    <t>S123</t>
  </si>
  <si>
    <t>Ostrom (1990, 2015 edition)</t>
  </si>
  <si>
    <t>Design principles for commons</t>
  </si>
  <si>
    <t>Global commons cases</t>
  </si>
  <si>
    <t>Commons; Design principles</t>
  </si>
  <si>
    <t>Eight design principles predict durable commons governance; conflict-resolution is one.</t>
  </si>
  <si>
    <t>P pillar: foundational</t>
  </si>
  <si>
    <t>Scale adaptation</t>
  </si>
  <si>
    <t>S124</t>
  </si>
  <si>
    <t>Arnstein (1969)</t>
  </si>
  <si>
    <t>USA</t>
  </si>
  <si>
    <t>Ladder of citizen participation</t>
  </si>
  <si>
    <t>Urban-planning foundation</t>
  </si>
  <si>
    <t>Ladder of participation</t>
  </si>
  <si>
    <t>Eight-rung ladder distinguishes manipulation from citizen control; still analytically central.</t>
  </si>
  <si>
    <t>Ladder critique</t>
  </si>
  <si>
    <t>S125</t>
  </si>
  <si>
    <t>Reed (2008)</t>
  </si>
  <si>
    <t>Stakeholder participation typology</t>
  </si>
  <si>
    <t>Participation literature</t>
  </si>
  <si>
    <t>Stakeholder participation</t>
  </si>
  <si>
    <t>Typology with practical guidance clarifies when and how to engage stakeholders.</t>
  </si>
  <si>
    <t>Practice-theory gap</t>
  </si>
  <si>
    <t>S126</t>
  </si>
  <si>
    <t>Norström et al. (2020)</t>
  </si>
  <si>
    <t>Principles of knowledge co-production</t>
  </si>
  <si>
    <t>Sustainability research</t>
  </si>
  <si>
    <t>Knowledge co-production</t>
  </si>
  <si>
    <t>Four principles (context-based, pluralistic, goal-oriented, interactive) define co-production.</t>
  </si>
  <si>
    <t>P pillar: co-production</t>
  </si>
  <si>
    <t>Resource intensity</t>
  </si>
  <si>
    <t>Principles</t>
  </si>
  <si>
    <t>S127</t>
  </si>
  <si>
    <t>Lang et al. (2012)</t>
  </si>
  <si>
    <t>Transdisciplinary research</t>
  </si>
  <si>
    <t>Seven challenges and coping strategies codify transdisciplinary research practice.</t>
  </si>
  <si>
    <t>P pillar: transdisciplinarity</t>
  </si>
  <si>
    <t>Practice challenges</t>
  </si>
  <si>
    <t>S128</t>
  </si>
  <si>
    <t>Voinov &amp; Bousquet (2010)</t>
  </si>
  <si>
    <t>Modelling with stakeholders</t>
  </si>
  <si>
    <t>Participatory modelling review</t>
  </si>
  <si>
    <t>Participatory modelling matures as a method suite; success depends on process design.</t>
  </si>
  <si>
    <t>P pillar: modelling review</t>
  </si>
  <si>
    <t>S129</t>
  </si>
  <si>
    <t>Pretty (2003)</t>
  </si>
  <si>
    <t>Social capital &amp; NR management</t>
  </si>
  <si>
    <t>Social capital</t>
  </si>
  <si>
    <t>Social capital is a strong predictor of NR-management outcomes.</t>
  </si>
  <si>
    <t>P pillar: social-capital lens</t>
  </si>
  <si>
    <t>Measurement</t>
  </si>
  <si>
    <t>S130</t>
  </si>
  <si>
    <t>Bodin (2017)</t>
  </si>
  <si>
    <t>Collaborative environmental governance</t>
  </si>
  <si>
    <t>Network perspectives</t>
  </si>
  <si>
    <t>Collaborative governance; Networks</t>
  </si>
  <si>
    <t>Collaborative governance as network phenomenon; tie structure matters for outcomes.</t>
  </si>
  <si>
    <t>P–I: network view</t>
  </si>
  <si>
    <t>Conceptual-empirical</t>
  </si>
  <si>
    <t>S131</t>
  </si>
  <si>
    <t>Emerson et al. (2012)</t>
  </si>
  <si>
    <t>Integrative framework collaborative governance</t>
  </si>
  <si>
    <t>Integrative framework distinguishes drivers, dynamics, and outcomes of collaborative governance.</t>
  </si>
  <si>
    <t>P–C: integrative framework</t>
  </si>
  <si>
    <t>S132</t>
  </si>
  <si>
    <t>Ansell &amp; Gash (2008)</t>
  </si>
  <si>
    <t>Collaborative governance meta-analysis</t>
  </si>
  <si>
    <t>137 cases</t>
  </si>
  <si>
    <t>Collaborative governance outcomes depend on face-to-face dialogue, trust-building, and shared understanding.</t>
  </si>
  <si>
    <t>P–C: meta-analysis</t>
  </si>
  <si>
    <t>Time demands</t>
  </si>
  <si>
    <t>Meta-analysis</t>
  </si>
  <si>
    <t>S133</t>
  </si>
  <si>
    <t>Armitage et al. (2009)</t>
  </si>
  <si>
    <t>Co-management synthesis</t>
  </si>
  <si>
    <t>Adaptive co-management bridges participation, conflict, and learning under uncertainty.</t>
  </si>
  <si>
    <t>P–C–I: co-management synthesis</t>
  </si>
  <si>
    <t>Implementation complexity</t>
  </si>
  <si>
    <t>S134</t>
  </si>
  <si>
    <t>Folke et al. (2005)</t>
  </si>
  <si>
    <t>Adaptive governance of SES</t>
  </si>
  <si>
    <t>SES literature</t>
  </si>
  <si>
    <t>Adaptive governance</t>
  </si>
  <si>
    <t>Adaptive governance of socio-ecological systems integrates learning and flexibility.</t>
  </si>
  <si>
    <t>P–I: SES framing</t>
  </si>
  <si>
    <t>Institutional inertia</t>
  </si>
  <si>
    <t>S135</t>
  </si>
  <si>
    <t>Lemos &amp; Agrawal (2006)</t>
  </si>
  <si>
    <t>Environmental governance review</t>
  </si>
  <si>
    <t>Environmental governance</t>
  </si>
  <si>
    <t>Hybrid governance</t>
  </si>
  <si>
    <t>Environmental governance is shifting toward hybrid forms crossing state-market-community boundaries.</t>
  </si>
  <si>
    <t>I pillar: governance review</t>
  </si>
  <si>
    <t>Accountability</t>
  </si>
  <si>
    <t>Foundational review</t>
  </si>
  <si>
    <t>S136</t>
  </si>
  <si>
    <t>Lielupe &amp; Mesta-Nestos case (2024)</t>
  </si>
  <si>
    <t>Latvia; Greece-Bulgaria</t>
  </si>
  <si>
    <t>Transboundary WEFE governance</t>
  </si>
  <si>
    <t>Two river basins</t>
  </si>
  <si>
    <t>WEFE; Transboundary</t>
  </si>
  <si>
    <t>Short-cycle EU funding undermines lasting transboundary WEFE collaboration.</t>
  </si>
  <si>
    <t>I–P: funding cycle problem</t>
  </si>
  <si>
    <t>Funding cycles</t>
  </si>
  <si>
    <t>Comparative basins</t>
  </si>
  <si>
    <t>S137</t>
  </si>
  <si>
    <t>Su &amp; He (2024)</t>
  </si>
  <si>
    <t>Services / analogue</t>
  </si>
  <si>
    <t>P, D</t>
  </si>
  <si>
    <t>Collaborative governance of prepaid consumption</t>
  </si>
  <si>
    <t>Sports industry analogue</t>
  </si>
  <si>
    <t>Digital platforms can extend collaborative-governance principles to prepaid consumption.</t>
  </si>
  <si>
    <t>P–D: platform governance</t>
  </si>
  <si>
    <t>Analogue</t>
  </si>
  <si>
    <t>S138</t>
  </si>
  <si>
    <t>Quynh &amp; Thanh (2025)</t>
  </si>
  <si>
    <t>Governance / analogue</t>
  </si>
  <si>
    <t>Digital platforms and youth civic participation</t>
  </si>
  <si>
    <t>Vietnamese youth</t>
  </si>
  <si>
    <t>Digital platforms; Civic participation</t>
  </si>
  <si>
    <t>Digital platforms broaden civic participation but risk filtering by digital divides.</t>
  </si>
  <si>
    <t>P–D: civic platforms</t>
  </si>
  <si>
    <t>Digital divide</t>
  </si>
  <si>
    <t>Mobile platform</t>
  </si>
  <si>
    <t>Sector-adjacent</t>
  </si>
  <si>
    <t>Summary cross-tabulations from Extraction table</t>
  </si>
  <si>
    <t>5.1 Distribution of studies by domain combination</t>
  </si>
  <si>
    <t>Description</t>
  </si>
  <si>
    <t>Studies (n)</t>
  </si>
  <si>
    <t>Share of corpus</t>
  </si>
  <si>
    <t>Example studies</t>
  </si>
  <si>
    <t>One pillar only</t>
  </si>
  <si>
    <t>Ostrom (1990); Arnstein (1969); Kinnunen &amp; Kaksonen (2019)</t>
  </si>
  <si>
    <t>Foundational and sector-specific works</t>
  </si>
  <si>
    <t>Two pillars integrated</t>
  </si>
  <si>
    <t>Pétursson &amp; Kristófersson (2021); Fisher et al. (2019); Tahir et al. (2024)</t>
  </si>
  <si>
    <t>Most common integration level</t>
  </si>
  <si>
    <t>All three pillars integrated</t>
  </si>
  <si>
    <t>Ros-Tonen et al. (2018); Sayer et al. (2013); Armitage et al. (2009)</t>
  </si>
  <si>
    <t>Rare: landscape approach + adaptive co-management</t>
  </si>
  <si>
    <t>Tri+Digital (PCC-D)</t>
  </si>
  <si>
    <t>All three pillars + digital tools</t>
  </si>
  <si>
    <t>None fully — evidence gap</t>
  </si>
  <si>
    <t>Principal gap motivating this review</t>
  </si>
  <si>
    <t>Total</t>
  </si>
  <si>
    <t>5.2 Distribution of studies by continent</t>
  </si>
  <si>
    <t>Tri-domain studies</t>
  </si>
  <si>
    <t>Digital studies</t>
  </si>
  <si>
    <t>5.3 Distribution of studies by primary sector (multi-coded — uses wildcard match)</t>
  </si>
  <si>
    <t>Median quality</t>
  </si>
  <si>
    <t>Digital uptake (n)</t>
  </si>
  <si>
    <t>Energy</t>
  </si>
  <si>
    <t>5.4 Quality score distribution</t>
  </si>
  <si>
    <t>Quality score</t>
  </si>
  <si>
    <t>Mean</t>
  </si>
  <si>
    <t>Quality appraisal — per-study component scores and risk of bias</t>
  </si>
  <si>
    <t>Clarity of aims (0–2)</t>
  </si>
  <si>
    <t>Design (0–2)</t>
  </si>
  <si>
    <t>Data rigour (0–2)</t>
  </si>
  <si>
    <t>Reflexivity (0–2)</t>
  </si>
  <si>
    <t>Contribution (0–2)</t>
  </si>
  <si>
    <t>Total (0–10)</t>
  </si>
  <si>
    <t>Rescaled (0–5)</t>
  </si>
  <si>
    <t>Quality appraisal summary</t>
  </si>
  <si>
    <t>Mean rescaled score</t>
  </si>
  <si>
    <t>Median rescaled score</t>
  </si>
  <si>
    <t>Studies scoring ≥ 4</t>
  </si>
  <si>
    <t>Studies scoring ≤ 2</t>
  </si>
  <si>
    <t>Inter-coder Cohen's κ (20% sub-sample)</t>
  </si>
  <si>
    <t>Gap matrix — domain-by-region and domain-by-sector integration</t>
  </si>
  <si>
    <t>7.1 Region × domain combination</t>
  </si>
  <si>
    <t>Region</t>
  </si>
  <si>
    <t>Tri+Digital</t>
  </si>
  <si>
    <t>7.2 Sector × domain combination (wildcard match)</t>
  </si>
  <si>
    <t>7.3 Identified integration gaps (from 7.1–7.2)</t>
  </si>
  <si>
    <t>Gap type</t>
  </si>
  <si>
    <t>Observation</t>
  </si>
  <si>
    <t>Implication for PCC framework</t>
  </si>
  <si>
    <t>Empirical tri-domain gap</t>
  </si>
  <si>
    <t>Very few studies empirically integrate participation, conflict management, and circular economy simultaneously; no study integrates all three plus digital.</t>
  </si>
  <si>
    <t>Principal empirical niche the PCC-D framework is designed to fill.</t>
  </si>
  <si>
    <t>Regional under-representation — Oceania &amp; North America</t>
  </si>
  <si>
    <t>Oceania and North America contribute relatively few empirical cases.</t>
  </si>
  <si>
    <t>Pilot applications in these regions would strengthen external validity.</t>
  </si>
  <si>
    <t>Sectoral gap — mining + participation</t>
  </si>
  <si>
    <t>Mining studies cluster in CE and conflict, with weak participatory empirical base beyond protected areas.</t>
  </si>
  <si>
    <t>Critical sector for PCC piloting, particularly in post-conflict extractive contexts.</t>
  </si>
  <si>
    <t>Methodological gap</t>
  </si>
  <si>
    <t>Mixed-methods tri-domain designs with longitudinal data are rare; most tri-domain work is conceptual/review.</t>
  </si>
  <si>
    <t>PCC framework needs multi-year empirical pilots with pre-post outcome metrics.</t>
  </si>
  <si>
    <t>Power/equity gap in CE</t>
  </si>
  <si>
    <t>CE literature is largely silent on power and equity outside Global-South critiques.</t>
  </si>
  <si>
    <t>PCC framework explicitly imports equity analysis from participation literature into CE design.</t>
  </si>
  <si>
    <t>Digital-governance coupling gap</t>
  </si>
  <si>
    <t>Blockchain/IoT studies often lack governance anchoring; governance studies rarely engage digital tools.</t>
  </si>
  <si>
    <t>Digital transparency layer operationalised as scaffolding, not substitute, in the PCC framework.</t>
  </si>
  <si>
    <t>Scale gap</t>
  </si>
  <si>
    <t>Most evidence sits at local or landscape scale; regional and international nexus integration under-studied.</t>
  </si>
  <si>
    <t>PCC cycle should be tested at multiple scales with explicit scale-bridging indicators.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</si>
</sst>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8" x14ac:knownFonts="1">
    <font>
      <sz val="11"/>
      <color theme="1"/>
      <name val="Calibri"/>
      <family val="2"/>
      <charset val="1"/>
    </font>
    <font>
      <b/>
      <sz val="14"/>
      <color rgb="FF1F4E78"/>
      <name val="Calibri"/>
      <charset val="1"/>
    </font>
    <font>
      <sz val="11"/>
      <name val="Calibri"/>
      <charset val="1"/>
    </font>
    <font>
      <b/>
      <sz val="10"/>
      <color rgb="FF1F4E78"/>
      <name val="Cambria"/>
      <charset val="1"/>
    </font>
    <font>
      <sz val="10"/>
      <name val="Calibri"/>
      <charset val="1"/>
    </font>
    <font>
      <b/>
      <sz val="11"/>
      <color rgb="FFFFFFFF"/>
      <name val="Calibri"/>
      <charset val="1"/>
    </font>
    <font>
      <b/>
      <sz val="11"/>
      <color rgb="FF1F4E78"/>
      <name val="Cambria"/>
      <charset val="1"/>
    </font>
    <font>
      <i/>
      <sz val="9"/>
      <color rgb="FF595959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1F2"/>
        <bgColor rgb="FFCC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1" fillId="0" borderId="0" xfId="0" applyFo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1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opLeftCell="A2" zoomScaleNormal="100" workbookViewId="0">
      <selection sqref="A1:D1"/>
    </sheetView>
  </sheetViews>
  <sheetFormatPr defaultColWidth="8.6328125" defaultRowHeight="14.5" x14ac:dyDescent="0.35"/>
  <cols>
    <col min="1" max="1" width="32" customWidth="1"/>
    <col min="2" max="4" width="30" customWidth="1"/>
  </cols>
  <sheetData>
    <row r="1" spans="1:4" ht="17.25" customHeight="1" x14ac:dyDescent="0.45">
      <c r="A1" s="11" t="s">
        <v>0</v>
      </c>
      <c r="B1" s="11"/>
      <c r="C1" s="11"/>
      <c r="D1" s="11"/>
    </row>
    <row r="2" spans="1:4" ht="60" customHeight="1" x14ac:dyDescent="0.35">
      <c r="A2" s="12" t="s">
        <v>1</v>
      </c>
      <c r="B2" s="12"/>
      <c r="C2" s="12"/>
      <c r="D2" s="12"/>
    </row>
    <row r="4" spans="1:4" ht="15" customHeight="1" x14ac:dyDescent="0.35">
      <c r="A4" s="1" t="s">
        <v>2</v>
      </c>
      <c r="B4" s="13" t="s">
        <v>3</v>
      </c>
      <c r="C4" s="13"/>
      <c r="D4" s="13"/>
    </row>
    <row r="5" spans="1:4" ht="15" customHeight="1" x14ac:dyDescent="0.35">
      <c r="A5" s="1" t="s">
        <v>4</v>
      </c>
      <c r="B5" s="13" t="s">
        <v>5</v>
      </c>
      <c r="C5" s="13"/>
      <c r="D5" s="13"/>
    </row>
    <row r="6" spans="1:4" ht="15" customHeight="1" x14ac:dyDescent="0.35">
      <c r="A6" s="1" t="s">
        <v>6</v>
      </c>
      <c r="B6" s="13" t="s">
        <v>7</v>
      </c>
      <c r="C6" s="13"/>
      <c r="D6" s="13"/>
    </row>
    <row r="7" spans="1:4" ht="15" customHeight="1" x14ac:dyDescent="0.35">
      <c r="A7" s="1" t="s">
        <v>8</v>
      </c>
      <c r="B7" s="13" t="s">
        <v>9</v>
      </c>
      <c r="C7" s="13"/>
      <c r="D7" s="13"/>
    </row>
    <row r="8" spans="1:4" ht="15" customHeight="1" x14ac:dyDescent="0.35">
      <c r="A8" s="1" t="s">
        <v>10</v>
      </c>
      <c r="B8" s="13" t="s">
        <v>11</v>
      </c>
      <c r="C8" s="13"/>
      <c r="D8" s="13"/>
    </row>
    <row r="9" spans="1:4" ht="15" customHeight="1" x14ac:dyDescent="0.35">
      <c r="A9" s="1" t="s">
        <v>12</v>
      </c>
      <c r="B9" s="13" t="s">
        <v>13</v>
      </c>
      <c r="C9" s="13"/>
      <c r="D9" s="13"/>
    </row>
    <row r="10" spans="1:4" ht="15" customHeight="1" x14ac:dyDescent="0.35">
      <c r="A10" s="1" t="s">
        <v>14</v>
      </c>
      <c r="B10" s="13" t="s">
        <v>15</v>
      </c>
      <c r="C10" s="13"/>
      <c r="D10" s="13"/>
    </row>
    <row r="11" spans="1:4" ht="15" customHeight="1" x14ac:dyDescent="0.35">
      <c r="A11" s="1" t="s">
        <v>16</v>
      </c>
      <c r="B11" s="13" t="s">
        <v>17</v>
      </c>
      <c r="C11" s="13"/>
      <c r="D11" s="13"/>
    </row>
    <row r="12" spans="1:4" ht="15" customHeight="1" x14ac:dyDescent="0.35">
      <c r="A12" s="1" t="s">
        <v>18</v>
      </c>
      <c r="B12" s="13" t="s">
        <v>19</v>
      </c>
      <c r="C12" s="13"/>
      <c r="D12" s="13"/>
    </row>
    <row r="13" spans="1:4" ht="15" customHeight="1" x14ac:dyDescent="0.35">
      <c r="A13" s="1" t="s">
        <v>20</v>
      </c>
      <c r="B13" s="13" t="s">
        <v>21</v>
      </c>
      <c r="C13" s="13"/>
      <c r="D13" s="13"/>
    </row>
    <row r="14" spans="1:4" ht="15" customHeight="1" x14ac:dyDescent="0.35">
      <c r="A14" s="1"/>
      <c r="B14" s="13"/>
      <c r="C14" s="13"/>
      <c r="D14" s="13"/>
    </row>
    <row r="15" spans="1:4" ht="15" customHeight="1" x14ac:dyDescent="0.35">
      <c r="A15" s="1" t="s">
        <v>22</v>
      </c>
      <c r="B15" s="13"/>
      <c r="C15" s="13"/>
      <c r="D15" s="13"/>
    </row>
    <row r="16" spans="1:4" ht="15" customHeight="1" x14ac:dyDescent="0.35">
      <c r="A16" s="1" t="s">
        <v>23</v>
      </c>
      <c r="B16" s="13" t="s">
        <v>24</v>
      </c>
      <c r="C16" s="13"/>
      <c r="D16" s="13"/>
    </row>
    <row r="17" spans="1:4" ht="15" customHeight="1" x14ac:dyDescent="0.35">
      <c r="A17" s="1" t="s">
        <v>25</v>
      </c>
      <c r="B17" s="13" t="s">
        <v>26</v>
      </c>
      <c r="C17" s="13"/>
      <c r="D17" s="13"/>
    </row>
    <row r="18" spans="1:4" ht="15" customHeight="1" x14ac:dyDescent="0.35">
      <c r="A18" s="1" t="s">
        <v>27</v>
      </c>
      <c r="B18" s="13" t="s">
        <v>28</v>
      </c>
      <c r="C18" s="13"/>
      <c r="D18" s="13"/>
    </row>
    <row r="19" spans="1:4" ht="15" customHeight="1" x14ac:dyDescent="0.35">
      <c r="A19" s="1" t="s">
        <v>29</v>
      </c>
      <c r="B19" s="13" t="s">
        <v>30</v>
      </c>
      <c r="C19" s="13"/>
      <c r="D19" s="13"/>
    </row>
    <row r="20" spans="1:4" ht="15" customHeight="1" x14ac:dyDescent="0.35">
      <c r="A20" s="1" t="s">
        <v>31</v>
      </c>
      <c r="B20" s="13" t="s">
        <v>32</v>
      </c>
      <c r="C20" s="13"/>
      <c r="D20" s="13"/>
    </row>
    <row r="21" spans="1:4" ht="15" customHeight="1" x14ac:dyDescent="0.35">
      <c r="A21" s="1" t="s">
        <v>33</v>
      </c>
      <c r="B21" s="13" t="s">
        <v>34</v>
      </c>
      <c r="C21" s="13"/>
      <c r="D21" s="13"/>
    </row>
    <row r="22" spans="1:4" ht="15" customHeight="1" x14ac:dyDescent="0.35">
      <c r="A22" s="1" t="s">
        <v>35</v>
      </c>
      <c r="B22" s="13" t="s">
        <v>36</v>
      </c>
      <c r="C22" s="13"/>
      <c r="D22" s="13"/>
    </row>
    <row r="23" spans="1:4" ht="15" customHeight="1" x14ac:dyDescent="0.35">
      <c r="A23" s="1"/>
      <c r="B23" s="13"/>
      <c r="C23" s="13"/>
      <c r="D23" s="13"/>
    </row>
    <row r="24" spans="1:4" ht="15" customHeight="1" x14ac:dyDescent="0.35">
      <c r="A24" s="1" t="s">
        <v>37</v>
      </c>
      <c r="B24" s="13" t="s">
        <v>38</v>
      </c>
      <c r="C24" s="13"/>
      <c r="D24" s="13"/>
    </row>
    <row r="25" spans="1:4" ht="15" customHeight="1" x14ac:dyDescent="0.35">
      <c r="A25" s="1" t="s">
        <v>39</v>
      </c>
      <c r="B25" s="13" t="s">
        <v>40</v>
      </c>
      <c r="C25" s="13"/>
      <c r="D25" s="13"/>
    </row>
  </sheetData>
  <mergeCells count="24">
    <mergeCell ref="B22:D22"/>
    <mergeCell ref="B23:D23"/>
    <mergeCell ref="B24:D24"/>
    <mergeCell ref="B25:D25"/>
    <mergeCell ref="B17:D17"/>
    <mergeCell ref="B18:D18"/>
    <mergeCell ref="B19:D19"/>
    <mergeCell ref="B20:D20"/>
    <mergeCell ref="B21:D21"/>
    <mergeCell ref="B12:D12"/>
    <mergeCell ref="B13:D13"/>
    <mergeCell ref="B14:D14"/>
    <mergeCell ref="B15:D15"/>
    <mergeCell ref="B16:D16"/>
    <mergeCell ref="B7:D7"/>
    <mergeCell ref="B8:D8"/>
    <mergeCell ref="B9:D9"/>
    <mergeCell ref="B10:D10"/>
    <mergeCell ref="B11:D11"/>
    <mergeCell ref="A1:D1"/>
    <mergeCell ref="A2:D2"/>
    <mergeCell ref="B4:D4"/>
    <mergeCell ref="B5:D5"/>
    <mergeCell ref="B6:D6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"/>
  <sheetViews>
    <sheetView zoomScaleNormal="100" workbookViewId="0">
      <selection sqref="A1:D1"/>
    </sheetView>
  </sheetViews>
  <sheetFormatPr defaultColWidth="8.6328125" defaultRowHeight="14.5" x14ac:dyDescent="0.35"/>
  <cols>
    <col min="1" max="1" width="32" customWidth="1"/>
    <col min="2" max="2" width="20" customWidth="1"/>
    <col min="3" max="3" width="55" customWidth="1"/>
    <col min="4" max="4" width="32" customWidth="1"/>
  </cols>
  <sheetData>
    <row r="1" spans="1:4" ht="24" customHeight="1" x14ac:dyDescent="0.45">
      <c r="A1" s="11" t="s">
        <v>41</v>
      </c>
      <c r="B1" s="11"/>
      <c r="C1" s="11"/>
      <c r="D1" s="11"/>
    </row>
    <row r="3" spans="1:4" ht="37.5" customHeight="1" x14ac:dyDescent="0.35">
      <c r="A3" s="2" t="s">
        <v>42</v>
      </c>
      <c r="B3" s="2" t="s">
        <v>43</v>
      </c>
      <c r="C3" s="2" t="s">
        <v>44</v>
      </c>
      <c r="D3" s="2" t="s">
        <v>45</v>
      </c>
    </row>
    <row r="4" spans="1:4" ht="15" customHeight="1" x14ac:dyDescent="0.35">
      <c r="A4" s="3" t="s">
        <v>46</v>
      </c>
      <c r="B4" s="3" t="s">
        <v>47</v>
      </c>
      <c r="C4" s="3" t="s">
        <v>48</v>
      </c>
      <c r="D4" s="3" t="s">
        <v>49</v>
      </c>
    </row>
    <row r="5" spans="1:4" ht="15" customHeight="1" x14ac:dyDescent="0.35">
      <c r="A5" s="3" t="s">
        <v>50</v>
      </c>
      <c r="B5" s="3" t="s">
        <v>47</v>
      </c>
      <c r="C5" s="3" t="s">
        <v>51</v>
      </c>
      <c r="D5" s="3" t="s">
        <v>52</v>
      </c>
    </row>
    <row r="6" spans="1:4" ht="15" customHeight="1" x14ac:dyDescent="0.35">
      <c r="A6" s="3" t="s">
        <v>53</v>
      </c>
      <c r="B6" s="3" t="s">
        <v>47</v>
      </c>
      <c r="C6" s="3" t="s">
        <v>54</v>
      </c>
      <c r="D6" s="3" t="s">
        <v>55</v>
      </c>
    </row>
    <row r="7" spans="1:4" ht="15" customHeight="1" x14ac:dyDescent="0.35">
      <c r="A7" s="3" t="s">
        <v>56</v>
      </c>
      <c r="B7" s="3" t="s">
        <v>57</v>
      </c>
      <c r="C7" s="3" t="s">
        <v>58</v>
      </c>
      <c r="D7" s="3" t="s">
        <v>59</v>
      </c>
    </row>
    <row r="8" spans="1:4" ht="23.25" customHeight="1" x14ac:dyDescent="0.35">
      <c r="A8" s="3" t="s">
        <v>60</v>
      </c>
      <c r="B8" s="3" t="s">
        <v>61</v>
      </c>
      <c r="C8" s="3" t="s">
        <v>62</v>
      </c>
      <c r="D8" s="3" t="s">
        <v>63</v>
      </c>
    </row>
    <row r="9" spans="1:4" ht="23.25" customHeight="1" x14ac:dyDescent="0.35">
      <c r="A9" s="3" t="s">
        <v>64</v>
      </c>
      <c r="B9" s="3" t="s">
        <v>61</v>
      </c>
      <c r="C9" s="3" t="s">
        <v>65</v>
      </c>
      <c r="D9" s="3" t="s">
        <v>66</v>
      </c>
    </row>
    <row r="10" spans="1:4" ht="15" customHeight="1" x14ac:dyDescent="0.35">
      <c r="A10" s="3" t="s">
        <v>67</v>
      </c>
      <c r="B10" s="3" t="s">
        <v>57</v>
      </c>
      <c r="C10" s="3" t="s">
        <v>68</v>
      </c>
      <c r="D10" s="3" t="s">
        <v>69</v>
      </c>
    </row>
    <row r="11" spans="1:4" ht="23.25" customHeight="1" x14ac:dyDescent="0.35">
      <c r="A11" s="3" t="s">
        <v>70</v>
      </c>
      <c r="B11" s="3" t="s">
        <v>57</v>
      </c>
      <c r="C11" s="3" t="s">
        <v>71</v>
      </c>
      <c r="D11" s="3" t="s">
        <v>72</v>
      </c>
    </row>
    <row r="12" spans="1:4" ht="15" customHeight="1" x14ac:dyDescent="0.35">
      <c r="A12" s="3" t="s">
        <v>73</v>
      </c>
      <c r="B12" s="3" t="s">
        <v>47</v>
      </c>
      <c r="C12" s="3" t="s">
        <v>74</v>
      </c>
      <c r="D12" s="3" t="s">
        <v>75</v>
      </c>
    </row>
    <row r="13" spans="1:4" ht="15" customHeight="1" x14ac:dyDescent="0.35">
      <c r="A13" s="3" t="s">
        <v>76</v>
      </c>
      <c r="B13" s="3" t="s">
        <v>47</v>
      </c>
      <c r="C13" s="3" t="s">
        <v>77</v>
      </c>
      <c r="D13" s="3" t="s">
        <v>78</v>
      </c>
    </row>
    <row r="14" spans="1:4" ht="23.25" customHeight="1" x14ac:dyDescent="0.35">
      <c r="A14" s="3" t="s">
        <v>79</v>
      </c>
      <c r="B14" s="3" t="s">
        <v>47</v>
      </c>
      <c r="C14" s="3" t="s">
        <v>80</v>
      </c>
      <c r="D14" s="3" t="s">
        <v>81</v>
      </c>
    </row>
    <row r="15" spans="1:4" ht="15" customHeight="1" x14ac:dyDescent="0.35">
      <c r="A15" s="3" t="s">
        <v>82</v>
      </c>
      <c r="B15" s="3" t="s">
        <v>47</v>
      </c>
      <c r="C15" s="3" t="s">
        <v>83</v>
      </c>
      <c r="D15" s="3" t="s">
        <v>84</v>
      </c>
    </row>
    <row r="16" spans="1:4" ht="15" customHeight="1" x14ac:dyDescent="0.35">
      <c r="A16" s="3" t="s">
        <v>85</v>
      </c>
      <c r="B16" s="3" t="s">
        <v>47</v>
      </c>
      <c r="C16" s="3" t="s">
        <v>86</v>
      </c>
      <c r="D16" s="3" t="s">
        <v>87</v>
      </c>
    </row>
    <row r="17" spans="1:4" ht="23.25" customHeight="1" x14ac:dyDescent="0.35">
      <c r="A17" s="3" t="s">
        <v>88</v>
      </c>
      <c r="B17" s="3" t="s">
        <v>61</v>
      </c>
      <c r="C17" s="3" t="s">
        <v>89</v>
      </c>
      <c r="D17" s="3" t="s">
        <v>90</v>
      </c>
    </row>
    <row r="18" spans="1:4" ht="15" customHeight="1" x14ac:dyDescent="0.35">
      <c r="A18" s="3" t="s">
        <v>91</v>
      </c>
      <c r="B18" s="3" t="s">
        <v>47</v>
      </c>
      <c r="C18" s="3" t="s">
        <v>92</v>
      </c>
      <c r="D18" s="3" t="s">
        <v>93</v>
      </c>
    </row>
    <row r="19" spans="1:4" ht="23.25" customHeight="1" x14ac:dyDescent="0.35">
      <c r="A19" s="3" t="s">
        <v>94</v>
      </c>
      <c r="B19" s="3" t="s">
        <v>95</v>
      </c>
      <c r="C19" s="3" t="s">
        <v>96</v>
      </c>
      <c r="D19" s="3" t="s">
        <v>97</v>
      </c>
    </row>
    <row r="20" spans="1:4" ht="23.25" customHeight="1" x14ac:dyDescent="0.35">
      <c r="A20" s="3" t="s">
        <v>98</v>
      </c>
      <c r="B20" s="3" t="s">
        <v>57</v>
      </c>
      <c r="C20" s="3" t="s">
        <v>99</v>
      </c>
      <c r="D20" s="3" t="s">
        <v>100</v>
      </c>
    </row>
    <row r="21" spans="1:4" ht="15" customHeight="1" x14ac:dyDescent="0.35">
      <c r="A21" s="3" t="s">
        <v>101</v>
      </c>
      <c r="B21" s="3" t="s">
        <v>47</v>
      </c>
      <c r="C21" s="3" t="s">
        <v>102</v>
      </c>
      <c r="D21" s="3" t="s">
        <v>103</v>
      </c>
    </row>
    <row r="22" spans="1:4" ht="15" customHeight="1" x14ac:dyDescent="0.35">
      <c r="A22" s="3" t="s">
        <v>104</v>
      </c>
      <c r="B22" s="3" t="s">
        <v>105</v>
      </c>
      <c r="C22" s="3" t="s">
        <v>106</v>
      </c>
      <c r="D22" s="3" t="s">
        <v>107</v>
      </c>
    </row>
    <row r="23" spans="1:4" ht="23.25" customHeight="1" x14ac:dyDescent="0.35">
      <c r="A23" s="3" t="s">
        <v>108</v>
      </c>
      <c r="B23" s="3" t="s">
        <v>105</v>
      </c>
      <c r="C23" s="3" t="s">
        <v>109</v>
      </c>
      <c r="D23" s="3" t="s">
        <v>110</v>
      </c>
    </row>
    <row r="24" spans="1:4" ht="15" customHeight="1" x14ac:dyDescent="0.35">
      <c r="A24" s="3" t="s">
        <v>111</v>
      </c>
      <c r="B24" s="3" t="s">
        <v>57</v>
      </c>
      <c r="C24" s="3" t="s">
        <v>112</v>
      </c>
      <c r="D24" s="3" t="s">
        <v>113</v>
      </c>
    </row>
    <row r="25" spans="1:4" ht="15" customHeight="1" x14ac:dyDescent="0.35">
      <c r="A25" s="3" t="s">
        <v>114</v>
      </c>
      <c r="B25" s="3" t="s">
        <v>47</v>
      </c>
      <c r="C25" s="3" t="s">
        <v>115</v>
      </c>
      <c r="D25" s="3" t="s">
        <v>116</v>
      </c>
    </row>
    <row r="29" spans="1:4" ht="15" customHeight="1" x14ac:dyDescent="0.35">
      <c r="A29" s="14" t="s">
        <v>117</v>
      </c>
      <c r="B29" s="14"/>
      <c r="C29" s="14"/>
      <c r="D29" s="14"/>
    </row>
    <row r="30" spans="1:4" ht="37.5" customHeight="1" x14ac:dyDescent="0.35">
      <c r="A30" s="2" t="s">
        <v>118</v>
      </c>
      <c r="B30" s="2" t="s">
        <v>119</v>
      </c>
      <c r="C30" s="2" t="s">
        <v>120</v>
      </c>
      <c r="D30" s="2" t="s">
        <v>121</v>
      </c>
    </row>
    <row r="31" spans="1:4" ht="15" customHeight="1" x14ac:dyDescent="0.35">
      <c r="A31" s="3" t="s">
        <v>122</v>
      </c>
      <c r="B31" s="3" t="s">
        <v>123</v>
      </c>
      <c r="C31" s="3" t="s">
        <v>124</v>
      </c>
      <c r="D31" s="3" t="s">
        <v>125</v>
      </c>
    </row>
    <row r="32" spans="1:4" ht="15" customHeight="1" x14ac:dyDescent="0.35">
      <c r="A32" s="3" t="s">
        <v>126</v>
      </c>
      <c r="B32" s="3" t="s">
        <v>127</v>
      </c>
      <c r="C32" s="3" t="s">
        <v>128</v>
      </c>
      <c r="D32" s="3" t="s">
        <v>129</v>
      </c>
    </row>
    <row r="33" spans="1:4" ht="15" customHeight="1" x14ac:dyDescent="0.35">
      <c r="A33" s="3" t="s">
        <v>130</v>
      </c>
      <c r="B33" s="3" t="s">
        <v>131</v>
      </c>
      <c r="C33" s="3" t="s">
        <v>132</v>
      </c>
      <c r="D33" s="3" t="s">
        <v>133</v>
      </c>
    </row>
    <row r="34" spans="1:4" ht="15" customHeight="1" x14ac:dyDescent="0.35">
      <c r="A34" s="3" t="s">
        <v>134</v>
      </c>
      <c r="B34" s="3" t="s">
        <v>135</v>
      </c>
      <c r="C34" s="3" t="s">
        <v>136</v>
      </c>
      <c r="D34" s="3" t="s">
        <v>137</v>
      </c>
    </row>
    <row r="35" spans="1:4" ht="23.25" customHeight="1" x14ac:dyDescent="0.35">
      <c r="A35" s="3" t="s">
        <v>138</v>
      </c>
      <c r="B35" s="3" t="s">
        <v>139</v>
      </c>
      <c r="C35" s="3" t="s">
        <v>140</v>
      </c>
      <c r="D35" s="3" t="s">
        <v>141</v>
      </c>
    </row>
    <row r="36" spans="1:4" ht="15" customHeight="1" x14ac:dyDescent="0.35">
      <c r="A36" s="15" t="s">
        <v>142</v>
      </c>
      <c r="B36" s="15"/>
      <c r="C36" s="15"/>
      <c r="D36" s="15"/>
    </row>
  </sheetData>
  <mergeCells count="3">
    <mergeCell ref="A1:D1"/>
    <mergeCell ref="A29:D29"/>
    <mergeCell ref="A36:D36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4"/>
  <sheetViews>
    <sheetView topLeftCell="A13" zoomScaleNormal="100" workbookViewId="0">
      <selection sqref="A1:D1"/>
    </sheetView>
  </sheetViews>
  <sheetFormatPr defaultColWidth="8.6328125" defaultRowHeight="14.5" x14ac:dyDescent="0.35"/>
  <cols>
    <col min="1" max="1" width="45" customWidth="1"/>
    <col min="2" max="2" width="14" customWidth="1"/>
    <col min="3" max="3" width="42" customWidth="1"/>
    <col min="4" max="4" width="60" customWidth="1"/>
  </cols>
  <sheetData>
    <row r="1" spans="1:4" ht="24" customHeight="1" x14ac:dyDescent="0.45">
      <c r="A1" s="11" t="s">
        <v>143</v>
      </c>
      <c r="B1" s="11"/>
      <c r="C1" s="11"/>
      <c r="D1" s="11"/>
    </row>
    <row r="3" spans="1:4" ht="37.5" customHeight="1" x14ac:dyDescent="0.35">
      <c r="A3" s="2" t="s">
        <v>144</v>
      </c>
      <c r="B3" s="2" t="s">
        <v>145</v>
      </c>
      <c r="C3" s="2" t="s">
        <v>146</v>
      </c>
      <c r="D3" s="2" t="s">
        <v>147</v>
      </c>
    </row>
    <row r="4" spans="1:4" ht="15" customHeight="1" x14ac:dyDescent="0.35">
      <c r="A4" s="4" t="s">
        <v>148</v>
      </c>
      <c r="B4" s="5"/>
      <c r="C4" s="4"/>
      <c r="D4" s="4"/>
    </row>
    <row r="5" spans="1:4" ht="15" customHeight="1" x14ac:dyDescent="0.35">
      <c r="A5" s="3" t="s">
        <v>149</v>
      </c>
      <c r="B5" s="6">
        <v>742</v>
      </c>
      <c r="C5" s="3" t="s">
        <v>150</v>
      </c>
      <c r="D5" s="3" t="s">
        <v>151</v>
      </c>
    </row>
    <row r="6" spans="1:4" ht="15" customHeight="1" x14ac:dyDescent="0.35">
      <c r="A6" s="3" t="s">
        <v>152</v>
      </c>
      <c r="B6" s="6">
        <v>563</v>
      </c>
      <c r="C6" s="3" t="s">
        <v>150</v>
      </c>
      <c r="D6" s="3" t="s">
        <v>151</v>
      </c>
    </row>
    <row r="7" spans="1:4" ht="15" customHeight="1" x14ac:dyDescent="0.35">
      <c r="A7" s="3" t="s">
        <v>153</v>
      </c>
      <c r="B7" s="6">
        <v>318</v>
      </c>
      <c r="C7" s="3" t="s">
        <v>154</v>
      </c>
      <c r="D7" s="3" t="s">
        <v>151</v>
      </c>
    </row>
    <row r="8" spans="1:4" ht="15" customHeight="1" x14ac:dyDescent="0.35">
      <c r="A8" s="3" t="s">
        <v>155</v>
      </c>
      <c r="B8" s="6">
        <v>167</v>
      </c>
      <c r="C8" s="3" t="s">
        <v>154</v>
      </c>
      <c r="D8" s="3" t="s">
        <v>151</v>
      </c>
    </row>
    <row r="9" spans="1:4" ht="15" customHeight="1" x14ac:dyDescent="0.35">
      <c r="A9" s="3" t="s">
        <v>156</v>
      </c>
      <c r="B9" s="6">
        <v>57</v>
      </c>
      <c r="C9" s="3" t="s">
        <v>157</v>
      </c>
      <c r="D9" s="3" t="s">
        <v>151</v>
      </c>
    </row>
    <row r="10" spans="1:4" ht="15" customHeight="1" x14ac:dyDescent="0.35">
      <c r="A10" s="3" t="s">
        <v>8</v>
      </c>
      <c r="B10" s="6">
        <f>SUM(B5:B9)</f>
        <v>1847</v>
      </c>
      <c r="C10" s="3"/>
      <c r="D10" s="3" t="s">
        <v>151</v>
      </c>
    </row>
    <row r="11" spans="1:4" ht="15" customHeight="1" x14ac:dyDescent="0.35">
      <c r="A11" s="3"/>
      <c r="B11" s="6"/>
      <c r="C11" s="3"/>
      <c r="D11" s="3"/>
    </row>
    <row r="12" spans="1:4" ht="15" customHeight="1" x14ac:dyDescent="0.35">
      <c r="A12" s="4" t="s">
        <v>158</v>
      </c>
      <c r="B12" s="5"/>
      <c r="C12" s="4"/>
      <c r="D12" s="4"/>
    </row>
    <row r="13" spans="1:4" ht="15" customHeight="1" x14ac:dyDescent="0.35">
      <c r="A13" s="3" t="s">
        <v>10</v>
      </c>
      <c r="B13" s="6">
        <v>412</v>
      </c>
      <c r="C13" s="3" t="s">
        <v>159</v>
      </c>
      <c r="D13" s="3" t="s">
        <v>151</v>
      </c>
    </row>
    <row r="14" spans="1:4" ht="15" customHeight="1" x14ac:dyDescent="0.35">
      <c r="A14" s="3" t="s">
        <v>160</v>
      </c>
      <c r="B14" s="6">
        <f>B10-B13</f>
        <v>1435</v>
      </c>
      <c r="C14" s="3"/>
      <c r="D14" s="3" t="s">
        <v>151</v>
      </c>
    </row>
    <row r="15" spans="1:4" ht="15" customHeight="1" x14ac:dyDescent="0.35">
      <c r="A15" s="3" t="s">
        <v>12</v>
      </c>
      <c r="B15" s="6">
        <f>B14</f>
        <v>1435</v>
      </c>
      <c r="C15" s="3" t="s">
        <v>161</v>
      </c>
      <c r="D15" s="3" t="s">
        <v>151</v>
      </c>
    </row>
    <row r="16" spans="1:4" ht="23.25" customHeight="1" x14ac:dyDescent="0.35">
      <c r="A16" s="3" t="s">
        <v>162</v>
      </c>
      <c r="B16" s="6">
        <v>1123</v>
      </c>
      <c r="C16" s="3" t="s">
        <v>163</v>
      </c>
      <c r="D16" s="3" t="s">
        <v>164</v>
      </c>
    </row>
    <row r="17" spans="1:4" ht="15" customHeight="1" x14ac:dyDescent="0.35">
      <c r="A17" s="3"/>
      <c r="B17" s="6"/>
      <c r="C17" s="3"/>
      <c r="D17" s="3"/>
    </row>
    <row r="18" spans="1:4" ht="15" customHeight="1" x14ac:dyDescent="0.35">
      <c r="A18" s="4" t="s">
        <v>165</v>
      </c>
      <c r="B18" s="5"/>
      <c r="C18" s="4"/>
      <c r="D18" s="4"/>
    </row>
    <row r="19" spans="1:4" ht="15" customHeight="1" x14ac:dyDescent="0.35">
      <c r="A19" s="3" t="s">
        <v>14</v>
      </c>
      <c r="B19" s="6">
        <f>B15-B16</f>
        <v>312</v>
      </c>
      <c r="C19" s="3"/>
      <c r="D19" s="3" t="s">
        <v>151</v>
      </c>
    </row>
    <row r="20" spans="1:4" ht="34.5" customHeight="1" x14ac:dyDescent="0.35">
      <c r="A20" s="3" t="s">
        <v>166</v>
      </c>
      <c r="B20" s="6">
        <v>174</v>
      </c>
      <c r="C20" s="3" t="s">
        <v>167</v>
      </c>
      <c r="D20" s="3" t="s">
        <v>168</v>
      </c>
    </row>
    <row r="21" spans="1:4" ht="15" customHeight="1" x14ac:dyDescent="0.35">
      <c r="A21" s="3"/>
      <c r="B21" s="6"/>
      <c r="C21" s="3"/>
      <c r="D21" s="3"/>
    </row>
    <row r="22" spans="1:4" ht="15" customHeight="1" x14ac:dyDescent="0.35">
      <c r="A22" s="4" t="s">
        <v>169</v>
      </c>
      <c r="B22" s="5"/>
      <c r="C22" s="4"/>
      <c r="D22" s="4"/>
    </row>
    <row r="23" spans="1:4" ht="15" customHeight="1" x14ac:dyDescent="0.35">
      <c r="A23" s="3" t="s">
        <v>170</v>
      </c>
      <c r="B23" s="6">
        <f>B19-B20</f>
        <v>138</v>
      </c>
      <c r="C23" s="3" t="s">
        <v>171</v>
      </c>
      <c r="D23" s="3" t="s">
        <v>151</v>
      </c>
    </row>
    <row r="24" spans="1:4" ht="15" customHeight="1" x14ac:dyDescent="0.35">
      <c r="A24" s="3" t="s">
        <v>172</v>
      </c>
      <c r="B24" s="6">
        <v>138</v>
      </c>
      <c r="C24" s="3" t="s">
        <v>173</v>
      </c>
      <c r="D24" s="3" t="s">
        <v>151</v>
      </c>
    </row>
  </sheetData>
  <mergeCells count="1">
    <mergeCell ref="A1:D1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4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V1"/>
    </sheetView>
  </sheetViews>
  <sheetFormatPr defaultColWidth="8.6328125" defaultRowHeight="14.5" x14ac:dyDescent="0.35"/>
  <cols>
    <col min="1" max="1" width="7" customWidth="1"/>
    <col min="2" max="2" width="22" customWidth="1"/>
    <col min="3" max="3" width="20" customWidth="1"/>
    <col min="4" max="4" width="14" customWidth="1"/>
    <col min="5" max="5" width="22" customWidth="1"/>
    <col min="6" max="6" width="13" customWidth="1"/>
    <col min="7" max="7" width="11" customWidth="1"/>
    <col min="8" max="8" width="18" customWidth="1"/>
    <col min="9" max="9" width="28" customWidth="1"/>
    <col min="10" max="11" width="22" customWidth="1"/>
    <col min="12" max="12" width="50" customWidth="1"/>
    <col min="13" max="13" width="32" customWidth="1"/>
    <col min="14" max="15" width="26" customWidth="1"/>
    <col min="16" max="16" width="10" customWidth="1"/>
    <col min="17" max="17" width="18" customWidth="1"/>
    <col min="18" max="18" width="26" customWidth="1"/>
    <col min="19" max="19" width="11" customWidth="1"/>
    <col min="20" max="20" width="9" customWidth="1"/>
    <col min="21" max="21" width="11" customWidth="1"/>
    <col min="22" max="22" width="12" customWidth="1"/>
  </cols>
  <sheetData>
    <row r="1" spans="1:22" ht="37.5" customHeight="1" x14ac:dyDescent="0.35">
      <c r="A1" s="16" t="s">
        <v>174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3" spans="1:22" ht="37.5" customHeight="1" x14ac:dyDescent="0.35">
      <c r="A3" s="2" t="s">
        <v>175</v>
      </c>
      <c r="B3" s="2" t="s">
        <v>50</v>
      </c>
      <c r="C3" s="2" t="s">
        <v>176</v>
      </c>
      <c r="D3" s="2" t="s">
        <v>56</v>
      </c>
      <c r="E3" s="2" t="s">
        <v>60</v>
      </c>
      <c r="F3" s="2" t="s">
        <v>64</v>
      </c>
      <c r="G3" s="2" t="s">
        <v>177</v>
      </c>
      <c r="H3" s="2" t="s">
        <v>70</v>
      </c>
      <c r="I3" s="2" t="s">
        <v>73</v>
      </c>
      <c r="J3" s="2" t="s">
        <v>76</v>
      </c>
      <c r="K3" s="2" t="s">
        <v>79</v>
      </c>
      <c r="L3" s="2" t="s">
        <v>178</v>
      </c>
      <c r="M3" s="2" t="s">
        <v>85</v>
      </c>
      <c r="N3" s="2" t="s">
        <v>88</v>
      </c>
      <c r="O3" s="2" t="s">
        <v>91</v>
      </c>
      <c r="P3" s="2" t="s">
        <v>94</v>
      </c>
      <c r="Q3" s="2" t="s">
        <v>179</v>
      </c>
      <c r="R3" s="2" t="s">
        <v>180</v>
      </c>
      <c r="S3" s="2" t="s">
        <v>181</v>
      </c>
      <c r="T3" s="2" t="s">
        <v>182</v>
      </c>
      <c r="U3" s="2" t="s">
        <v>111</v>
      </c>
      <c r="V3" s="2" t="s">
        <v>183</v>
      </c>
    </row>
    <row r="4" spans="1:22" ht="34.5" customHeight="1" x14ac:dyDescent="0.35">
      <c r="A4" s="6" t="s">
        <v>184</v>
      </c>
      <c r="B4" s="3" t="s">
        <v>185</v>
      </c>
      <c r="C4" s="3" t="s">
        <v>186</v>
      </c>
      <c r="D4" s="6" t="s">
        <v>187</v>
      </c>
      <c r="E4" s="3" t="s">
        <v>188</v>
      </c>
      <c r="F4" s="3" t="s">
        <v>189</v>
      </c>
      <c r="G4" s="6" t="s">
        <v>190</v>
      </c>
      <c r="H4" s="3" t="s">
        <v>191</v>
      </c>
      <c r="I4" s="3" t="s">
        <v>192</v>
      </c>
      <c r="J4" s="3" t="s">
        <v>193</v>
      </c>
      <c r="K4" s="3" t="s">
        <v>194</v>
      </c>
      <c r="L4" s="3" t="s">
        <v>195</v>
      </c>
      <c r="M4" s="3" t="s">
        <v>196</v>
      </c>
      <c r="N4" s="3" t="s">
        <v>197</v>
      </c>
      <c r="O4" s="3" t="s">
        <v>198</v>
      </c>
      <c r="P4" s="6" t="s">
        <v>199</v>
      </c>
      <c r="Q4" s="3" t="s">
        <v>135</v>
      </c>
      <c r="R4" s="3" t="s">
        <v>200</v>
      </c>
      <c r="S4" s="6" t="s">
        <v>201</v>
      </c>
      <c r="T4" s="6">
        <v>5</v>
      </c>
      <c r="U4" s="6" t="s">
        <v>202</v>
      </c>
      <c r="V4" s="6" t="s">
        <v>149</v>
      </c>
    </row>
    <row r="5" spans="1:22" ht="34.5" customHeight="1" x14ac:dyDescent="0.35">
      <c r="A5" s="6" t="s">
        <v>203</v>
      </c>
      <c r="B5" s="3" t="s">
        <v>204</v>
      </c>
      <c r="C5" s="3" t="s">
        <v>205</v>
      </c>
      <c r="D5" s="6" t="s">
        <v>206</v>
      </c>
      <c r="E5" s="3" t="s">
        <v>207</v>
      </c>
      <c r="F5" s="3" t="s">
        <v>208</v>
      </c>
      <c r="G5" s="6" t="s">
        <v>209</v>
      </c>
      <c r="H5" s="3" t="s">
        <v>210</v>
      </c>
      <c r="I5" s="3" t="s">
        <v>211</v>
      </c>
      <c r="J5" s="3" t="s">
        <v>212</v>
      </c>
      <c r="K5" s="3" t="s">
        <v>213</v>
      </c>
      <c r="L5" s="3" t="s">
        <v>214</v>
      </c>
      <c r="M5" s="3" t="s">
        <v>215</v>
      </c>
      <c r="N5" s="3" t="s">
        <v>216</v>
      </c>
      <c r="O5" s="3" t="s">
        <v>217</v>
      </c>
      <c r="P5" s="6" t="s">
        <v>199</v>
      </c>
      <c r="Q5" s="3" t="s">
        <v>135</v>
      </c>
      <c r="R5" s="3" t="s">
        <v>218</v>
      </c>
      <c r="S5" s="6" t="s">
        <v>201</v>
      </c>
      <c r="T5" s="6">
        <v>5</v>
      </c>
      <c r="U5" s="6" t="s">
        <v>202</v>
      </c>
      <c r="V5" s="6" t="s">
        <v>149</v>
      </c>
    </row>
    <row r="6" spans="1:22" ht="23.25" customHeight="1" x14ac:dyDescent="0.35">
      <c r="A6" s="6" t="s">
        <v>219</v>
      </c>
      <c r="B6" s="3" t="s">
        <v>220</v>
      </c>
      <c r="C6" s="3" t="s">
        <v>221</v>
      </c>
      <c r="D6" s="6" t="s">
        <v>206</v>
      </c>
      <c r="E6" s="3" t="s">
        <v>222</v>
      </c>
      <c r="F6" s="3" t="s">
        <v>189</v>
      </c>
      <c r="G6" s="6" t="s">
        <v>190</v>
      </c>
      <c r="H6" s="3" t="s">
        <v>223</v>
      </c>
      <c r="I6" s="3" t="s">
        <v>224</v>
      </c>
      <c r="J6" s="3" t="s">
        <v>225</v>
      </c>
      <c r="K6" s="3" t="s">
        <v>226</v>
      </c>
      <c r="L6" s="3" t="s">
        <v>227</v>
      </c>
      <c r="M6" s="3" t="s">
        <v>228</v>
      </c>
      <c r="N6" s="3" t="s">
        <v>229</v>
      </c>
      <c r="O6" s="3" t="s">
        <v>230</v>
      </c>
      <c r="P6" s="6" t="s">
        <v>199</v>
      </c>
      <c r="Q6" s="3" t="s">
        <v>135</v>
      </c>
      <c r="R6" s="3" t="s">
        <v>231</v>
      </c>
      <c r="S6" s="6" t="s">
        <v>201</v>
      </c>
      <c r="T6" s="6">
        <v>4</v>
      </c>
      <c r="U6" s="6" t="s">
        <v>202</v>
      </c>
      <c r="V6" s="6" t="s">
        <v>149</v>
      </c>
    </row>
    <row r="7" spans="1:22" ht="34.5" customHeight="1" x14ac:dyDescent="0.35">
      <c r="A7" s="6" t="s">
        <v>232</v>
      </c>
      <c r="B7" s="3" t="s">
        <v>233</v>
      </c>
      <c r="C7" s="3" t="s">
        <v>234</v>
      </c>
      <c r="D7" s="6" t="s">
        <v>235</v>
      </c>
      <c r="E7" s="3" t="s">
        <v>236</v>
      </c>
      <c r="F7" s="3" t="s">
        <v>208</v>
      </c>
      <c r="G7" s="6" t="s">
        <v>209</v>
      </c>
      <c r="H7" s="3" t="s">
        <v>237</v>
      </c>
      <c r="I7" s="3" t="s">
        <v>238</v>
      </c>
      <c r="J7" s="3" t="s">
        <v>239</v>
      </c>
      <c r="K7" s="3" t="s">
        <v>240</v>
      </c>
      <c r="L7" s="3" t="s">
        <v>241</v>
      </c>
      <c r="M7" s="3" t="s">
        <v>242</v>
      </c>
      <c r="N7" s="3" t="s">
        <v>243</v>
      </c>
      <c r="O7" s="3" t="s">
        <v>244</v>
      </c>
      <c r="P7" s="6" t="s">
        <v>199</v>
      </c>
      <c r="Q7" s="3" t="s">
        <v>135</v>
      </c>
      <c r="R7" s="3" t="s">
        <v>245</v>
      </c>
      <c r="S7" s="6" t="s">
        <v>201</v>
      </c>
      <c r="T7" s="6">
        <v>4</v>
      </c>
      <c r="U7" s="6" t="s">
        <v>202</v>
      </c>
      <c r="V7" s="6" t="s">
        <v>149</v>
      </c>
    </row>
    <row r="8" spans="1:22" ht="23.25" customHeight="1" x14ac:dyDescent="0.35">
      <c r="A8" s="6" t="s">
        <v>246</v>
      </c>
      <c r="B8" s="3" t="s">
        <v>247</v>
      </c>
      <c r="C8" s="3" t="s">
        <v>248</v>
      </c>
      <c r="D8" s="6" t="s">
        <v>206</v>
      </c>
      <c r="E8" s="3" t="s">
        <v>249</v>
      </c>
      <c r="F8" s="3" t="s">
        <v>189</v>
      </c>
      <c r="G8" s="6" t="s">
        <v>190</v>
      </c>
      <c r="H8" s="3" t="s">
        <v>210</v>
      </c>
      <c r="I8" s="3" t="s">
        <v>250</v>
      </c>
      <c r="J8" s="3" t="s">
        <v>251</v>
      </c>
      <c r="K8" s="3" t="s">
        <v>252</v>
      </c>
      <c r="L8" s="3" t="s">
        <v>253</v>
      </c>
      <c r="M8" s="3" t="s">
        <v>254</v>
      </c>
      <c r="N8" s="3" t="s">
        <v>255</v>
      </c>
      <c r="O8" s="3" t="s">
        <v>256</v>
      </c>
      <c r="P8" s="6" t="s">
        <v>199</v>
      </c>
      <c r="Q8" s="3" t="s">
        <v>135</v>
      </c>
      <c r="R8" s="3" t="s">
        <v>257</v>
      </c>
      <c r="S8" s="6" t="s">
        <v>201</v>
      </c>
      <c r="T8" s="6">
        <v>5</v>
      </c>
      <c r="U8" s="6" t="s">
        <v>202</v>
      </c>
      <c r="V8" s="6" t="s">
        <v>149</v>
      </c>
    </row>
    <row r="9" spans="1:22" ht="23.25" customHeight="1" x14ac:dyDescent="0.35">
      <c r="A9" s="6" t="s">
        <v>258</v>
      </c>
      <c r="B9" s="3" t="s">
        <v>259</v>
      </c>
      <c r="C9" s="3" t="s">
        <v>260</v>
      </c>
      <c r="D9" s="6" t="s">
        <v>261</v>
      </c>
      <c r="E9" s="3" t="s">
        <v>207</v>
      </c>
      <c r="F9" s="3" t="s">
        <v>208</v>
      </c>
      <c r="G9" s="6" t="s">
        <v>209</v>
      </c>
      <c r="H9" s="3" t="s">
        <v>237</v>
      </c>
      <c r="I9" s="3" t="s">
        <v>262</v>
      </c>
      <c r="J9" s="3" t="s">
        <v>263</v>
      </c>
      <c r="K9" s="3" t="s">
        <v>264</v>
      </c>
      <c r="L9" s="3" t="s">
        <v>265</v>
      </c>
      <c r="M9" s="3" t="s">
        <v>266</v>
      </c>
      <c r="N9" s="3" t="s">
        <v>267</v>
      </c>
      <c r="O9" s="3" t="s">
        <v>268</v>
      </c>
      <c r="P9" s="6" t="s">
        <v>199</v>
      </c>
      <c r="Q9" s="3" t="s">
        <v>135</v>
      </c>
      <c r="R9" s="3" t="s">
        <v>269</v>
      </c>
      <c r="S9" s="6" t="s">
        <v>201</v>
      </c>
      <c r="T9" s="6">
        <v>4</v>
      </c>
      <c r="U9" s="6" t="s">
        <v>202</v>
      </c>
      <c r="V9" s="6" t="s">
        <v>149</v>
      </c>
    </row>
    <row r="10" spans="1:22" ht="23.25" customHeight="1" x14ac:dyDescent="0.35">
      <c r="A10" s="6" t="s">
        <v>270</v>
      </c>
      <c r="B10" s="3" t="s">
        <v>271</v>
      </c>
      <c r="C10" s="3" t="s">
        <v>272</v>
      </c>
      <c r="D10" s="6" t="s">
        <v>273</v>
      </c>
      <c r="E10" s="3" t="s">
        <v>274</v>
      </c>
      <c r="F10" s="3" t="s">
        <v>208</v>
      </c>
      <c r="G10" s="6" t="s">
        <v>209</v>
      </c>
      <c r="H10" s="3" t="s">
        <v>275</v>
      </c>
      <c r="I10" s="3" t="s">
        <v>276</v>
      </c>
      <c r="J10" s="3" t="s">
        <v>277</v>
      </c>
      <c r="K10" s="3" t="s">
        <v>278</v>
      </c>
      <c r="L10" s="3" t="s">
        <v>279</v>
      </c>
      <c r="M10" s="3" t="s">
        <v>280</v>
      </c>
      <c r="N10" s="3" t="s">
        <v>281</v>
      </c>
      <c r="O10" s="3" t="s">
        <v>282</v>
      </c>
      <c r="P10" s="6" t="s">
        <v>199</v>
      </c>
      <c r="Q10" s="3" t="s">
        <v>135</v>
      </c>
      <c r="R10" s="3" t="s">
        <v>283</v>
      </c>
      <c r="S10" s="6" t="s">
        <v>201</v>
      </c>
      <c r="T10" s="6">
        <v>5</v>
      </c>
      <c r="U10" s="6" t="s">
        <v>202</v>
      </c>
      <c r="V10" s="6" t="s">
        <v>149</v>
      </c>
    </row>
    <row r="11" spans="1:22" ht="23.25" customHeight="1" x14ac:dyDescent="0.35">
      <c r="A11" s="6" t="s">
        <v>284</v>
      </c>
      <c r="B11" s="3" t="s">
        <v>285</v>
      </c>
      <c r="C11" s="3" t="s">
        <v>286</v>
      </c>
      <c r="D11" s="6" t="s">
        <v>287</v>
      </c>
      <c r="E11" s="3" t="s">
        <v>288</v>
      </c>
      <c r="F11" s="3" t="s">
        <v>208</v>
      </c>
      <c r="G11" s="6" t="s">
        <v>209</v>
      </c>
      <c r="H11" s="3" t="s">
        <v>237</v>
      </c>
      <c r="I11" s="3" t="s">
        <v>289</v>
      </c>
      <c r="J11" s="3" t="s">
        <v>290</v>
      </c>
      <c r="K11" s="3" t="s">
        <v>291</v>
      </c>
      <c r="L11" s="3" t="s">
        <v>292</v>
      </c>
      <c r="M11" s="3" t="s">
        <v>293</v>
      </c>
      <c r="N11" s="3" t="s">
        <v>294</v>
      </c>
      <c r="O11" s="3" t="s">
        <v>295</v>
      </c>
      <c r="P11" s="6" t="s">
        <v>199</v>
      </c>
      <c r="Q11" s="3" t="s">
        <v>135</v>
      </c>
      <c r="R11" s="3" t="s">
        <v>296</v>
      </c>
      <c r="S11" s="6" t="s">
        <v>201</v>
      </c>
      <c r="T11" s="6">
        <v>5</v>
      </c>
      <c r="U11" s="6" t="s">
        <v>202</v>
      </c>
      <c r="V11" s="6" t="s">
        <v>149</v>
      </c>
    </row>
    <row r="12" spans="1:22" ht="23.25" customHeight="1" x14ac:dyDescent="0.35">
      <c r="A12" s="6" t="s">
        <v>297</v>
      </c>
      <c r="B12" s="3" t="s">
        <v>298</v>
      </c>
      <c r="C12" s="3" t="s">
        <v>206</v>
      </c>
      <c r="D12" s="6" t="s">
        <v>206</v>
      </c>
      <c r="E12" s="3" t="s">
        <v>299</v>
      </c>
      <c r="F12" s="3" t="s">
        <v>189</v>
      </c>
      <c r="G12" s="6" t="s">
        <v>190</v>
      </c>
      <c r="H12" s="3" t="s">
        <v>300</v>
      </c>
      <c r="I12" s="3" t="s">
        <v>301</v>
      </c>
      <c r="J12" s="3" t="s">
        <v>302</v>
      </c>
      <c r="K12" s="3" t="s">
        <v>303</v>
      </c>
      <c r="L12" s="3" t="s">
        <v>304</v>
      </c>
      <c r="M12" s="3" t="s">
        <v>305</v>
      </c>
      <c r="N12" s="3" t="s">
        <v>306</v>
      </c>
      <c r="O12" s="3" t="s">
        <v>307</v>
      </c>
      <c r="P12" s="6" t="s">
        <v>199</v>
      </c>
      <c r="Q12" s="3" t="s">
        <v>135</v>
      </c>
      <c r="R12" s="3" t="s">
        <v>308</v>
      </c>
      <c r="S12" s="6" t="s">
        <v>201</v>
      </c>
      <c r="T12" s="6">
        <v>4</v>
      </c>
      <c r="U12" s="6" t="s">
        <v>202</v>
      </c>
      <c r="V12" s="6" t="s">
        <v>149</v>
      </c>
    </row>
    <row r="13" spans="1:22" ht="34.5" customHeight="1" x14ac:dyDescent="0.35">
      <c r="A13" s="6" t="s">
        <v>309</v>
      </c>
      <c r="B13" s="3" t="s">
        <v>310</v>
      </c>
      <c r="C13" s="3" t="s">
        <v>311</v>
      </c>
      <c r="D13" s="6" t="s">
        <v>287</v>
      </c>
      <c r="E13" s="3" t="s">
        <v>312</v>
      </c>
      <c r="F13" s="3" t="s">
        <v>189</v>
      </c>
      <c r="G13" s="6" t="s">
        <v>190</v>
      </c>
      <c r="H13" s="3" t="s">
        <v>237</v>
      </c>
      <c r="I13" s="3" t="s">
        <v>313</v>
      </c>
      <c r="J13" s="3" t="s">
        <v>314</v>
      </c>
      <c r="K13" s="3" t="s">
        <v>315</v>
      </c>
      <c r="L13" s="3" t="s">
        <v>316</v>
      </c>
      <c r="M13" s="3" t="s">
        <v>317</v>
      </c>
      <c r="N13" s="3" t="s">
        <v>318</v>
      </c>
      <c r="O13" s="3" t="s">
        <v>319</v>
      </c>
      <c r="P13" s="6" t="s">
        <v>199</v>
      </c>
      <c r="Q13" s="3" t="s">
        <v>320</v>
      </c>
      <c r="R13" s="3" t="s">
        <v>321</v>
      </c>
      <c r="S13" s="6" t="s">
        <v>201</v>
      </c>
      <c r="T13" s="6">
        <v>4</v>
      </c>
      <c r="U13" s="6" t="s">
        <v>202</v>
      </c>
      <c r="V13" s="6" t="s">
        <v>153</v>
      </c>
    </row>
    <row r="14" spans="1:22" ht="23.25" customHeight="1" x14ac:dyDescent="0.35">
      <c r="A14" s="6" t="s">
        <v>322</v>
      </c>
      <c r="B14" s="3" t="s">
        <v>323</v>
      </c>
      <c r="C14" s="3" t="s">
        <v>324</v>
      </c>
      <c r="D14" s="6" t="s">
        <v>287</v>
      </c>
      <c r="E14" s="3" t="s">
        <v>325</v>
      </c>
      <c r="F14" s="3" t="s">
        <v>189</v>
      </c>
      <c r="G14" s="6" t="s">
        <v>190</v>
      </c>
      <c r="H14" s="3" t="s">
        <v>326</v>
      </c>
      <c r="I14" s="3" t="s">
        <v>327</v>
      </c>
      <c r="J14" s="3" t="s">
        <v>328</v>
      </c>
      <c r="K14" s="3" t="s">
        <v>329</v>
      </c>
      <c r="L14" s="3" t="s">
        <v>330</v>
      </c>
      <c r="M14" s="3" t="s">
        <v>331</v>
      </c>
      <c r="N14" s="3" t="s">
        <v>332</v>
      </c>
      <c r="O14" s="3" t="s">
        <v>333</v>
      </c>
      <c r="P14" s="6" t="s">
        <v>199</v>
      </c>
      <c r="Q14" s="3" t="s">
        <v>135</v>
      </c>
      <c r="R14" s="3" t="s">
        <v>334</v>
      </c>
      <c r="S14" s="6" t="s">
        <v>335</v>
      </c>
      <c r="T14" s="6">
        <v>4</v>
      </c>
      <c r="U14" s="6" t="s">
        <v>202</v>
      </c>
      <c r="V14" s="6" t="s">
        <v>149</v>
      </c>
    </row>
    <row r="15" spans="1:22" ht="23.25" customHeight="1" x14ac:dyDescent="0.35">
      <c r="A15" s="6" t="s">
        <v>336</v>
      </c>
      <c r="B15" s="3" t="s">
        <v>337</v>
      </c>
      <c r="C15" s="3" t="s">
        <v>338</v>
      </c>
      <c r="D15" s="6" t="s">
        <v>235</v>
      </c>
      <c r="E15" s="3" t="s">
        <v>339</v>
      </c>
      <c r="F15" s="3" t="s">
        <v>189</v>
      </c>
      <c r="G15" s="6" t="s">
        <v>190</v>
      </c>
      <c r="H15" s="3" t="s">
        <v>340</v>
      </c>
      <c r="I15" s="3" t="s">
        <v>341</v>
      </c>
      <c r="J15" s="3" t="s">
        <v>342</v>
      </c>
      <c r="K15" s="3" t="s">
        <v>343</v>
      </c>
      <c r="L15" s="3" t="s">
        <v>344</v>
      </c>
      <c r="M15" s="3" t="s">
        <v>345</v>
      </c>
      <c r="N15" s="3" t="s">
        <v>346</v>
      </c>
      <c r="O15" s="3" t="s">
        <v>347</v>
      </c>
      <c r="P15" s="6" t="s">
        <v>199</v>
      </c>
      <c r="Q15" s="3" t="s">
        <v>135</v>
      </c>
      <c r="R15" s="3" t="s">
        <v>348</v>
      </c>
      <c r="S15" s="6" t="s">
        <v>335</v>
      </c>
      <c r="T15" s="6">
        <v>4</v>
      </c>
      <c r="U15" s="6" t="s">
        <v>202</v>
      </c>
      <c r="V15" s="6" t="s">
        <v>149</v>
      </c>
    </row>
    <row r="16" spans="1:22" ht="23.25" customHeight="1" x14ac:dyDescent="0.35">
      <c r="A16" s="6" t="s">
        <v>349</v>
      </c>
      <c r="B16" s="3" t="s">
        <v>350</v>
      </c>
      <c r="C16" s="3" t="s">
        <v>206</v>
      </c>
      <c r="D16" s="6" t="s">
        <v>206</v>
      </c>
      <c r="E16" s="3" t="s">
        <v>351</v>
      </c>
      <c r="F16" s="3" t="s">
        <v>189</v>
      </c>
      <c r="G16" s="6" t="s">
        <v>190</v>
      </c>
      <c r="H16" s="3" t="s">
        <v>352</v>
      </c>
      <c r="I16" s="3" t="s">
        <v>353</v>
      </c>
      <c r="J16" s="3" t="s">
        <v>354</v>
      </c>
      <c r="K16" s="3" t="s">
        <v>355</v>
      </c>
      <c r="L16" s="3" t="s">
        <v>356</v>
      </c>
      <c r="M16" s="3" t="s">
        <v>357</v>
      </c>
      <c r="N16" s="3" t="s">
        <v>358</v>
      </c>
      <c r="O16" s="3" t="s">
        <v>359</v>
      </c>
      <c r="P16" s="6" t="s">
        <v>360</v>
      </c>
      <c r="Q16" s="3" t="s">
        <v>135</v>
      </c>
      <c r="R16" s="3" t="s">
        <v>361</v>
      </c>
      <c r="S16" s="6" t="s">
        <v>335</v>
      </c>
      <c r="T16" s="6">
        <v>3</v>
      </c>
      <c r="U16" s="6" t="s">
        <v>202</v>
      </c>
      <c r="V16" s="6" t="s">
        <v>149</v>
      </c>
    </row>
    <row r="17" spans="1:22" ht="34.5" customHeight="1" x14ac:dyDescent="0.35">
      <c r="A17" s="6" t="s">
        <v>362</v>
      </c>
      <c r="B17" s="3" t="s">
        <v>363</v>
      </c>
      <c r="C17" s="3" t="s">
        <v>364</v>
      </c>
      <c r="D17" s="6" t="s">
        <v>206</v>
      </c>
      <c r="E17" s="3" t="s">
        <v>351</v>
      </c>
      <c r="F17" s="3" t="s">
        <v>365</v>
      </c>
      <c r="G17" s="6" t="s">
        <v>190</v>
      </c>
      <c r="H17" s="3" t="s">
        <v>352</v>
      </c>
      <c r="I17" s="3" t="s">
        <v>366</v>
      </c>
      <c r="J17" s="3" t="s">
        <v>367</v>
      </c>
      <c r="K17" s="3" t="s">
        <v>368</v>
      </c>
      <c r="L17" s="3" t="s">
        <v>369</v>
      </c>
      <c r="M17" s="3" t="s">
        <v>370</v>
      </c>
      <c r="N17" s="3" t="s">
        <v>371</v>
      </c>
      <c r="O17" s="3" t="s">
        <v>372</v>
      </c>
      <c r="P17" s="6" t="s">
        <v>199</v>
      </c>
      <c r="Q17" s="3" t="s">
        <v>135</v>
      </c>
      <c r="R17" s="3" t="s">
        <v>373</v>
      </c>
      <c r="S17" s="6" t="s">
        <v>201</v>
      </c>
      <c r="T17" s="6">
        <v>5</v>
      </c>
      <c r="U17" s="6" t="s">
        <v>202</v>
      </c>
      <c r="V17" s="6" t="s">
        <v>149</v>
      </c>
    </row>
    <row r="18" spans="1:22" ht="23.25" customHeight="1" x14ac:dyDescent="0.35">
      <c r="A18" s="6" t="s">
        <v>374</v>
      </c>
      <c r="B18" s="3" t="s">
        <v>375</v>
      </c>
      <c r="C18" s="3" t="s">
        <v>376</v>
      </c>
      <c r="D18" s="6" t="s">
        <v>273</v>
      </c>
      <c r="E18" s="3" t="s">
        <v>377</v>
      </c>
      <c r="F18" s="3" t="s">
        <v>365</v>
      </c>
      <c r="G18" s="6" t="s">
        <v>190</v>
      </c>
      <c r="H18" s="3" t="s">
        <v>378</v>
      </c>
      <c r="I18" s="3" t="s">
        <v>379</v>
      </c>
      <c r="J18" s="3" t="s">
        <v>380</v>
      </c>
      <c r="K18" s="3" t="s">
        <v>381</v>
      </c>
      <c r="L18" s="3" t="s">
        <v>382</v>
      </c>
      <c r="M18" s="3" t="s">
        <v>383</v>
      </c>
      <c r="N18" s="3" t="s">
        <v>384</v>
      </c>
      <c r="O18" s="3" t="s">
        <v>385</v>
      </c>
      <c r="P18" s="6" t="s">
        <v>360</v>
      </c>
      <c r="Q18" s="3" t="s">
        <v>135</v>
      </c>
      <c r="R18" s="3" t="s">
        <v>386</v>
      </c>
      <c r="S18" s="6" t="s">
        <v>201</v>
      </c>
      <c r="T18" s="6">
        <v>5</v>
      </c>
      <c r="U18" s="6" t="s">
        <v>202</v>
      </c>
      <c r="V18" s="6" t="s">
        <v>149</v>
      </c>
    </row>
    <row r="19" spans="1:22" ht="23.25" customHeight="1" x14ac:dyDescent="0.35">
      <c r="A19" s="6" t="s">
        <v>387</v>
      </c>
      <c r="B19" s="3" t="s">
        <v>388</v>
      </c>
      <c r="C19" s="3" t="s">
        <v>389</v>
      </c>
      <c r="D19" s="6" t="s">
        <v>235</v>
      </c>
      <c r="E19" s="3" t="s">
        <v>390</v>
      </c>
      <c r="F19" s="3" t="s">
        <v>391</v>
      </c>
      <c r="G19" s="6" t="s">
        <v>209</v>
      </c>
      <c r="H19" s="3" t="s">
        <v>237</v>
      </c>
      <c r="I19" s="3" t="s">
        <v>392</v>
      </c>
      <c r="J19" s="3" t="s">
        <v>393</v>
      </c>
      <c r="K19" s="3" t="s">
        <v>394</v>
      </c>
      <c r="L19" s="3" t="s">
        <v>395</v>
      </c>
      <c r="M19" s="3" t="s">
        <v>396</v>
      </c>
      <c r="N19" s="3" t="s">
        <v>294</v>
      </c>
      <c r="O19" s="3" t="s">
        <v>397</v>
      </c>
      <c r="P19" s="6" t="s">
        <v>199</v>
      </c>
      <c r="Q19" s="3" t="s">
        <v>135</v>
      </c>
      <c r="R19" s="3" t="s">
        <v>398</v>
      </c>
      <c r="S19" s="6" t="s">
        <v>201</v>
      </c>
      <c r="T19" s="6">
        <v>4</v>
      </c>
      <c r="U19" s="6" t="s">
        <v>202</v>
      </c>
      <c r="V19" s="6" t="s">
        <v>149</v>
      </c>
    </row>
    <row r="20" spans="1:22" ht="23.25" customHeight="1" x14ac:dyDescent="0.35">
      <c r="A20" s="6" t="s">
        <v>399</v>
      </c>
      <c r="B20" s="3" t="s">
        <v>400</v>
      </c>
      <c r="C20" s="3" t="s">
        <v>401</v>
      </c>
      <c r="D20" s="6" t="s">
        <v>273</v>
      </c>
      <c r="E20" s="3" t="s">
        <v>402</v>
      </c>
      <c r="F20" s="3" t="s">
        <v>391</v>
      </c>
      <c r="G20" s="6" t="s">
        <v>209</v>
      </c>
      <c r="H20" s="3" t="s">
        <v>237</v>
      </c>
      <c r="I20" s="3" t="s">
        <v>403</v>
      </c>
      <c r="J20" s="3" t="s">
        <v>404</v>
      </c>
      <c r="K20" s="3" t="s">
        <v>405</v>
      </c>
      <c r="L20" s="3" t="s">
        <v>406</v>
      </c>
      <c r="M20" s="3" t="s">
        <v>407</v>
      </c>
      <c r="N20" s="3" t="s">
        <v>408</v>
      </c>
      <c r="O20" s="3" t="s">
        <v>409</v>
      </c>
      <c r="P20" s="6" t="s">
        <v>199</v>
      </c>
      <c r="Q20" s="3" t="s">
        <v>135</v>
      </c>
      <c r="R20" s="3" t="s">
        <v>410</v>
      </c>
      <c r="S20" s="6" t="s">
        <v>201</v>
      </c>
      <c r="T20" s="6">
        <v>5</v>
      </c>
      <c r="U20" s="6" t="s">
        <v>202</v>
      </c>
      <c r="V20" s="6" t="s">
        <v>149</v>
      </c>
    </row>
    <row r="21" spans="1:22" ht="23.25" customHeight="1" x14ac:dyDescent="0.35">
      <c r="A21" s="6" t="s">
        <v>411</v>
      </c>
      <c r="B21" s="3" t="s">
        <v>412</v>
      </c>
      <c r="C21" s="3" t="s">
        <v>206</v>
      </c>
      <c r="D21" s="6" t="s">
        <v>206</v>
      </c>
      <c r="E21" s="3" t="s">
        <v>413</v>
      </c>
      <c r="F21" s="3" t="s">
        <v>365</v>
      </c>
      <c r="G21" s="6" t="s">
        <v>190</v>
      </c>
      <c r="H21" s="3" t="s">
        <v>414</v>
      </c>
      <c r="I21" s="3" t="s">
        <v>415</v>
      </c>
      <c r="J21" s="3" t="s">
        <v>416</v>
      </c>
      <c r="K21" s="3" t="s">
        <v>417</v>
      </c>
      <c r="L21" s="3" t="s">
        <v>418</v>
      </c>
      <c r="M21" s="3" t="s">
        <v>419</v>
      </c>
      <c r="N21" s="3" t="s">
        <v>420</v>
      </c>
      <c r="O21" s="3" t="s">
        <v>421</v>
      </c>
      <c r="P21" s="6" t="s">
        <v>360</v>
      </c>
      <c r="Q21" s="3" t="s">
        <v>320</v>
      </c>
      <c r="R21" s="3" t="s">
        <v>422</v>
      </c>
      <c r="S21" s="6" t="s">
        <v>335</v>
      </c>
      <c r="T21" s="6">
        <v>3</v>
      </c>
      <c r="U21" s="6" t="s">
        <v>202</v>
      </c>
      <c r="V21" s="6" t="s">
        <v>149</v>
      </c>
    </row>
    <row r="22" spans="1:22" ht="23.25" customHeight="1" x14ac:dyDescent="0.35">
      <c r="A22" s="6" t="s">
        <v>423</v>
      </c>
      <c r="B22" s="3" t="s">
        <v>424</v>
      </c>
      <c r="C22" s="3" t="s">
        <v>389</v>
      </c>
      <c r="D22" s="6" t="s">
        <v>235</v>
      </c>
      <c r="E22" s="3" t="s">
        <v>377</v>
      </c>
      <c r="F22" s="3" t="s">
        <v>365</v>
      </c>
      <c r="G22" s="6" t="s">
        <v>190</v>
      </c>
      <c r="H22" s="3" t="s">
        <v>237</v>
      </c>
      <c r="I22" s="3" t="s">
        <v>425</v>
      </c>
      <c r="J22" s="3" t="s">
        <v>426</v>
      </c>
      <c r="K22" s="3" t="s">
        <v>427</v>
      </c>
      <c r="L22" s="3" t="s">
        <v>428</v>
      </c>
      <c r="M22" s="3" t="s">
        <v>429</v>
      </c>
      <c r="N22" s="3" t="s">
        <v>243</v>
      </c>
      <c r="O22" s="3" t="s">
        <v>430</v>
      </c>
      <c r="P22" s="6" t="s">
        <v>199</v>
      </c>
      <c r="Q22" s="3" t="s">
        <v>135</v>
      </c>
      <c r="R22" s="3" t="s">
        <v>431</v>
      </c>
      <c r="S22" s="6" t="s">
        <v>201</v>
      </c>
      <c r="T22" s="6">
        <v>4</v>
      </c>
      <c r="U22" s="6" t="s">
        <v>202</v>
      </c>
      <c r="V22" s="6" t="s">
        <v>149</v>
      </c>
    </row>
    <row r="23" spans="1:22" ht="23.25" customHeight="1" x14ac:dyDescent="0.35">
      <c r="A23" s="6" t="s">
        <v>432</v>
      </c>
      <c r="B23" s="3" t="s">
        <v>433</v>
      </c>
      <c r="C23" s="3" t="s">
        <v>434</v>
      </c>
      <c r="D23" s="6" t="s">
        <v>235</v>
      </c>
      <c r="E23" s="3" t="s">
        <v>236</v>
      </c>
      <c r="F23" s="3" t="s">
        <v>208</v>
      </c>
      <c r="G23" s="6" t="s">
        <v>209</v>
      </c>
      <c r="H23" s="3" t="s">
        <v>237</v>
      </c>
      <c r="I23" s="3" t="s">
        <v>435</v>
      </c>
      <c r="J23" s="3" t="s">
        <v>436</v>
      </c>
      <c r="K23" s="3" t="s">
        <v>437</v>
      </c>
      <c r="L23" s="3" t="s">
        <v>438</v>
      </c>
      <c r="M23" s="3" t="s">
        <v>439</v>
      </c>
      <c r="N23" s="3" t="s">
        <v>358</v>
      </c>
      <c r="O23" s="3" t="s">
        <v>440</v>
      </c>
      <c r="P23" s="6" t="s">
        <v>199</v>
      </c>
      <c r="Q23" s="3" t="s">
        <v>135</v>
      </c>
      <c r="R23" s="3" t="s">
        <v>441</v>
      </c>
      <c r="S23" s="6" t="s">
        <v>335</v>
      </c>
      <c r="T23" s="6">
        <v>4</v>
      </c>
      <c r="U23" s="6" t="s">
        <v>202</v>
      </c>
      <c r="V23" s="6" t="s">
        <v>149</v>
      </c>
    </row>
    <row r="24" spans="1:22" ht="23.25" customHeight="1" x14ac:dyDescent="0.35">
      <c r="A24" s="6" t="s">
        <v>442</v>
      </c>
      <c r="B24" s="3" t="s">
        <v>443</v>
      </c>
      <c r="C24" s="3" t="s">
        <v>444</v>
      </c>
      <c r="D24" s="6" t="s">
        <v>235</v>
      </c>
      <c r="E24" s="3" t="s">
        <v>207</v>
      </c>
      <c r="F24" s="3" t="s">
        <v>208</v>
      </c>
      <c r="G24" s="6" t="s">
        <v>209</v>
      </c>
      <c r="H24" s="3" t="s">
        <v>300</v>
      </c>
      <c r="I24" s="3" t="s">
        <v>445</v>
      </c>
      <c r="J24" s="3" t="s">
        <v>446</v>
      </c>
      <c r="K24" s="3" t="s">
        <v>447</v>
      </c>
      <c r="L24" s="3" t="s">
        <v>448</v>
      </c>
      <c r="M24" s="3" t="s">
        <v>449</v>
      </c>
      <c r="N24" s="3" t="s">
        <v>358</v>
      </c>
      <c r="O24" s="3" t="s">
        <v>450</v>
      </c>
      <c r="P24" s="6" t="s">
        <v>360</v>
      </c>
      <c r="Q24" s="3" t="s">
        <v>135</v>
      </c>
      <c r="R24" s="3" t="s">
        <v>451</v>
      </c>
      <c r="S24" s="6" t="s">
        <v>202</v>
      </c>
      <c r="T24" s="6">
        <v>3</v>
      </c>
      <c r="U24" s="6" t="s">
        <v>452</v>
      </c>
      <c r="V24" s="6" t="s">
        <v>149</v>
      </c>
    </row>
    <row r="25" spans="1:22" ht="23.25" customHeight="1" x14ac:dyDescent="0.35">
      <c r="A25" s="6" t="s">
        <v>453</v>
      </c>
      <c r="B25" s="3" t="s">
        <v>454</v>
      </c>
      <c r="C25" s="3" t="s">
        <v>455</v>
      </c>
      <c r="D25" s="6" t="s">
        <v>456</v>
      </c>
      <c r="E25" s="3" t="s">
        <v>457</v>
      </c>
      <c r="F25" s="3" t="s">
        <v>391</v>
      </c>
      <c r="G25" s="6" t="s">
        <v>209</v>
      </c>
      <c r="H25" s="3" t="s">
        <v>237</v>
      </c>
      <c r="I25" s="3" t="s">
        <v>458</v>
      </c>
      <c r="J25" s="3" t="s">
        <v>459</v>
      </c>
      <c r="K25" s="3" t="s">
        <v>460</v>
      </c>
      <c r="L25" s="3" t="s">
        <v>461</v>
      </c>
      <c r="M25" s="3" t="s">
        <v>462</v>
      </c>
      <c r="N25" s="3" t="s">
        <v>371</v>
      </c>
      <c r="O25" s="3" t="s">
        <v>463</v>
      </c>
      <c r="P25" s="6" t="s">
        <v>199</v>
      </c>
      <c r="Q25" s="3" t="s">
        <v>135</v>
      </c>
      <c r="R25" s="3" t="s">
        <v>464</v>
      </c>
      <c r="S25" s="6" t="s">
        <v>335</v>
      </c>
      <c r="T25" s="6">
        <v>4</v>
      </c>
      <c r="U25" s="6" t="s">
        <v>202</v>
      </c>
      <c r="V25" s="6" t="s">
        <v>149</v>
      </c>
    </row>
    <row r="26" spans="1:22" ht="34.5" customHeight="1" x14ac:dyDescent="0.35">
      <c r="A26" s="6" t="s">
        <v>465</v>
      </c>
      <c r="B26" s="3" t="s">
        <v>466</v>
      </c>
      <c r="C26" s="3" t="s">
        <v>467</v>
      </c>
      <c r="D26" s="6" t="s">
        <v>273</v>
      </c>
      <c r="E26" s="3" t="s">
        <v>351</v>
      </c>
      <c r="F26" s="3" t="s">
        <v>365</v>
      </c>
      <c r="G26" s="6" t="s">
        <v>190</v>
      </c>
      <c r="H26" s="3" t="s">
        <v>468</v>
      </c>
      <c r="I26" s="3" t="s">
        <v>469</v>
      </c>
      <c r="J26" s="3" t="s">
        <v>470</v>
      </c>
      <c r="K26" s="3" t="s">
        <v>471</v>
      </c>
      <c r="L26" s="3" t="s">
        <v>472</v>
      </c>
      <c r="M26" s="3" t="s">
        <v>473</v>
      </c>
      <c r="N26" s="3" t="s">
        <v>294</v>
      </c>
      <c r="O26" s="3" t="s">
        <v>474</v>
      </c>
      <c r="P26" s="6" t="s">
        <v>360</v>
      </c>
      <c r="Q26" s="3" t="s">
        <v>475</v>
      </c>
      <c r="R26" s="3" t="s">
        <v>476</v>
      </c>
      <c r="S26" s="6" t="s">
        <v>201</v>
      </c>
      <c r="T26" s="6">
        <v>5</v>
      </c>
      <c r="U26" s="6" t="s">
        <v>202</v>
      </c>
      <c r="V26" s="6" t="s">
        <v>149</v>
      </c>
    </row>
    <row r="27" spans="1:22" ht="34.5" customHeight="1" x14ac:dyDescent="0.35">
      <c r="A27" s="6" t="s">
        <v>477</v>
      </c>
      <c r="B27" s="3" t="s">
        <v>478</v>
      </c>
      <c r="C27" s="3" t="s">
        <v>206</v>
      </c>
      <c r="D27" s="6" t="s">
        <v>206</v>
      </c>
      <c r="E27" s="3" t="s">
        <v>479</v>
      </c>
      <c r="F27" s="3" t="s">
        <v>365</v>
      </c>
      <c r="G27" s="6" t="s">
        <v>190</v>
      </c>
      <c r="H27" s="3" t="s">
        <v>480</v>
      </c>
      <c r="I27" s="3" t="s">
        <v>481</v>
      </c>
      <c r="J27" s="3" t="s">
        <v>482</v>
      </c>
      <c r="K27" s="3" t="s">
        <v>483</v>
      </c>
      <c r="L27" s="3" t="s">
        <v>484</v>
      </c>
      <c r="M27" s="3" t="s">
        <v>485</v>
      </c>
      <c r="N27" s="3" t="s">
        <v>197</v>
      </c>
      <c r="O27" s="3" t="s">
        <v>486</v>
      </c>
      <c r="P27" s="6" t="s">
        <v>199</v>
      </c>
      <c r="Q27" s="3" t="s">
        <v>135</v>
      </c>
      <c r="R27" s="3" t="s">
        <v>487</v>
      </c>
      <c r="S27" s="6" t="s">
        <v>201</v>
      </c>
      <c r="T27" s="6">
        <v>4</v>
      </c>
      <c r="U27" s="6" t="s">
        <v>202</v>
      </c>
      <c r="V27" s="6" t="s">
        <v>153</v>
      </c>
    </row>
    <row r="28" spans="1:22" ht="23.25" customHeight="1" x14ac:dyDescent="0.35">
      <c r="A28" s="6" t="s">
        <v>488</v>
      </c>
      <c r="B28" s="3" t="s">
        <v>489</v>
      </c>
      <c r="C28" s="3" t="s">
        <v>490</v>
      </c>
      <c r="D28" s="6" t="s">
        <v>273</v>
      </c>
      <c r="E28" s="3" t="s">
        <v>491</v>
      </c>
      <c r="F28" s="3" t="s">
        <v>391</v>
      </c>
      <c r="G28" s="6" t="s">
        <v>209</v>
      </c>
      <c r="H28" s="3" t="s">
        <v>492</v>
      </c>
      <c r="I28" s="3" t="s">
        <v>493</v>
      </c>
      <c r="J28" s="3" t="s">
        <v>494</v>
      </c>
      <c r="K28" s="3" t="s">
        <v>495</v>
      </c>
      <c r="L28" s="3" t="s">
        <v>496</v>
      </c>
      <c r="M28" s="3" t="s">
        <v>497</v>
      </c>
      <c r="N28" s="3" t="s">
        <v>197</v>
      </c>
      <c r="O28" s="3" t="s">
        <v>498</v>
      </c>
      <c r="P28" s="6" t="s">
        <v>199</v>
      </c>
      <c r="Q28" s="3" t="s">
        <v>135</v>
      </c>
      <c r="R28" s="3" t="s">
        <v>499</v>
      </c>
      <c r="S28" s="6" t="s">
        <v>201</v>
      </c>
      <c r="T28" s="6">
        <v>4</v>
      </c>
      <c r="U28" s="6" t="s">
        <v>202</v>
      </c>
      <c r="V28" s="6" t="s">
        <v>149</v>
      </c>
    </row>
    <row r="29" spans="1:22" ht="23.25" customHeight="1" x14ac:dyDescent="0.35">
      <c r="A29" s="6" t="s">
        <v>500</v>
      </c>
      <c r="B29" s="3" t="s">
        <v>501</v>
      </c>
      <c r="C29" s="3" t="s">
        <v>206</v>
      </c>
      <c r="D29" s="6" t="s">
        <v>206</v>
      </c>
      <c r="E29" s="3" t="s">
        <v>351</v>
      </c>
      <c r="F29" s="3" t="s">
        <v>365</v>
      </c>
      <c r="G29" s="6" t="s">
        <v>190</v>
      </c>
      <c r="H29" s="3" t="s">
        <v>502</v>
      </c>
      <c r="I29" s="3" t="s">
        <v>503</v>
      </c>
      <c r="J29" s="3" t="s">
        <v>504</v>
      </c>
      <c r="K29" s="3" t="s">
        <v>505</v>
      </c>
      <c r="L29" s="3" t="s">
        <v>506</v>
      </c>
      <c r="M29" s="3" t="s">
        <v>507</v>
      </c>
      <c r="N29" s="3" t="s">
        <v>420</v>
      </c>
      <c r="O29" s="3" t="s">
        <v>508</v>
      </c>
      <c r="P29" s="6" t="s">
        <v>509</v>
      </c>
      <c r="Q29" s="3" t="s">
        <v>135</v>
      </c>
      <c r="R29" s="3" t="s">
        <v>510</v>
      </c>
      <c r="S29" s="6" t="s">
        <v>335</v>
      </c>
      <c r="T29" s="6">
        <v>4</v>
      </c>
      <c r="U29" s="6" t="s">
        <v>452</v>
      </c>
      <c r="V29" s="6" t="s">
        <v>511</v>
      </c>
    </row>
    <row r="30" spans="1:22" ht="23.25" customHeight="1" x14ac:dyDescent="0.35">
      <c r="A30" s="6" t="s">
        <v>512</v>
      </c>
      <c r="B30" s="3" t="s">
        <v>513</v>
      </c>
      <c r="C30" s="3" t="s">
        <v>514</v>
      </c>
      <c r="D30" s="6" t="s">
        <v>273</v>
      </c>
      <c r="E30" s="3" t="s">
        <v>515</v>
      </c>
      <c r="F30" s="3" t="s">
        <v>208</v>
      </c>
      <c r="G30" s="6" t="s">
        <v>209</v>
      </c>
      <c r="H30" s="3" t="s">
        <v>237</v>
      </c>
      <c r="I30" s="3" t="s">
        <v>516</v>
      </c>
      <c r="J30" s="3" t="s">
        <v>517</v>
      </c>
      <c r="K30" s="3" t="s">
        <v>518</v>
      </c>
      <c r="L30" s="3" t="s">
        <v>519</v>
      </c>
      <c r="M30" s="3" t="s">
        <v>520</v>
      </c>
      <c r="N30" s="3" t="s">
        <v>521</v>
      </c>
      <c r="O30" s="3" t="s">
        <v>522</v>
      </c>
      <c r="P30" s="6" t="s">
        <v>199</v>
      </c>
      <c r="Q30" s="3" t="s">
        <v>320</v>
      </c>
      <c r="R30" s="3" t="s">
        <v>523</v>
      </c>
      <c r="S30" s="6" t="s">
        <v>201</v>
      </c>
      <c r="T30" s="6">
        <v>5</v>
      </c>
      <c r="U30" s="6" t="s">
        <v>202</v>
      </c>
      <c r="V30" s="6" t="s">
        <v>149</v>
      </c>
    </row>
    <row r="31" spans="1:22" ht="23.25" customHeight="1" x14ac:dyDescent="0.35">
      <c r="A31" s="6" t="s">
        <v>524</v>
      </c>
      <c r="B31" s="3" t="s">
        <v>525</v>
      </c>
      <c r="C31" s="3" t="s">
        <v>526</v>
      </c>
      <c r="D31" s="6" t="s">
        <v>235</v>
      </c>
      <c r="E31" s="3" t="s">
        <v>351</v>
      </c>
      <c r="F31" s="3" t="s">
        <v>527</v>
      </c>
      <c r="G31" s="6" t="s">
        <v>209</v>
      </c>
      <c r="H31" s="3" t="s">
        <v>237</v>
      </c>
      <c r="I31" s="3" t="s">
        <v>528</v>
      </c>
      <c r="J31" s="3" t="s">
        <v>529</v>
      </c>
      <c r="K31" s="3" t="s">
        <v>530</v>
      </c>
      <c r="L31" s="3" t="s">
        <v>531</v>
      </c>
      <c r="M31" s="3" t="s">
        <v>532</v>
      </c>
      <c r="N31" s="3" t="s">
        <v>306</v>
      </c>
      <c r="O31" s="3" t="s">
        <v>533</v>
      </c>
      <c r="P31" s="6" t="s">
        <v>199</v>
      </c>
      <c r="Q31" s="3" t="s">
        <v>135</v>
      </c>
      <c r="R31" s="3" t="s">
        <v>534</v>
      </c>
      <c r="S31" s="6" t="s">
        <v>335</v>
      </c>
      <c r="T31" s="6">
        <v>4</v>
      </c>
      <c r="U31" s="6" t="s">
        <v>202</v>
      </c>
      <c r="V31" s="6" t="s">
        <v>149</v>
      </c>
    </row>
    <row r="32" spans="1:22" ht="23.25" customHeight="1" x14ac:dyDescent="0.35">
      <c r="A32" s="6" t="s">
        <v>535</v>
      </c>
      <c r="B32" s="3" t="s">
        <v>536</v>
      </c>
      <c r="C32" s="3" t="s">
        <v>537</v>
      </c>
      <c r="D32" s="6" t="s">
        <v>206</v>
      </c>
      <c r="E32" s="3" t="s">
        <v>351</v>
      </c>
      <c r="F32" s="3" t="s">
        <v>189</v>
      </c>
      <c r="G32" s="6" t="s">
        <v>190</v>
      </c>
      <c r="H32" s="3" t="s">
        <v>352</v>
      </c>
      <c r="I32" s="3" t="s">
        <v>538</v>
      </c>
      <c r="J32" s="3" t="s">
        <v>539</v>
      </c>
      <c r="K32" s="3" t="s">
        <v>540</v>
      </c>
      <c r="L32" s="3" t="s">
        <v>541</v>
      </c>
      <c r="M32" s="3" t="s">
        <v>542</v>
      </c>
      <c r="N32" s="3" t="s">
        <v>197</v>
      </c>
      <c r="O32" s="3" t="s">
        <v>543</v>
      </c>
      <c r="P32" s="6" t="s">
        <v>199</v>
      </c>
      <c r="Q32" s="3" t="s">
        <v>135</v>
      </c>
      <c r="R32" s="3" t="s">
        <v>544</v>
      </c>
      <c r="S32" s="6" t="s">
        <v>201</v>
      </c>
      <c r="T32" s="6">
        <v>5</v>
      </c>
      <c r="U32" s="6" t="s">
        <v>202</v>
      </c>
      <c r="V32" s="6" t="s">
        <v>149</v>
      </c>
    </row>
    <row r="33" spans="1:22" ht="23.25" customHeight="1" x14ac:dyDescent="0.35">
      <c r="A33" s="6" t="s">
        <v>545</v>
      </c>
      <c r="B33" s="3" t="s">
        <v>546</v>
      </c>
      <c r="C33" s="3" t="s">
        <v>444</v>
      </c>
      <c r="D33" s="6" t="s">
        <v>235</v>
      </c>
      <c r="E33" s="3" t="s">
        <v>547</v>
      </c>
      <c r="F33" s="3" t="s">
        <v>189</v>
      </c>
      <c r="G33" s="6" t="s">
        <v>190</v>
      </c>
      <c r="H33" s="3" t="s">
        <v>237</v>
      </c>
      <c r="I33" s="3" t="s">
        <v>548</v>
      </c>
      <c r="J33" s="3" t="s">
        <v>549</v>
      </c>
      <c r="K33" s="3" t="s">
        <v>550</v>
      </c>
      <c r="L33" s="3" t="s">
        <v>551</v>
      </c>
      <c r="M33" s="3" t="s">
        <v>552</v>
      </c>
      <c r="N33" s="3" t="s">
        <v>553</v>
      </c>
      <c r="O33" s="3" t="s">
        <v>554</v>
      </c>
      <c r="P33" s="6" t="s">
        <v>199</v>
      </c>
      <c r="Q33" s="3" t="s">
        <v>135</v>
      </c>
      <c r="R33" s="3" t="s">
        <v>555</v>
      </c>
      <c r="S33" s="6" t="s">
        <v>201</v>
      </c>
      <c r="T33" s="6">
        <v>4</v>
      </c>
      <c r="U33" s="6" t="s">
        <v>202</v>
      </c>
      <c r="V33" s="6" t="s">
        <v>149</v>
      </c>
    </row>
    <row r="34" spans="1:22" ht="23.25" customHeight="1" x14ac:dyDescent="0.35">
      <c r="A34" s="6" t="s">
        <v>556</v>
      </c>
      <c r="B34" s="3" t="s">
        <v>557</v>
      </c>
      <c r="C34" s="3" t="s">
        <v>206</v>
      </c>
      <c r="D34" s="6" t="s">
        <v>206</v>
      </c>
      <c r="E34" s="3" t="s">
        <v>558</v>
      </c>
      <c r="F34" s="3" t="s">
        <v>559</v>
      </c>
      <c r="G34" s="6" t="s">
        <v>190</v>
      </c>
      <c r="H34" s="3" t="s">
        <v>300</v>
      </c>
      <c r="I34" s="3" t="s">
        <v>560</v>
      </c>
      <c r="J34" s="3" t="s">
        <v>561</v>
      </c>
      <c r="K34" s="3" t="s">
        <v>562</v>
      </c>
      <c r="L34" s="3" t="s">
        <v>563</v>
      </c>
      <c r="M34" s="3" t="s">
        <v>564</v>
      </c>
      <c r="N34" s="3" t="s">
        <v>565</v>
      </c>
      <c r="O34" s="3" t="s">
        <v>566</v>
      </c>
      <c r="P34" s="6" t="s">
        <v>360</v>
      </c>
      <c r="Q34" s="3" t="s">
        <v>135</v>
      </c>
      <c r="R34" s="3" t="s">
        <v>567</v>
      </c>
      <c r="S34" s="6" t="s">
        <v>201</v>
      </c>
      <c r="T34" s="6">
        <v>4</v>
      </c>
      <c r="U34" s="6" t="s">
        <v>202</v>
      </c>
      <c r="V34" s="6" t="s">
        <v>149</v>
      </c>
    </row>
    <row r="35" spans="1:22" ht="23.25" customHeight="1" x14ac:dyDescent="0.35">
      <c r="A35" s="6" t="s">
        <v>568</v>
      </c>
      <c r="B35" s="3" t="s">
        <v>569</v>
      </c>
      <c r="C35" s="3" t="s">
        <v>570</v>
      </c>
      <c r="D35" s="6" t="s">
        <v>273</v>
      </c>
      <c r="E35" s="3" t="s">
        <v>558</v>
      </c>
      <c r="F35" s="3" t="s">
        <v>559</v>
      </c>
      <c r="G35" s="6" t="s">
        <v>190</v>
      </c>
      <c r="H35" s="3" t="s">
        <v>571</v>
      </c>
      <c r="I35" s="3" t="s">
        <v>572</v>
      </c>
      <c r="J35" s="3" t="s">
        <v>573</v>
      </c>
      <c r="K35" s="3" t="s">
        <v>574</v>
      </c>
      <c r="L35" s="3" t="s">
        <v>575</v>
      </c>
      <c r="M35" s="3" t="s">
        <v>576</v>
      </c>
      <c r="N35" s="3" t="s">
        <v>577</v>
      </c>
      <c r="O35" s="3" t="s">
        <v>578</v>
      </c>
      <c r="P35" s="6" t="s">
        <v>360</v>
      </c>
      <c r="Q35" s="3" t="s">
        <v>320</v>
      </c>
      <c r="R35" s="3" t="s">
        <v>579</v>
      </c>
      <c r="S35" s="6" t="s">
        <v>335</v>
      </c>
      <c r="T35" s="6">
        <v>4</v>
      </c>
      <c r="U35" s="6" t="s">
        <v>202</v>
      </c>
      <c r="V35" s="6" t="s">
        <v>149</v>
      </c>
    </row>
    <row r="36" spans="1:22" ht="23.25" customHeight="1" x14ac:dyDescent="0.35">
      <c r="A36" s="6" t="s">
        <v>580</v>
      </c>
      <c r="B36" s="3" t="s">
        <v>581</v>
      </c>
      <c r="C36" s="3" t="s">
        <v>206</v>
      </c>
      <c r="D36" s="6" t="s">
        <v>206</v>
      </c>
      <c r="E36" s="3" t="s">
        <v>558</v>
      </c>
      <c r="F36" s="3" t="s">
        <v>559</v>
      </c>
      <c r="G36" s="6" t="s">
        <v>190</v>
      </c>
      <c r="H36" s="3" t="s">
        <v>300</v>
      </c>
      <c r="I36" s="3" t="s">
        <v>445</v>
      </c>
      <c r="J36" s="3" t="s">
        <v>582</v>
      </c>
      <c r="K36" s="3" t="s">
        <v>583</v>
      </c>
      <c r="L36" s="3" t="s">
        <v>584</v>
      </c>
      <c r="M36" s="3" t="s">
        <v>585</v>
      </c>
      <c r="N36" s="3" t="s">
        <v>577</v>
      </c>
      <c r="O36" s="3" t="s">
        <v>586</v>
      </c>
      <c r="P36" s="6" t="s">
        <v>360</v>
      </c>
      <c r="Q36" s="3" t="s">
        <v>587</v>
      </c>
      <c r="R36" s="3" t="s">
        <v>588</v>
      </c>
      <c r="S36" s="6" t="s">
        <v>335</v>
      </c>
      <c r="T36" s="6">
        <v>3</v>
      </c>
      <c r="U36" s="6" t="s">
        <v>452</v>
      </c>
      <c r="V36" s="6" t="s">
        <v>149</v>
      </c>
    </row>
    <row r="37" spans="1:22" ht="23.25" customHeight="1" x14ac:dyDescent="0.35">
      <c r="A37" s="6" t="s">
        <v>589</v>
      </c>
      <c r="B37" s="3" t="s">
        <v>590</v>
      </c>
      <c r="C37" s="3" t="s">
        <v>591</v>
      </c>
      <c r="D37" s="6" t="s">
        <v>235</v>
      </c>
      <c r="E37" s="3" t="s">
        <v>351</v>
      </c>
      <c r="F37" s="3" t="s">
        <v>559</v>
      </c>
      <c r="G37" s="6" t="s">
        <v>190</v>
      </c>
      <c r="H37" s="3" t="s">
        <v>592</v>
      </c>
      <c r="I37" s="3" t="s">
        <v>593</v>
      </c>
      <c r="J37" s="3" t="s">
        <v>594</v>
      </c>
      <c r="K37" s="3" t="s">
        <v>595</v>
      </c>
      <c r="L37" s="3" t="s">
        <v>596</v>
      </c>
      <c r="M37" s="3" t="s">
        <v>597</v>
      </c>
      <c r="N37" s="3" t="s">
        <v>577</v>
      </c>
      <c r="O37" s="3" t="s">
        <v>598</v>
      </c>
      <c r="P37" s="6" t="s">
        <v>360</v>
      </c>
      <c r="Q37" s="3" t="s">
        <v>135</v>
      </c>
      <c r="R37" s="3" t="s">
        <v>599</v>
      </c>
      <c r="S37" s="6" t="s">
        <v>201</v>
      </c>
      <c r="T37" s="6">
        <v>4</v>
      </c>
      <c r="U37" s="6" t="s">
        <v>202</v>
      </c>
      <c r="V37" s="6" t="s">
        <v>149</v>
      </c>
    </row>
    <row r="38" spans="1:22" ht="23.25" customHeight="1" x14ac:dyDescent="0.35">
      <c r="A38" s="6" t="s">
        <v>600</v>
      </c>
      <c r="B38" s="3" t="s">
        <v>601</v>
      </c>
      <c r="C38" s="3" t="s">
        <v>206</v>
      </c>
      <c r="D38" s="6" t="s">
        <v>206</v>
      </c>
      <c r="E38" s="3" t="s">
        <v>351</v>
      </c>
      <c r="F38" s="3" t="s">
        <v>559</v>
      </c>
      <c r="G38" s="6" t="s">
        <v>190</v>
      </c>
      <c r="H38" s="3" t="s">
        <v>352</v>
      </c>
      <c r="I38" s="3" t="s">
        <v>602</v>
      </c>
      <c r="J38" s="3" t="s">
        <v>603</v>
      </c>
      <c r="K38" s="3" t="s">
        <v>604</v>
      </c>
      <c r="L38" s="3" t="s">
        <v>605</v>
      </c>
      <c r="M38" s="3" t="s">
        <v>606</v>
      </c>
      <c r="N38" s="3" t="s">
        <v>577</v>
      </c>
      <c r="O38" s="3" t="s">
        <v>607</v>
      </c>
      <c r="P38" s="6" t="s">
        <v>360</v>
      </c>
      <c r="Q38" s="3" t="s">
        <v>587</v>
      </c>
      <c r="R38" s="3" t="s">
        <v>608</v>
      </c>
      <c r="S38" s="6" t="s">
        <v>335</v>
      </c>
      <c r="T38" s="6">
        <v>3</v>
      </c>
      <c r="U38" s="6" t="s">
        <v>202</v>
      </c>
      <c r="V38" s="6" t="s">
        <v>149</v>
      </c>
    </row>
    <row r="39" spans="1:22" ht="23.25" customHeight="1" x14ac:dyDescent="0.35">
      <c r="A39" s="6" t="s">
        <v>609</v>
      </c>
      <c r="B39" s="3" t="s">
        <v>610</v>
      </c>
      <c r="C39" s="3" t="s">
        <v>206</v>
      </c>
      <c r="D39" s="6" t="s">
        <v>206</v>
      </c>
      <c r="E39" s="3" t="s">
        <v>611</v>
      </c>
      <c r="F39" s="3" t="s">
        <v>559</v>
      </c>
      <c r="G39" s="6" t="s">
        <v>190</v>
      </c>
      <c r="H39" s="3" t="s">
        <v>352</v>
      </c>
      <c r="I39" s="3" t="s">
        <v>612</v>
      </c>
      <c r="J39" s="3" t="s">
        <v>613</v>
      </c>
      <c r="K39" s="3" t="s">
        <v>614</v>
      </c>
      <c r="L39" s="3" t="s">
        <v>615</v>
      </c>
      <c r="M39" s="3" t="s">
        <v>616</v>
      </c>
      <c r="N39" s="3" t="s">
        <v>577</v>
      </c>
      <c r="O39" s="3" t="s">
        <v>617</v>
      </c>
      <c r="P39" s="6" t="s">
        <v>360</v>
      </c>
      <c r="Q39" s="3" t="s">
        <v>135</v>
      </c>
      <c r="R39" s="3" t="s">
        <v>618</v>
      </c>
      <c r="S39" s="6" t="s">
        <v>335</v>
      </c>
      <c r="T39" s="6">
        <v>3</v>
      </c>
      <c r="U39" s="6" t="s">
        <v>202</v>
      </c>
      <c r="V39" s="6" t="s">
        <v>149</v>
      </c>
    </row>
    <row r="40" spans="1:22" ht="23.25" customHeight="1" x14ac:dyDescent="0.35">
      <c r="A40" s="6" t="s">
        <v>619</v>
      </c>
      <c r="B40" s="3" t="s">
        <v>620</v>
      </c>
      <c r="C40" s="3" t="s">
        <v>206</v>
      </c>
      <c r="D40" s="6" t="s">
        <v>206</v>
      </c>
      <c r="E40" s="3" t="s">
        <v>621</v>
      </c>
      <c r="F40" s="3" t="s">
        <v>559</v>
      </c>
      <c r="G40" s="6" t="s">
        <v>190</v>
      </c>
      <c r="H40" s="3" t="s">
        <v>300</v>
      </c>
      <c r="I40" s="3" t="s">
        <v>622</v>
      </c>
      <c r="J40" s="3" t="s">
        <v>623</v>
      </c>
      <c r="K40" s="3" t="s">
        <v>624</v>
      </c>
      <c r="L40" s="3" t="s">
        <v>625</v>
      </c>
      <c r="M40" s="3" t="s">
        <v>626</v>
      </c>
      <c r="N40" s="3" t="s">
        <v>627</v>
      </c>
      <c r="O40" s="3" t="s">
        <v>628</v>
      </c>
      <c r="P40" s="6" t="s">
        <v>509</v>
      </c>
      <c r="Q40" s="3" t="s">
        <v>135</v>
      </c>
      <c r="R40" s="3" t="s">
        <v>629</v>
      </c>
      <c r="S40" s="6" t="s">
        <v>335</v>
      </c>
      <c r="T40" s="6">
        <v>3</v>
      </c>
      <c r="U40" s="6" t="s">
        <v>202</v>
      </c>
      <c r="V40" s="6" t="s">
        <v>149</v>
      </c>
    </row>
    <row r="41" spans="1:22" ht="23.25" customHeight="1" x14ac:dyDescent="0.35">
      <c r="A41" s="6" t="s">
        <v>630</v>
      </c>
      <c r="B41" s="3" t="s">
        <v>631</v>
      </c>
      <c r="C41" s="3" t="s">
        <v>632</v>
      </c>
      <c r="D41" s="6" t="s">
        <v>273</v>
      </c>
      <c r="E41" s="3" t="s">
        <v>351</v>
      </c>
      <c r="F41" s="3" t="s">
        <v>559</v>
      </c>
      <c r="G41" s="6" t="s">
        <v>190</v>
      </c>
      <c r="H41" s="3" t="s">
        <v>571</v>
      </c>
      <c r="I41" s="3" t="s">
        <v>633</v>
      </c>
      <c r="J41" s="3" t="s">
        <v>634</v>
      </c>
      <c r="K41" s="3" t="s">
        <v>635</v>
      </c>
      <c r="L41" s="3" t="s">
        <v>636</v>
      </c>
      <c r="M41" s="3" t="s">
        <v>637</v>
      </c>
      <c r="N41" s="3" t="s">
        <v>638</v>
      </c>
      <c r="O41" s="3" t="s">
        <v>639</v>
      </c>
      <c r="P41" s="6" t="s">
        <v>360</v>
      </c>
      <c r="Q41" s="3" t="s">
        <v>135</v>
      </c>
      <c r="R41" s="3" t="s">
        <v>640</v>
      </c>
      <c r="S41" s="6" t="s">
        <v>335</v>
      </c>
      <c r="T41" s="6">
        <v>3</v>
      </c>
      <c r="U41" s="6" t="s">
        <v>202</v>
      </c>
      <c r="V41" s="6" t="s">
        <v>149</v>
      </c>
    </row>
    <row r="42" spans="1:22" ht="23.25" customHeight="1" x14ac:dyDescent="0.35">
      <c r="A42" s="6" t="s">
        <v>641</v>
      </c>
      <c r="B42" s="3" t="s">
        <v>642</v>
      </c>
      <c r="C42" s="3" t="s">
        <v>643</v>
      </c>
      <c r="D42" s="6" t="s">
        <v>273</v>
      </c>
      <c r="E42" s="3" t="s">
        <v>644</v>
      </c>
      <c r="F42" s="3" t="s">
        <v>559</v>
      </c>
      <c r="G42" s="6" t="s">
        <v>190</v>
      </c>
      <c r="H42" s="3" t="s">
        <v>571</v>
      </c>
      <c r="I42" s="3" t="s">
        <v>645</v>
      </c>
      <c r="J42" s="3" t="s">
        <v>646</v>
      </c>
      <c r="K42" s="3" t="s">
        <v>647</v>
      </c>
      <c r="L42" s="3" t="s">
        <v>648</v>
      </c>
      <c r="M42" s="3" t="s">
        <v>649</v>
      </c>
      <c r="N42" s="3" t="s">
        <v>577</v>
      </c>
      <c r="O42" s="3" t="s">
        <v>650</v>
      </c>
      <c r="P42" s="6" t="s">
        <v>360</v>
      </c>
      <c r="Q42" s="3" t="s">
        <v>135</v>
      </c>
      <c r="R42" s="3" t="s">
        <v>651</v>
      </c>
      <c r="S42" s="6" t="s">
        <v>335</v>
      </c>
      <c r="T42" s="6">
        <v>3</v>
      </c>
      <c r="U42" s="6" t="s">
        <v>202</v>
      </c>
      <c r="V42" s="6" t="s">
        <v>149</v>
      </c>
    </row>
    <row r="43" spans="1:22" ht="23.25" customHeight="1" x14ac:dyDescent="0.35">
      <c r="A43" s="6" t="s">
        <v>652</v>
      </c>
      <c r="B43" s="3" t="s">
        <v>653</v>
      </c>
      <c r="C43" s="3" t="s">
        <v>643</v>
      </c>
      <c r="D43" s="6" t="s">
        <v>287</v>
      </c>
      <c r="E43" s="3" t="s">
        <v>351</v>
      </c>
      <c r="F43" s="3" t="s">
        <v>559</v>
      </c>
      <c r="G43" s="6" t="s">
        <v>190</v>
      </c>
      <c r="H43" s="3" t="s">
        <v>300</v>
      </c>
      <c r="I43" s="3" t="s">
        <v>654</v>
      </c>
      <c r="J43" s="3" t="s">
        <v>655</v>
      </c>
      <c r="K43" s="3" t="s">
        <v>656</v>
      </c>
      <c r="L43" s="3" t="s">
        <v>657</v>
      </c>
      <c r="M43" s="3" t="s">
        <v>658</v>
      </c>
      <c r="N43" s="3" t="s">
        <v>627</v>
      </c>
      <c r="O43" s="3" t="s">
        <v>659</v>
      </c>
      <c r="P43" s="6" t="s">
        <v>199</v>
      </c>
      <c r="Q43" s="3" t="s">
        <v>135</v>
      </c>
      <c r="R43" s="3" t="s">
        <v>660</v>
      </c>
      <c r="S43" s="6" t="s">
        <v>335</v>
      </c>
      <c r="T43" s="6">
        <v>3</v>
      </c>
      <c r="U43" s="6" t="s">
        <v>202</v>
      </c>
      <c r="V43" s="6" t="s">
        <v>149</v>
      </c>
    </row>
    <row r="44" spans="1:22" ht="15" customHeight="1" x14ac:dyDescent="0.35">
      <c r="A44" s="6" t="s">
        <v>661</v>
      </c>
      <c r="B44" s="3" t="s">
        <v>662</v>
      </c>
      <c r="C44" s="3" t="s">
        <v>467</v>
      </c>
      <c r="D44" s="6" t="s">
        <v>273</v>
      </c>
      <c r="E44" s="3" t="s">
        <v>663</v>
      </c>
      <c r="F44" s="3" t="s">
        <v>559</v>
      </c>
      <c r="G44" s="6" t="s">
        <v>190</v>
      </c>
      <c r="H44" s="3" t="s">
        <v>571</v>
      </c>
      <c r="I44" s="3" t="s">
        <v>664</v>
      </c>
      <c r="J44" s="3" t="s">
        <v>665</v>
      </c>
      <c r="K44" s="3" t="s">
        <v>666</v>
      </c>
      <c r="L44" s="3" t="s">
        <v>667</v>
      </c>
      <c r="M44" s="3" t="s">
        <v>668</v>
      </c>
      <c r="N44" s="3" t="s">
        <v>577</v>
      </c>
      <c r="O44" s="3" t="s">
        <v>669</v>
      </c>
      <c r="P44" s="6" t="s">
        <v>360</v>
      </c>
      <c r="Q44" s="3" t="s">
        <v>135</v>
      </c>
      <c r="R44" s="3" t="s">
        <v>670</v>
      </c>
      <c r="S44" s="6" t="s">
        <v>335</v>
      </c>
      <c r="T44" s="6">
        <v>3</v>
      </c>
      <c r="U44" s="6" t="s">
        <v>202</v>
      </c>
      <c r="V44" s="6" t="s">
        <v>149</v>
      </c>
    </row>
    <row r="45" spans="1:22" ht="23.25" customHeight="1" x14ac:dyDescent="0.35">
      <c r="A45" s="6" t="s">
        <v>671</v>
      </c>
      <c r="B45" s="3" t="s">
        <v>672</v>
      </c>
      <c r="C45" s="3" t="s">
        <v>673</v>
      </c>
      <c r="D45" s="6" t="s">
        <v>273</v>
      </c>
      <c r="E45" s="3" t="s">
        <v>558</v>
      </c>
      <c r="F45" s="3" t="s">
        <v>674</v>
      </c>
      <c r="G45" s="6" t="s">
        <v>209</v>
      </c>
      <c r="H45" s="3" t="s">
        <v>571</v>
      </c>
      <c r="I45" s="3" t="s">
        <v>675</v>
      </c>
      <c r="J45" s="3" t="s">
        <v>676</v>
      </c>
      <c r="K45" s="3" t="s">
        <v>677</v>
      </c>
      <c r="L45" s="3" t="s">
        <v>678</v>
      </c>
      <c r="M45" s="3" t="s">
        <v>679</v>
      </c>
      <c r="N45" s="3" t="s">
        <v>577</v>
      </c>
      <c r="O45" s="3" t="s">
        <v>680</v>
      </c>
      <c r="P45" s="6" t="s">
        <v>360</v>
      </c>
      <c r="Q45" s="3" t="s">
        <v>681</v>
      </c>
      <c r="R45" s="3" t="s">
        <v>682</v>
      </c>
      <c r="S45" s="6" t="s">
        <v>335</v>
      </c>
      <c r="T45" s="6">
        <v>4</v>
      </c>
      <c r="U45" s="6" t="s">
        <v>202</v>
      </c>
      <c r="V45" s="6" t="s">
        <v>149</v>
      </c>
    </row>
    <row r="46" spans="1:22" ht="23.25" customHeight="1" x14ac:dyDescent="0.35">
      <c r="A46" s="6" t="s">
        <v>683</v>
      </c>
      <c r="B46" s="3" t="s">
        <v>684</v>
      </c>
      <c r="C46" s="3" t="s">
        <v>685</v>
      </c>
      <c r="D46" s="6" t="s">
        <v>273</v>
      </c>
      <c r="E46" s="3" t="s">
        <v>558</v>
      </c>
      <c r="F46" s="3" t="s">
        <v>559</v>
      </c>
      <c r="G46" s="6" t="s">
        <v>190</v>
      </c>
      <c r="H46" s="3" t="s">
        <v>571</v>
      </c>
      <c r="I46" s="3" t="s">
        <v>686</v>
      </c>
      <c r="J46" s="3" t="s">
        <v>687</v>
      </c>
      <c r="K46" s="3" t="s">
        <v>688</v>
      </c>
      <c r="L46" s="3" t="s">
        <v>689</v>
      </c>
      <c r="M46" s="3" t="s">
        <v>690</v>
      </c>
      <c r="N46" s="3" t="s">
        <v>577</v>
      </c>
      <c r="O46" s="3" t="s">
        <v>691</v>
      </c>
      <c r="P46" s="6" t="s">
        <v>360</v>
      </c>
      <c r="Q46" s="3" t="s">
        <v>135</v>
      </c>
      <c r="R46" s="3" t="s">
        <v>692</v>
      </c>
      <c r="S46" s="6" t="s">
        <v>335</v>
      </c>
      <c r="T46" s="6">
        <v>3</v>
      </c>
      <c r="U46" s="6" t="s">
        <v>202</v>
      </c>
      <c r="V46" s="6" t="s">
        <v>149</v>
      </c>
    </row>
    <row r="47" spans="1:22" ht="23.25" customHeight="1" x14ac:dyDescent="0.35">
      <c r="A47" s="6" t="s">
        <v>693</v>
      </c>
      <c r="B47" s="3" t="s">
        <v>694</v>
      </c>
      <c r="C47" s="3" t="s">
        <v>695</v>
      </c>
      <c r="D47" s="6" t="s">
        <v>235</v>
      </c>
      <c r="E47" s="3" t="s">
        <v>558</v>
      </c>
      <c r="F47" s="3" t="s">
        <v>559</v>
      </c>
      <c r="G47" s="6" t="s">
        <v>190</v>
      </c>
      <c r="H47" s="3" t="s">
        <v>352</v>
      </c>
      <c r="I47" s="3" t="s">
        <v>696</v>
      </c>
      <c r="J47" s="3" t="s">
        <v>697</v>
      </c>
      <c r="K47" s="3" t="s">
        <v>635</v>
      </c>
      <c r="L47" s="3" t="s">
        <v>698</v>
      </c>
      <c r="M47" s="3" t="s">
        <v>699</v>
      </c>
      <c r="N47" s="3" t="s">
        <v>700</v>
      </c>
      <c r="O47" s="3" t="s">
        <v>701</v>
      </c>
      <c r="P47" s="6" t="s">
        <v>509</v>
      </c>
      <c r="Q47" s="3" t="s">
        <v>135</v>
      </c>
      <c r="R47" s="3" t="s">
        <v>702</v>
      </c>
      <c r="S47" s="6" t="s">
        <v>335</v>
      </c>
      <c r="T47" s="6">
        <v>3</v>
      </c>
      <c r="U47" s="6" t="s">
        <v>452</v>
      </c>
      <c r="V47" s="6" t="s">
        <v>149</v>
      </c>
    </row>
    <row r="48" spans="1:22" ht="23.25" customHeight="1" x14ac:dyDescent="0.35">
      <c r="A48" s="6" t="s">
        <v>703</v>
      </c>
      <c r="B48" s="3" t="s">
        <v>704</v>
      </c>
      <c r="C48" s="3" t="s">
        <v>705</v>
      </c>
      <c r="D48" s="6" t="s">
        <v>273</v>
      </c>
      <c r="E48" s="3" t="s">
        <v>351</v>
      </c>
      <c r="F48" s="3" t="s">
        <v>559</v>
      </c>
      <c r="G48" s="6" t="s">
        <v>190</v>
      </c>
      <c r="H48" s="3" t="s">
        <v>571</v>
      </c>
      <c r="I48" s="3" t="s">
        <v>706</v>
      </c>
      <c r="J48" s="3" t="s">
        <v>707</v>
      </c>
      <c r="K48" s="3" t="s">
        <v>708</v>
      </c>
      <c r="L48" s="3" t="s">
        <v>709</v>
      </c>
      <c r="M48" s="3" t="s">
        <v>710</v>
      </c>
      <c r="N48" s="3" t="s">
        <v>577</v>
      </c>
      <c r="O48" s="3" t="s">
        <v>711</v>
      </c>
      <c r="P48" s="6" t="s">
        <v>360</v>
      </c>
      <c r="Q48" s="3" t="s">
        <v>320</v>
      </c>
      <c r="R48" s="3" t="s">
        <v>712</v>
      </c>
      <c r="S48" s="6" t="s">
        <v>335</v>
      </c>
      <c r="T48" s="6">
        <v>3</v>
      </c>
      <c r="U48" s="6" t="s">
        <v>202</v>
      </c>
      <c r="V48" s="6" t="s">
        <v>149</v>
      </c>
    </row>
    <row r="49" spans="1:22" ht="23.25" customHeight="1" x14ac:dyDescent="0.35">
      <c r="A49" s="6" t="s">
        <v>713</v>
      </c>
      <c r="B49" s="3" t="s">
        <v>714</v>
      </c>
      <c r="C49" s="3" t="s">
        <v>705</v>
      </c>
      <c r="D49" s="6" t="s">
        <v>273</v>
      </c>
      <c r="E49" s="3" t="s">
        <v>644</v>
      </c>
      <c r="F49" s="3" t="s">
        <v>559</v>
      </c>
      <c r="G49" s="6" t="s">
        <v>190</v>
      </c>
      <c r="H49" s="3" t="s">
        <v>571</v>
      </c>
      <c r="I49" s="3" t="s">
        <v>715</v>
      </c>
      <c r="J49" s="3" t="s">
        <v>716</v>
      </c>
      <c r="K49" s="3" t="s">
        <v>717</v>
      </c>
      <c r="L49" s="3" t="s">
        <v>718</v>
      </c>
      <c r="M49" s="3" t="s">
        <v>719</v>
      </c>
      <c r="N49" s="3" t="s">
        <v>577</v>
      </c>
      <c r="O49" s="3" t="s">
        <v>720</v>
      </c>
      <c r="P49" s="6" t="s">
        <v>360</v>
      </c>
      <c r="Q49" s="3" t="s">
        <v>135</v>
      </c>
      <c r="R49" s="3" t="s">
        <v>721</v>
      </c>
      <c r="S49" s="6" t="s">
        <v>335</v>
      </c>
      <c r="T49" s="6">
        <v>3</v>
      </c>
      <c r="U49" s="6" t="s">
        <v>202</v>
      </c>
      <c r="V49" s="6" t="s">
        <v>149</v>
      </c>
    </row>
    <row r="50" spans="1:22" ht="23.25" customHeight="1" x14ac:dyDescent="0.35">
      <c r="A50" s="6" t="s">
        <v>722</v>
      </c>
      <c r="B50" s="3" t="s">
        <v>723</v>
      </c>
      <c r="C50" s="3" t="s">
        <v>206</v>
      </c>
      <c r="D50" s="6" t="s">
        <v>206</v>
      </c>
      <c r="E50" s="3" t="s">
        <v>413</v>
      </c>
      <c r="F50" s="3" t="s">
        <v>559</v>
      </c>
      <c r="G50" s="6" t="s">
        <v>190</v>
      </c>
      <c r="H50" s="3" t="s">
        <v>300</v>
      </c>
      <c r="I50" s="3" t="s">
        <v>724</v>
      </c>
      <c r="J50" s="3" t="s">
        <v>725</v>
      </c>
      <c r="K50" s="3" t="s">
        <v>726</v>
      </c>
      <c r="L50" s="3" t="s">
        <v>727</v>
      </c>
      <c r="M50" s="3" t="s">
        <v>728</v>
      </c>
      <c r="N50" s="3" t="s">
        <v>577</v>
      </c>
      <c r="O50" s="3" t="s">
        <v>729</v>
      </c>
      <c r="P50" s="6" t="s">
        <v>360</v>
      </c>
      <c r="Q50" s="3" t="s">
        <v>135</v>
      </c>
      <c r="R50" s="3" t="s">
        <v>730</v>
      </c>
      <c r="S50" s="6" t="s">
        <v>335</v>
      </c>
      <c r="T50" s="6">
        <v>3</v>
      </c>
      <c r="U50" s="6" t="s">
        <v>452</v>
      </c>
      <c r="V50" s="6" t="s">
        <v>149</v>
      </c>
    </row>
    <row r="51" spans="1:22" ht="23.25" customHeight="1" x14ac:dyDescent="0.35">
      <c r="A51" s="6" t="s">
        <v>731</v>
      </c>
      <c r="B51" s="3" t="s">
        <v>732</v>
      </c>
      <c r="C51" s="3" t="s">
        <v>206</v>
      </c>
      <c r="D51" s="6" t="s">
        <v>206</v>
      </c>
      <c r="E51" s="3" t="s">
        <v>351</v>
      </c>
      <c r="F51" s="3" t="s">
        <v>559</v>
      </c>
      <c r="G51" s="6" t="s">
        <v>190</v>
      </c>
      <c r="H51" s="3" t="s">
        <v>352</v>
      </c>
      <c r="I51" s="3" t="s">
        <v>733</v>
      </c>
      <c r="J51" s="3" t="s">
        <v>734</v>
      </c>
      <c r="K51" s="3" t="s">
        <v>735</v>
      </c>
      <c r="L51" s="3" t="s">
        <v>736</v>
      </c>
      <c r="M51" s="3" t="s">
        <v>737</v>
      </c>
      <c r="N51" s="3" t="s">
        <v>577</v>
      </c>
      <c r="O51" s="3" t="s">
        <v>738</v>
      </c>
      <c r="P51" s="6" t="s">
        <v>360</v>
      </c>
      <c r="Q51" s="3" t="s">
        <v>135</v>
      </c>
      <c r="R51" s="3" t="s">
        <v>352</v>
      </c>
      <c r="S51" s="6" t="s">
        <v>335</v>
      </c>
      <c r="T51" s="6">
        <v>3</v>
      </c>
      <c r="U51" s="6" t="s">
        <v>202</v>
      </c>
      <c r="V51" s="6" t="s">
        <v>149</v>
      </c>
    </row>
    <row r="52" spans="1:22" ht="23.25" customHeight="1" x14ac:dyDescent="0.35">
      <c r="A52" s="6" t="s">
        <v>739</v>
      </c>
      <c r="B52" s="3" t="s">
        <v>740</v>
      </c>
      <c r="C52" s="3" t="s">
        <v>206</v>
      </c>
      <c r="D52" s="6" t="s">
        <v>206</v>
      </c>
      <c r="E52" s="3" t="s">
        <v>351</v>
      </c>
      <c r="F52" s="3" t="s">
        <v>559</v>
      </c>
      <c r="G52" s="6" t="s">
        <v>190</v>
      </c>
      <c r="H52" s="3" t="s">
        <v>352</v>
      </c>
      <c r="I52" s="3" t="s">
        <v>741</v>
      </c>
      <c r="J52" s="3" t="s">
        <v>742</v>
      </c>
      <c r="K52" s="3" t="s">
        <v>743</v>
      </c>
      <c r="L52" s="3" t="s">
        <v>744</v>
      </c>
      <c r="M52" s="3" t="s">
        <v>745</v>
      </c>
      <c r="N52" s="3" t="s">
        <v>577</v>
      </c>
      <c r="O52" s="3" t="s">
        <v>746</v>
      </c>
      <c r="P52" s="6" t="s">
        <v>360</v>
      </c>
      <c r="Q52" s="3" t="s">
        <v>135</v>
      </c>
      <c r="R52" s="3" t="s">
        <v>747</v>
      </c>
      <c r="S52" s="6" t="s">
        <v>335</v>
      </c>
      <c r="T52" s="6">
        <v>3</v>
      </c>
      <c r="U52" s="6" t="s">
        <v>202</v>
      </c>
      <c r="V52" s="6" t="s">
        <v>149</v>
      </c>
    </row>
    <row r="53" spans="1:22" ht="23.25" customHeight="1" x14ac:dyDescent="0.35">
      <c r="A53" s="6" t="s">
        <v>748</v>
      </c>
      <c r="B53" s="3" t="s">
        <v>749</v>
      </c>
      <c r="C53" s="3" t="s">
        <v>206</v>
      </c>
      <c r="D53" s="6" t="s">
        <v>206</v>
      </c>
      <c r="E53" s="3" t="s">
        <v>351</v>
      </c>
      <c r="F53" s="3" t="s">
        <v>559</v>
      </c>
      <c r="G53" s="6" t="s">
        <v>190</v>
      </c>
      <c r="H53" s="3" t="s">
        <v>750</v>
      </c>
      <c r="I53" s="3" t="s">
        <v>751</v>
      </c>
      <c r="J53" s="3" t="s">
        <v>752</v>
      </c>
      <c r="K53" s="3" t="s">
        <v>753</v>
      </c>
      <c r="L53" s="3" t="s">
        <v>754</v>
      </c>
      <c r="M53" s="3" t="s">
        <v>755</v>
      </c>
      <c r="N53" s="3" t="s">
        <v>577</v>
      </c>
      <c r="O53" s="3" t="s">
        <v>756</v>
      </c>
      <c r="P53" s="6" t="s">
        <v>360</v>
      </c>
      <c r="Q53" s="3" t="s">
        <v>135</v>
      </c>
      <c r="R53" s="3" t="s">
        <v>757</v>
      </c>
      <c r="S53" s="6" t="s">
        <v>202</v>
      </c>
      <c r="T53" s="6">
        <v>2</v>
      </c>
      <c r="U53" s="6" t="s">
        <v>452</v>
      </c>
      <c r="V53" s="6" t="s">
        <v>149</v>
      </c>
    </row>
    <row r="54" spans="1:22" ht="23.25" customHeight="1" x14ac:dyDescent="0.35">
      <c r="A54" s="6" t="s">
        <v>758</v>
      </c>
      <c r="B54" s="3" t="s">
        <v>759</v>
      </c>
      <c r="C54" s="3" t="s">
        <v>760</v>
      </c>
      <c r="D54" s="6" t="s">
        <v>187</v>
      </c>
      <c r="E54" s="3" t="s">
        <v>351</v>
      </c>
      <c r="F54" s="3" t="s">
        <v>761</v>
      </c>
      <c r="G54" s="6" t="s">
        <v>209</v>
      </c>
      <c r="H54" s="3" t="s">
        <v>762</v>
      </c>
      <c r="I54" s="3" t="s">
        <v>763</v>
      </c>
      <c r="J54" s="3" t="s">
        <v>764</v>
      </c>
      <c r="K54" s="3" t="s">
        <v>765</v>
      </c>
      <c r="L54" s="3" t="s">
        <v>766</v>
      </c>
      <c r="M54" s="3" t="s">
        <v>767</v>
      </c>
      <c r="N54" s="3" t="s">
        <v>243</v>
      </c>
      <c r="O54" s="3" t="s">
        <v>768</v>
      </c>
      <c r="P54" s="6" t="s">
        <v>360</v>
      </c>
      <c r="Q54" s="3" t="s">
        <v>769</v>
      </c>
      <c r="R54" s="3" t="s">
        <v>770</v>
      </c>
      <c r="S54" s="6" t="s">
        <v>335</v>
      </c>
      <c r="T54" s="6">
        <v>4</v>
      </c>
      <c r="U54" s="6" t="s">
        <v>452</v>
      </c>
      <c r="V54" s="6" t="s">
        <v>149</v>
      </c>
    </row>
    <row r="55" spans="1:22" ht="23.25" customHeight="1" x14ac:dyDescent="0.35">
      <c r="A55" s="6" t="s">
        <v>771</v>
      </c>
      <c r="B55" s="3" t="s">
        <v>772</v>
      </c>
      <c r="C55" s="3" t="s">
        <v>773</v>
      </c>
      <c r="D55" s="6" t="s">
        <v>273</v>
      </c>
      <c r="E55" s="3" t="s">
        <v>558</v>
      </c>
      <c r="F55" s="3" t="s">
        <v>774</v>
      </c>
      <c r="G55" s="6" t="s">
        <v>209</v>
      </c>
      <c r="H55" s="3" t="s">
        <v>237</v>
      </c>
      <c r="I55" s="3" t="s">
        <v>775</v>
      </c>
      <c r="J55" s="3" t="s">
        <v>776</v>
      </c>
      <c r="K55" s="3" t="s">
        <v>777</v>
      </c>
      <c r="L55" s="3" t="s">
        <v>778</v>
      </c>
      <c r="M55" s="3" t="s">
        <v>779</v>
      </c>
      <c r="N55" s="3" t="s">
        <v>780</v>
      </c>
      <c r="O55" s="3" t="s">
        <v>781</v>
      </c>
      <c r="P55" s="6" t="s">
        <v>509</v>
      </c>
      <c r="Q55" s="3" t="s">
        <v>769</v>
      </c>
      <c r="R55" s="3" t="s">
        <v>782</v>
      </c>
      <c r="S55" s="6" t="s">
        <v>201</v>
      </c>
      <c r="T55" s="6">
        <v>4</v>
      </c>
      <c r="U55" s="6" t="s">
        <v>202</v>
      </c>
      <c r="V55" s="6" t="s">
        <v>149</v>
      </c>
    </row>
    <row r="56" spans="1:22" ht="23.25" customHeight="1" x14ac:dyDescent="0.35">
      <c r="A56" s="6" t="s">
        <v>783</v>
      </c>
      <c r="B56" s="3" t="s">
        <v>784</v>
      </c>
      <c r="C56" s="3" t="s">
        <v>785</v>
      </c>
      <c r="D56" s="6" t="s">
        <v>287</v>
      </c>
      <c r="E56" s="3" t="s">
        <v>786</v>
      </c>
      <c r="F56" s="3" t="s">
        <v>787</v>
      </c>
      <c r="G56" s="6" t="s">
        <v>209</v>
      </c>
      <c r="H56" s="3" t="s">
        <v>237</v>
      </c>
      <c r="I56" s="3" t="s">
        <v>788</v>
      </c>
      <c r="J56" s="3" t="s">
        <v>789</v>
      </c>
      <c r="K56" s="3" t="s">
        <v>790</v>
      </c>
      <c r="L56" s="3" t="s">
        <v>791</v>
      </c>
      <c r="M56" s="3" t="s">
        <v>792</v>
      </c>
      <c r="N56" s="3" t="s">
        <v>294</v>
      </c>
      <c r="O56" s="3" t="s">
        <v>793</v>
      </c>
      <c r="P56" s="6" t="s">
        <v>199</v>
      </c>
      <c r="Q56" s="3" t="s">
        <v>769</v>
      </c>
      <c r="R56" s="3" t="s">
        <v>794</v>
      </c>
      <c r="S56" s="6" t="s">
        <v>335</v>
      </c>
      <c r="T56" s="6">
        <v>4</v>
      </c>
      <c r="U56" s="6" t="s">
        <v>202</v>
      </c>
      <c r="V56" s="6" t="s">
        <v>149</v>
      </c>
    </row>
    <row r="57" spans="1:22" ht="23.25" customHeight="1" x14ac:dyDescent="0.35">
      <c r="A57" s="6" t="s">
        <v>795</v>
      </c>
      <c r="B57" s="3" t="s">
        <v>796</v>
      </c>
      <c r="C57" s="3" t="s">
        <v>206</v>
      </c>
      <c r="D57" s="6" t="s">
        <v>206</v>
      </c>
      <c r="E57" s="3" t="s">
        <v>491</v>
      </c>
      <c r="F57" s="3" t="s">
        <v>774</v>
      </c>
      <c r="G57" s="6" t="s">
        <v>209</v>
      </c>
      <c r="H57" s="3" t="s">
        <v>750</v>
      </c>
      <c r="I57" s="3" t="s">
        <v>797</v>
      </c>
      <c r="J57" s="3" t="s">
        <v>798</v>
      </c>
      <c r="K57" s="3" t="s">
        <v>799</v>
      </c>
      <c r="L57" s="3" t="s">
        <v>800</v>
      </c>
      <c r="M57" s="3" t="s">
        <v>801</v>
      </c>
      <c r="N57" s="3" t="s">
        <v>700</v>
      </c>
      <c r="O57" s="3" t="s">
        <v>802</v>
      </c>
      <c r="P57" s="6" t="s">
        <v>360</v>
      </c>
      <c r="Q57" s="3" t="s">
        <v>803</v>
      </c>
      <c r="R57" s="3" t="s">
        <v>804</v>
      </c>
      <c r="S57" s="6" t="s">
        <v>335</v>
      </c>
      <c r="T57" s="6">
        <v>3</v>
      </c>
      <c r="U57" s="6" t="s">
        <v>202</v>
      </c>
      <c r="V57" s="6" t="s">
        <v>149</v>
      </c>
    </row>
    <row r="58" spans="1:22" ht="23.25" customHeight="1" x14ac:dyDescent="0.35">
      <c r="A58" s="6" t="s">
        <v>805</v>
      </c>
      <c r="B58" s="3" t="s">
        <v>806</v>
      </c>
      <c r="C58" s="3" t="s">
        <v>807</v>
      </c>
      <c r="D58" s="6" t="s">
        <v>287</v>
      </c>
      <c r="E58" s="3" t="s">
        <v>808</v>
      </c>
      <c r="F58" s="3" t="s">
        <v>809</v>
      </c>
      <c r="G58" s="6" t="s">
        <v>209</v>
      </c>
      <c r="H58" s="3" t="s">
        <v>237</v>
      </c>
      <c r="I58" s="3" t="s">
        <v>810</v>
      </c>
      <c r="J58" s="3" t="s">
        <v>811</v>
      </c>
      <c r="K58" s="3" t="s">
        <v>812</v>
      </c>
      <c r="L58" s="3" t="s">
        <v>813</v>
      </c>
      <c r="M58" s="3" t="s">
        <v>814</v>
      </c>
      <c r="N58" s="3" t="s">
        <v>815</v>
      </c>
      <c r="O58" s="3" t="s">
        <v>816</v>
      </c>
      <c r="P58" s="6" t="s">
        <v>199</v>
      </c>
      <c r="Q58" s="3" t="s">
        <v>769</v>
      </c>
      <c r="R58" s="3" t="s">
        <v>817</v>
      </c>
      <c r="S58" s="6" t="s">
        <v>201</v>
      </c>
      <c r="T58" s="6">
        <v>5</v>
      </c>
      <c r="U58" s="6" t="s">
        <v>202</v>
      </c>
      <c r="V58" s="6" t="s">
        <v>511</v>
      </c>
    </row>
    <row r="59" spans="1:22" ht="23.25" customHeight="1" x14ac:dyDescent="0.35">
      <c r="A59" s="6" t="s">
        <v>818</v>
      </c>
      <c r="B59" s="3" t="s">
        <v>819</v>
      </c>
      <c r="C59" s="3" t="s">
        <v>206</v>
      </c>
      <c r="D59" s="6" t="s">
        <v>206</v>
      </c>
      <c r="E59" s="3" t="s">
        <v>413</v>
      </c>
      <c r="F59" s="3" t="s">
        <v>774</v>
      </c>
      <c r="G59" s="6" t="s">
        <v>209</v>
      </c>
      <c r="H59" s="3" t="s">
        <v>300</v>
      </c>
      <c r="I59" s="3" t="s">
        <v>820</v>
      </c>
      <c r="J59" s="3" t="s">
        <v>821</v>
      </c>
      <c r="K59" s="3" t="s">
        <v>822</v>
      </c>
      <c r="L59" s="3" t="s">
        <v>823</v>
      </c>
      <c r="M59" s="3" t="s">
        <v>824</v>
      </c>
      <c r="N59" s="3" t="s">
        <v>577</v>
      </c>
      <c r="O59" s="3" t="s">
        <v>825</v>
      </c>
      <c r="P59" s="6" t="s">
        <v>360</v>
      </c>
      <c r="Q59" s="3" t="s">
        <v>769</v>
      </c>
      <c r="R59" s="3" t="s">
        <v>826</v>
      </c>
      <c r="S59" s="6" t="s">
        <v>335</v>
      </c>
      <c r="T59" s="6">
        <v>3</v>
      </c>
      <c r="U59" s="6" t="s">
        <v>202</v>
      </c>
      <c r="V59" s="6" t="s">
        <v>149</v>
      </c>
    </row>
    <row r="60" spans="1:22" ht="23.25" customHeight="1" x14ac:dyDescent="0.35">
      <c r="A60" s="6" t="s">
        <v>827</v>
      </c>
      <c r="B60" s="3" t="s">
        <v>828</v>
      </c>
      <c r="C60" s="3" t="s">
        <v>206</v>
      </c>
      <c r="D60" s="6" t="s">
        <v>206</v>
      </c>
      <c r="E60" s="3" t="s">
        <v>644</v>
      </c>
      <c r="F60" s="3" t="s">
        <v>774</v>
      </c>
      <c r="G60" s="6" t="s">
        <v>209</v>
      </c>
      <c r="H60" s="3" t="s">
        <v>352</v>
      </c>
      <c r="I60" s="3" t="s">
        <v>829</v>
      </c>
      <c r="J60" s="3" t="s">
        <v>830</v>
      </c>
      <c r="K60" s="3" t="s">
        <v>777</v>
      </c>
      <c r="L60" s="3" t="s">
        <v>831</v>
      </c>
      <c r="M60" s="3" t="s">
        <v>832</v>
      </c>
      <c r="N60" s="3" t="s">
        <v>577</v>
      </c>
      <c r="O60" s="3" t="s">
        <v>833</v>
      </c>
      <c r="P60" s="6" t="s">
        <v>360</v>
      </c>
      <c r="Q60" s="3" t="s">
        <v>769</v>
      </c>
      <c r="R60" s="3" t="s">
        <v>702</v>
      </c>
      <c r="S60" s="6" t="s">
        <v>335</v>
      </c>
      <c r="T60" s="6">
        <v>3</v>
      </c>
      <c r="U60" s="6" t="s">
        <v>452</v>
      </c>
      <c r="V60" s="6" t="s">
        <v>149</v>
      </c>
    </row>
    <row r="61" spans="1:22" ht="23.25" customHeight="1" x14ac:dyDescent="0.35">
      <c r="A61" s="6" t="s">
        <v>834</v>
      </c>
      <c r="B61" s="3" t="s">
        <v>835</v>
      </c>
      <c r="C61" s="3" t="s">
        <v>705</v>
      </c>
      <c r="D61" s="6" t="s">
        <v>273</v>
      </c>
      <c r="E61" s="3" t="s">
        <v>351</v>
      </c>
      <c r="F61" s="3" t="s">
        <v>836</v>
      </c>
      <c r="G61" s="6" t="s">
        <v>190</v>
      </c>
      <c r="H61" s="3" t="s">
        <v>352</v>
      </c>
      <c r="I61" s="3" t="s">
        <v>837</v>
      </c>
      <c r="J61" s="3" t="s">
        <v>838</v>
      </c>
      <c r="K61" s="3" t="s">
        <v>839</v>
      </c>
      <c r="L61" s="3" t="s">
        <v>840</v>
      </c>
      <c r="M61" s="3" t="s">
        <v>841</v>
      </c>
      <c r="N61" s="3" t="s">
        <v>358</v>
      </c>
      <c r="O61" s="3" t="s">
        <v>842</v>
      </c>
      <c r="P61" s="6" t="s">
        <v>360</v>
      </c>
      <c r="Q61" s="3" t="s">
        <v>843</v>
      </c>
      <c r="R61" s="3" t="s">
        <v>844</v>
      </c>
      <c r="S61" s="6" t="s">
        <v>202</v>
      </c>
      <c r="T61" s="6">
        <v>3</v>
      </c>
      <c r="U61" s="6" t="s">
        <v>452</v>
      </c>
      <c r="V61" s="6" t="s">
        <v>149</v>
      </c>
    </row>
    <row r="62" spans="1:22" ht="23.25" customHeight="1" x14ac:dyDescent="0.35">
      <c r="A62" s="6" t="s">
        <v>845</v>
      </c>
      <c r="B62" s="3" t="s">
        <v>846</v>
      </c>
      <c r="C62" s="3" t="s">
        <v>847</v>
      </c>
      <c r="D62" s="6" t="s">
        <v>273</v>
      </c>
      <c r="E62" s="3" t="s">
        <v>351</v>
      </c>
      <c r="F62" s="3" t="s">
        <v>836</v>
      </c>
      <c r="G62" s="6" t="s">
        <v>190</v>
      </c>
      <c r="H62" s="3" t="s">
        <v>571</v>
      </c>
      <c r="I62" s="3" t="s">
        <v>848</v>
      </c>
      <c r="J62" s="3" t="s">
        <v>849</v>
      </c>
      <c r="K62" s="3" t="s">
        <v>850</v>
      </c>
      <c r="L62" s="3" t="s">
        <v>851</v>
      </c>
      <c r="M62" s="3" t="s">
        <v>852</v>
      </c>
      <c r="N62" s="3" t="s">
        <v>358</v>
      </c>
      <c r="O62" s="3" t="s">
        <v>853</v>
      </c>
      <c r="P62" s="6" t="s">
        <v>360</v>
      </c>
      <c r="Q62" s="3" t="s">
        <v>769</v>
      </c>
      <c r="R62" s="3" t="s">
        <v>555</v>
      </c>
      <c r="S62" s="6" t="s">
        <v>335</v>
      </c>
      <c r="T62" s="6">
        <v>3</v>
      </c>
      <c r="U62" s="6" t="s">
        <v>202</v>
      </c>
      <c r="V62" s="6" t="s">
        <v>149</v>
      </c>
    </row>
    <row r="63" spans="1:22" ht="23.25" customHeight="1" x14ac:dyDescent="0.35">
      <c r="A63" s="6" t="s">
        <v>854</v>
      </c>
      <c r="B63" s="3" t="s">
        <v>855</v>
      </c>
      <c r="C63" s="3" t="s">
        <v>206</v>
      </c>
      <c r="D63" s="6" t="s">
        <v>206</v>
      </c>
      <c r="E63" s="3" t="s">
        <v>351</v>
      </c>
      <c r="F63" s="3" t="s">
        <v>774</v>
      </c>
      <c r="G63" s="6" t="s">
        <v>209</v>
      </c>
      <c r="H63" s="3" t="s">
        <v>300</v>
      </c>
      <c r="I63" s="3" t="s">
        <v>856</v>
      </c>
      <c r="J63" s="3" t="s">
        <v>857</v>
      </c>
      <c r="K63" s="3" t="s">
        <v>858</v>
      </c>
      <c r="L63" s="3" t="s">
        <v>859</v>
      </c>
      <c r="M63" s="3" t="s">
        <v>860</v>
      </c>
      <c r="N63" s="3" t="s">
        <v>861</v>
      </c>
      <c r="O63" s="3" t="s">
        <v>862</v>
      </c>
      <c r="P63" s="6" t="s">
        <v>509</v>
      </c>
      <c r="Q63" s="3" t="s">
        <v>863</v>
      </c>
      <c r="R63" s="3" t="s">
        <v>864</v>
      </c>
      <c r="S63" s="6" t="s">
        <v>335</v>
      </c>
      <c r="T63" s="6">
        <v>3</v>
      </c>
      <c r="U63" s="6" t="s">
        <v>202</v>
      </c>
      <c r="V63" s="6" t="s">
        <v>149</v>
      </c>
    </row>
    <row r="64" spans="1:22" ht="23.25" customHeight="1" x14ac:dyDescent="0.35">
      <c r="A64" s="6" t="s">
        <v>865</v>
      </c>
      <c r="B64" s="3" t="s">
        <v>866</v>
      </c>
      <c r="C64" s="3" t="s">
        <v>206</v>
      </c>
      <c r="D64" s="6" t="s">
        <v>206</v>
      </c>
      <c r="E64" s="3" t="s">
        <v>351</v>
      </c>
      <c r="F64" s="3" t="s">
        <v>774</v>
      </c>
      <c r="G64" s="6" t="s">
        <v>209</v>
      </c>
      <c r="H64" s="3" t="s">
        <v>352</v>
      </c>
      <c r="I64" s="3" t="s">
        <v>867</v>
      </c>
      <c r="J64" s="3" t="s">
        <v>868</v>
      </c>
      <c r="K64" s="3" t="s">
        <v>869</v>
      </c>
      <c r="L64" s="3" t="s">
        <v>870</v>
      </c>
      <c r="M64" s="3" t="s">
        <v>871</v>
      </c>
      <c r="N64" s="3" t="s">
        <v>700</v>
      </c>
      <c r="O64" s="3" t="s">
        <v>872</v>
      </c>
      <c r="P64" s="6" t="s">
        <v>360</v>
      </c>
      <c r="Q64" s="3" t="s">
        <v>769</v>
      </c>
      <c r="R64" s="3" t="s">
        <v>873</v>
      </c>
      <c r="S64" s="6" t="s">
        <v>202</v>
      </c>
      <c r="T64" s="6">
        <v>3</v>
      </c>
      <c r="U64" s="6" t="s">
        <v>452</v>
      </c>
      <c r="V64" s="6" t="s">
        <v>149</v>
      </c>
    </row>
    <row r="65" spans="1:22" ht="23.25" customHeight="1" x14ac:dyDescent="0.35">
      <c r="A65" s="6" t="s">
        <v>874</v>
      </c>
      <c r="B65" s="3" t="s">
        <v>875</v>
      </c>
      <c r="C65" s="3" t="s">
        <v>206</v>
      </c>
      <c r="D65" s="6" t="s">
        <v>206</v>
      </c>
      <c r="E65" s="3" t="s">
        <v>876</v>
      </c>
      <c r="F65" s="3" t="s">
        <v>836</v>
      </c>
      <c r="G65" s="6" t="s">
        <v>190</v>
      </c>
      <c r="H65" s="3" t="s">
        <v>877</v>
      </c>
      <c r="I65" s="3" t="s">
        <v>878</v>
      </c>
      <c r="J65" s="3" t="s">
        <v>879</v>
      </c>
      <c r="K65" s="3" t="s">
        <v>880</v>
      </c>
      <c r="L65" s="3" t="s">
        <v>881</v>
      </c>
      <c r="M65" s="3" t="s">
        <v>882</v>
      </c>
      <c r="N65" s="3" t="s">
        <v>420</v>
      </c>
      <c r="O65" s="3" t="s">
        <v>883</v>
      </c>
      <c r="P65" s="6" t="s">
        <v>360</v>
      </c>
      <c r="Q65" s="3" t="s">
        <v>769</v>
      </c>
      <c r="R65" s="3" t="s">
        <v>884</v>
      </c>
      <c r="S65" s="6" t="s">
        <v>335</v>
      </c>
      <c r="T65" s="6">
        <v>3</v>
      </c>
      <c r="U65" s="6" t="s">
        <v>202</v>
      </c>
      <c r="V65" s="6" t="s">
        <v>149</v>
      </c>
    </row>
    <row r="66" spans="1:22" ht="23.25" customHeight="1" x14ac:dyDescent="0.35">
      <c r="A66" s="6" t="s">
        <v>885</v>
      </c>
      <c r="B66" s="3" t="s">
        <v>886</v>
      </c>
      <c r="C66" s="3" t="s">
        <v>705</v>
      </c>
      <c r="D66" s="6" t="s">
        <v>273</v>
      </c>
      <c r="E66" s="3" t="s">
        <v>351</v>
      </c>
      <c r="F66" s="3" t="s">
        <v>809</v>
      </c>
      <c r="G66" s="6" t="s">
        <v>209</v>
      </c>
      <c r="H66" s="3" t="s">
        <v>352</v>
      </c>
      <c r="I66" s="3" t="s">
        <v>887</v>
      </c>
      <c r="J66" s="3" t="s">
        <v>888</v>
      </c>
      <c r="K66" s="3" t="s">
        <v>889</v>
      </c>
      <c r="L66" s="3" t="s">
        <v>890</v>
      </c>
      <c r="M66" s="3" t="s">
        <v>891</v>
      </c>
      <c r="N66" s="3" t="s">
        <v>197</v>
      </c>
      <c r="O66" s="3" t="s">
        <v>892</v>
      </c>
      <c r="P66" s="6" t="s">
        <v>199</v>
      </c>
      <c r="Q66" s="3" t="s">
        <v>769</v>
      </c>
      <c r="R66" s="3" t="s">
        <v>893</v>
      </c>
      <c r="S66" s="6" t="s">
        <v>335</v>
      </c>
      <c r="T66" s="6">
        <v>3</v>
      </c>
      <c r="U66" s="6" t="s">
        <v>202</v>
      </c>
      <c r="V66" s="6" t="s">
        <v>149</v>
      </c>
    </row>
    <row r="67" spans="1:22" ht="23.25" customHeight="1" x14ac:dyDescent="0.35">
      <c r="A67" s="6" t="s">
        <v>894</v>
      </c>
      <c r="B67" s="3" t="s">
        <v>895</v>
      </c>
      <c r="C67" s="3" t="s">
        <v>206</v>
      </c>
      <c r="D67" s="6" t="s">
        <v>206</v>
      </c>
      <c r="E67" s="3" t="s">
        <v>896</v>
      </c>
      <c r="F67" s="3" t="s">
        <v>897</v>
      </c>
      <c r="G67" s="6" t="s">
        <v>209</v>
      </c>
      <c r="H67" s="3" t="s">
        <v>352</v>
      </c>
      <c r="I67" s="3" t="s">
        <v>898</v>
      </c>
      <c r="J67" s="3" t="s">
        <v>899</v>
      </c>
      <c r="K67" s="3" t="s">
        <v>900</v>
      </c>
      <c r="L67" s="3" t="s">
        <v>901</v>
      </c>
      <c r="M67" s="3" t="s">
        <v>902</v>
      </c>
      <c r="N67" s="3" t="s">
        <v>638</v>
      </c>
      <c r="O67" s="3" t="s">
        <v>903</v>
      </c>
      <c r="P67" s="6" t="s">
        <v>509</v>
      </c>
      <c r="Q67" s="3" t="s">
        <v>135</v>
      </c>
      <c r="R67" s="3" t="s">
        <v>904</v>
      </c>
      <c r="S67" s="6" t="s">
        <v>201</v>
      </c>
      <c r="T67" s="6">
        <v>4</v>
      </c>
      <c r="U67" s="6" t="s">
        <v>202</v>
      </c>
      <c r="V67" s="6" t="s">
        <v>149</v>
      </c>
    </row>
    <row r="68" spans="1:22" ht="23.25" customHeight="1" x14ac:dyDescent="0.35">
      <c r="A68" s="6" t="s">
        <v>905</v>
      </c>
      <c r="B68" s="3" t="s">
        <v>906</v>
      </c>
      <c r="C68" s="3" t="s">
        <v>907</v>
      </c>
      <c r="D68" s="6" t="s">
        <v>206</v>
      </c>
      <c r="E68" s="3" t="s">
        <v>908</v>
      </c>
      <c r="F68" s="3" t="s">
        <v>909</v>
      </c>
      <c r="G68" s="6" t="s">
        <v>209</v>
      </c>
      <c r="H68" s="3" t="s">
        <v>300</v>
      </c>
      <c r="I68" s="3" t="s">
        <v>910</v>
      </c>
      <c r="J68" s="3" t="s">
        <v>911</v>
      </c>
      <c r="K68" s="3" t="s">
        <v>912</v>
      </c>
      <c r="L68" s="3" t="s">
        <v>913</v>
      </c>
      <c r="M68" s="3" t="s">
        <v>914</v>
      </c>
      <c r="N68" s="3" t="s">
        <v>915</v>
      </c>
      <c r="O68" s="3" t="s">
        <v>916</v>
      </c>
      <c r="P68" s="6" t="s">
        <v>199</v>
      </c>
      <c r="Q68" s="3" t="s">
        <v>135</v>
      </c>
      <c r="R68" s="3" t="s">
        <v>917</v>
      </c>
      <c r="S68" s="6" t="s">
        <v>201</v>
      </c>
      <c r="T68" s="6">
        <v>4</v>
      </c>
      <c r="U68" s="6" t="s">
        <v>202</v>
      </c>
      <c r="V68" s="6" t="s">
        <v>149</v>
      </c>
    </row>
    <row r="69" spans="1:22" ht="23.25" customHeight="1" x14ac:dyDescent="0.35">
      <c r="A69" s="6" t="s">
        <v>918</v>
      </c>
      <c r="B69" s="3" t="s">
        <v>919</v>
      </c>
      <c r="C69" s="3" t="s">
        <v>920</v>
      </c>
      <c r="D69" s="6" t="s">
        <v>206</v>
      </c>
      <c r="E69" s="3" t="s">
        <v>921</v>
      </c>
      <c r="F69" s="3" t="s">
        <v>922</v>
      </c>
      <c r="G69" s="6" t="s">
        <v>209</v>
      </c>
      <c r="H69" s="3" t="s">
        <v>352</v>
      </c>
      <c r="I69" s="3" t="s">
        <v>923</v>
      </c>
      <c r="J69" s="3" t="s">
        <v>924</v>
      </c>
      <c r="K69" s="3" t="s">
        <v>925</v>
      </c>
      <c r="L69" s="3" t="s">
        <v>926</v>
      </c>
      <c r="M69" s="3" t="s">
        <v>927</v>
      </c>
      <c r="N69" s="3" t="s">
        <v>928</v>
      </c>
      <c r="O69" s="3" t="s">
        <v>929</v>
      </c>
      <c r="P69" s="6" t="s">
        <v>199</v>
      </c>
      <c r="Q69" s="3" t="s">
        <v>320</v>
      </c>
      <c r="R69" s="3" t="s">
        <v>352</v>
      </c>
      <c r="S69" s="6" t="s">
        <v>335</v>
      </c>
      <c r="T69" s="6">
        <v>4</v>
      </c>
      <c r="U69" s="6" t="s">
        <v>202</v>
      </c>
      <c r="V69" s="6" t="s">
        <v>149</v>
      </c>
    </row>
    <row r="70" spans="1:22" ht="23.25" customHeight="1" x14ac:dyDescent="0.35">
      <c r="A70" s="6" t="s">
        <v>930</v>
      </c>
      <c r="B70" s="3" t="s">
        <v>931</v>
      </c>
      <c r="C70" s="3" t="s">
        <v>932</v>
      </c>
      <c r="D70" s="6" t="s">
        <v>456</v>
      </c>
      <c r="E70" s="3" t="s">
        <v>351</v>
      </c>
      <c r="F70" s="3" t="s">
        <v>909</v>
      </c>
      <c r="G70" s="6" t="s">
        <v>209</v>
      </c>
      <c r="H70" s="3" t="s">
        <v>352</v>
      </c>
      <c r="I70" s="3" t="s">
        <v>933</v>
      </c>
      <c r="J70" s="3" t="s">
        <v>934</v>
      </c>
      <c r="K70" s="3" t="s">
        <v>935</v>
      </c>
      <c r="L70" s="3" t="s">
        <v>936</v>
      </c>
      <c r="M70" s="3" t="s">
        <v>937</v>
      </c>
      <c r="N70" s="3" t="s">
        <v>420</v>
      </c>
      <c r="O70" s="3" t="s">
        <v>938</v>
      </c>
      <c r="P70" s="6" t="s">
        <v>360</v>
      </c>
      <c r="Q70" s="3" t="s">
        <v>135</v>
      </c>
      <c r="R70" s="3" t="s">
        <v>939</v>
      </c>
      <c r="S70" s="6" t="s">
        <v>335</v>
      </c>
      <c r="T70" s="6">
        <v>3</v>
      </c>
      <c r="U70" s="6" t="s">
        <v>202</v>
      </c>
      <c r="V70" s="6" t="s">
        <v>149</v>
      </c>
    </row>
    <row r="71" spans="1:22" ht="23.25" customHeight="1" x14ac:dyDescent="0.35">
      <c r="A71" s="6" t="s">
        <v>940</v>
      </c>
      <c r="B71" s="3" t="s">
        <v>941</v>
      </c>
      <c r="C71" s="3" t="s">
        <v>942</v>
      </c>
      <c r="D71" s="6" t="s">
        <v>235</v>
      </c>
      <c r="E71" s="3" t="s">
        <v>943</v>
      </c>
      <c r="F71" s="3" t="s">
        <v>944</v>
      </c>
      <c r="G71" s="6" t="s">
        <v>209</v>
      </c>
      <c r="H71" s="3" t="s">
        <v>571</v>
      </c>
      <c r="I71" s="3" t="s">
        <v>945</v>
      </c>
      <c r="J71" s="3" t="s">
        <v>946</v>
      </c>
      <c r="K71" s="3" t="s">
        <v>947</v>
      </c>
      <c r="L71" s="3" t="s">
        <v>948</v>
      </c>
      <c r="M71" s="3" t="s">
        <v>949</v>
      </c>
      <c r="N71" s="3" t="s">
        <v>861</v>
      </c>
      <c r="O71" s="3" t="s">
        <v>950</v>
      </c>
      <c r="P71" s="6" t="s">
        <v>199</v>
      </c>
      <c r="Q71" s="3" t="s">
        <v>135</v>
      </c>
      <c r="R71" s="3" t="s">
        <v>951</v>
      </c>
      <c r="S71" s="6" t="s">
        <v>201</v>
      </c>
      <c r="T71" s="6">
        <v>4</v>
      </c>
      <c r="U71" s="6" t="s">
        <v>202</v>
      </c>
      <c r="V71" s="6" t="s">
        <v>149</v>
      </c>
    </row>
    <row r="72" spans="1:22" ht="23.25" customHeight="1" x14ac:dyDescent="0.35">
      <c r="A72" s="6" t="s">
        <v>952</v>
      </c>
      <c r="B72" s="3" t="s">
        <v>953</v>
      </c>
      <c r="C72" s="3" t="s">
        <v>954</v>
      </c>
      <c r="D72" s="6" t="s">
        <v>235</v>
      </c>
      <c r="E72" s="3" t="s">
        <v>955</v>
      </c>
      <c r="F72" s="3" t="s">
        <v>909</v>
      </c>
      <c r="G72" s="6" t="s">
        <v>209</v>
      </c>
      <c r="H72" s="3" t="s">
        <v>237</v>
      </c>
      <c r="I72" s="3" t="s">
        <v>956</v>
      </c>
      <c r="J72" s="3" t="s">
        <v>957</v>
      </c>
      <c r="K72" s="3" t="s">
        <v>958</v>
      </c>
      <c r="L72" s="3" t="s">
        <v>959</v>
      </c>
      <c r="M72" s="3" t="s">
        <v>960</v>
      </c>
      <c r="N72" s="3" t="s">
        <v>243</v>
      </c>
      <c r="O72" s="3" t="s">
        <v>961</v>
      </c>
      <c r="P72" s="6" t="s">
        <v>199</v>
      </c>
      <c r="Q72" s="3" t="s">
        <v>135</v>
      </c>
      <c r="R72" s="3" t="s">
        <v>441</v>
      </c>
      <c r="S72" s="6" t="s">
        <v>335</v>
      </c>
      <c r="T72" s="6">
        <v>4</v>
      </c>
      <c r="U72" s="6" t="s">
        <v>202</v>
      </c>
      <c r="V72" s="6" t="s">
        <v>149</v>
      </c>
    </row>
    <row r="73" spans="1:22" ht="23.25" customHeight="1" x14ac:dyDescent="0.35">
      <c r="A73" s="6" t="s">
        <v>962</v>
      </c>
      <c r="B73" s="3" t="s">
        <v>963</v>
      </c>
      <c r="C73" s="3" t="s">
        <v>964</v>
      </c>
      <c r="D73" s="6" t="s">
        <v>235</v>
      </c>
      <c r="E73" s="3" t="s">
        <v>943</v>
      </c>
      <c r="F73" s="3" t="s">
        <v>965</v>
      </c>
      <c r="G73" s="6" t="s">
        <v>190</v>
      </c>
      <c r="H73" s="3" t="s">
        <v>966</v>
      </c>
      <c r="I73" s="3" t="s">
        <v>967</v>
      </c>
      <c r="J73" s="3" t="s">
        <v>968</v>
      </c>
      <c r="K73" s="3" t="s">
        <v>969</v>
      </c>
      <c r="L73" s="3" t="s">
        <v>970</v>
      </c>
      <c r="M73" s="3" t="s">
        <v>971</v>
      </c>
      <c r="N73" s="3" t="s">
        <v>972</v>
      </c>
      <c r="O73" s="3" t="s">
        <v>973</v>
      </c>
      <c r="P73" s="6" t="s">
        <v>360</v>
      </c>
      <c r="Q73" s="3" t="s">
        <v>320</v>
      </c>
      <c r="R73" s="3" t="s">
        <v>974</v>
      </c>
      <c r="S73" s="6" t="s">
        <v>201</v>
      </c>
      <c r="T73" s="6">
        <v>4</v>
      </c>
      <c r="U73" s="6" t="s">
        <v>202</v>
      </c>
      <c r="V73" s="6" t="s">
        <v>149</v>
      </c>
    </row>
    <row r="74" spans="1:22" ht="23.25" customHeight="1" x14ac:dyDescent="0.35">
      <c r="A74" s="6" t="s">
        <v>975</v>
      </c>
      <c r="B74" s="3" t="s">
        <v>976</v>
      </c>
      <c r="C74" s="3" t="s">
        <v>206</v>
      </c>
      <c r="D74" s="6" t="s">
        <v>206</v>
      </c>
      <c r="E74" s="3" t="s">
        <v>977</v>
      </c>
      <c r="F74" s="3" t="s">
        <v>965</v>
      </c>
      <c r="G74" s="6" t="s">
        <v>190</v>
      </c>
      <c r="H74" s="3" t="s">
        <v>352</v>
      </c>
      <c r="I74" s="3" t="s">
        <v>978</v>
      </c>
      <c r="J74" s="3" t="s">
        <v>979</v>
      </c>
      <c r="K74" s="3" t="s">
        <v>978</v>
      </c>
      <c r="L74" s="3" t="s">
        <v>980</v>
      </c>
      <c r="M74" s="3" t="s">
        <v>981</v>
      </c>
      <c r="N74" s="3" t="s">
        <v>420</v>
      </c>
      <c r="O74" s="3" t="s">
        <v>883</v>
      </c>
      <c r="P74" s="6" t="s">
        <v>360</v>
      </c>
      <c r="Q74" s="3" t="s">
        <v>135</v>
      </c>
      <c r="R74" s="3" t="s">
        <v>982</v>
      </c>
      <c r="S74" s="6" t="s">
        <v>335</v>
      </c>
      <c r="T74" s="6">
        <v>3</v>
      </c>
      <c r="U74" s="6" t="s">
        <v>202</v>
      </c>
      <c r="V74" s="6" t="s">
        <v>149</v>
      </c>
    </row>
    <row r="75" spans="1:22" ht="23.25" customHeight="1" x14ac:dyDescent="0.35">
      <c r="A75" s="6" t="s">
        <v>983</v>
      </c>
      <c r="B75" s="3" t="s">
        <v>984</v>
      </c>
      <c r="C75" s="3" t="s">
        <v>206</v>
      </c>
      <c r="D75" s="6" t="s">
        <v>206</v>
      </c>
      <c r="E75" s="3" t="s">
        <v>351</v>
      </c>
      <c r="F75" s="3" t="s">
        <v>944</v>
      </c>
      <c r="G75" s="6" t="s">
        <v>209</v>
      </c>
      <c r="H75" s="3" t="s">
        <v>300</v>
      </c>
      <c r="I75" s="3" t="s">
        <v>985</v>
      </c>
      <c r="J75" s="3" t="s">
        <v>986</v>
      </c>
      <c r="K75" s="3" t="s">
        <v>987</v>
      </c>
      <c r="L75" s="3" t="s">
        <v>988</v>
      </c>
      <c r="M75" s="3" t="s">
        <v>989</v>
      </c>
      <c r="N75" s="3" t="s">
        <v>577</v>
      </c>
      <c r="O75" s="3" t="s">
        <v>990</v>
      </c>
      <c r="P75" s="6" t="s">
        <v>360</v>
      </c>
      <c r="Q75" s="3" t="s">
        <v>135</v>
      </c>
      <c r="R75" s="3" t="s">
        <v>991</v>
      </c>
      <c r="S75" s="6" t="s">
        <v>335</v>
      </c>
      <c r="T75" s="6">
        <v>3</v>
      </c>
      <c r="U75" s="6" t="s">
        <v>202</v>
      </c>
      <c r="V75" s="6" t="s">
        <v>149</v>
      </c>
    </row>
    <row r="76" spans="1:22" ht="23.25" customHeight="1" x14ac:dyDescent="0.35">
      <c r="A76" s="6" t="s">
        <v>992</v>
      </c>
      <c r="B76" s="3" t="s">
        <v>993</v>
      </c>
      <c r="C76" s="3" t="s">
        <v>206</v>
      </c>
      <c r="D76" s="6" t="s">
        <v>206</v>
      </c>
      <c r="E76" s="3" t="s">
        <v>351</v>
      </c>
      <c r="F76" s="3" t="s">
        <v>909</v>
      </c>
      <c r="G76" s="6" t="s">
        <v>209</v>
      </c>
      <c r="H76" s="3" t="s">
        <v>300</v>
      </c>
      <c r="I76" s="3" t="s">
        <v>994</v>
      </c>
      <c r="J76" s="3" t="s">
        <v>995</v>
      </c>
      <c r="K76" s="3" t="s">
        <v>996</v>
      </c>
      <c r="L76" s="3" t="s">
        <v>997</v>
      </c>
      <c r="M76" s="3" t="s">
        <v>998</v>
      </c>
      <c r="N76" s="3" t="s">
        <v>243</v>
      </c>
      <c r="O76" s="3" t="s">
        <v>999</v>
      </c>
      <c r="P76" s="6" t="s">
        <v>199</v>
      </c>
      <c r="Q76" s="3" t="s">
        <v>135</v>
      </c>
      <c r="R76" s="3" t="s">
        <v>1000</v>
      </c>
      <c r="S76" s="6" t="s">
        <v>335</v>
      </c>
      <c r="T76" s="6">
        <v>3</v>
      </c>
      <c r="U76" s="6" t="s">
        <v>202</v>
      </c>
      <c r="V76" s="6" t="s">
        <v>149</v>
      </c>
    </row>
    <row r="77" spans="1:22" ht="23.25" customHeight="1" x14ac:dyDescent="0.35">
      <c r="A77" s="6" t="s">
        <v>1001</v>
      </c>
      <c r="B77" s="3" t="s">
        <v>1002</v>
      </c>
      <c r="C77" s="3" t="s">
        <v>206</v>
      </c>
      <c r="D77" s="6" t="s">
        <v>206</v>
      </c>
      <c r="E77" s="3" t="s">
        <v>351</v>
      </c>
      <c r="F77" s="3" t="s">
        <v>965</v>
      </c>
      <c r="G77" s="6" t="s">
        <v>190</v>
      </c>
      <c r="H77" s="3" t="s">
        <v>352</v>
      </c>
      <c r="I77" s="3" t="s">
        <v>1003</v>
      </c>
      <c r="J77" s="3" t="s">
        <v>1004</v>
      </c>
      <c r="K77" s="3" t="s">
        <v>1005</v>
      </c>
      <c r="L77" s="3" t="s">
        <v>1006</v>
      </c>
      <c r="M77" s="3" t="s">
        <v>1007</v>
      </c>
      <c r="N77" s="3" t="s">
        <v>420</v>
      </c>
      <c r="O77" s="3" t="s">
        <v>1008</v>
      </c>
      <c r="P77" s="6" t="s">
        <v>360</v>
      </c>
      <c r="Q77" s="3" t="s">
        <v>135</v>
      </c>
      <c r="R77" s="3" t="s">
        <v>352</v>
      </c>
      <c r="S77" s="6" t="s">
        <v>335</v>
      </c>
      <c r="T77" s="6">
        <v>3</v>
      </c>
      <c r="U77" s="6" t="s">
        <v>202</v>
      </c>
      <c r="V77" s="6" t="s">
        <v>149</v>
      </c>
    </row>
    <row r="78" spans="1:22" ht="23.25" customHeight="1" x14ac:dyDescent="0.35">
      <c r="A78" s="6" t="s">
        <v>1009</v>
      </c>
      <c r="B78" s="3" t="s">
        <v>1010</v>
      </c>
      <c r="C78" s="3" t="s">
        <v>206</v>
      </c>
      <c r="D78" s="6" t="s">
        <v>206</v>
      </c>
      <c r="E78" s="3" t="s">
        <v>351</v>
      </c>
      <c r="F78" s="3" t="s">
        <v>909</v>
      </c>
      <c r="G78" s="6" t="s">
        <v>209</v>
      </c>
      <c r="H78" s="3" t="s">
        <v>300</v>
      </c>
      <c r="I78" s="3" t="s">
        <v>1011</v>
      </c>
      <c r="J78" s="3" t="s">
        <v>1012</v>
      </c>
      <c r="K78" s="3" t="s">
        <v>1013</v>
      </c>
      <c r="L78" s="3" t="s">
        <v>1014</v>
      </c>
      <c r="M78" s="3" t="s">
        <v>1015</v>
      </c>
      <c r="N78" s="3" t="s">
        <v>915</v>
      </c>
      <c r="O78" s="3" t="s">
        <v>1016</v>
      </c>
      <c r="P78" s="6" t="s">
        <v>199</v>
      </c>
      <c r="Q78" s="3" t="s">
        <v>135</v>
      </c>
      <c r="R78" s="3" t="s">
        <v>300</v>
      </c>
      <c r="S78" s="6" t="s">
        <v>335</v>
      </c>
      <c r="T78" s="6">
        <v>3</v>
      </c>
      <c r="U78" s="6" t="s">
        <v>202</v>
      </c>
      <c r="V78" s="6" t="s">
        <v>149</v>
      </c>
    </row>
    <row r="79" spans="1:22" ht="23.25" customHeight="1" x14ac:dyDescent="0.35">
      <c r="A79" s="6" t="s">
        <v>1017</v>
      </c>
      <c r="B79" s="3" t="s">
        <v>1018</v>
      </c>
      <c r="C79" s="3" t="s">
        <v>206</v>
      </c>
      <c r="D79" s="6" t="s">
        <v>206</v>
      </c>
      <c r="E79" s="3" t="s">
        <v>351</v>
      </c>
      <c r="F79" s="3" t="s">
        <v>189</v>
      </c>
      <c r="G79" s="6" t="s">
        <v>190</v>
      </c>
      <c r="H79" s="3" t="s">
        <v>414</v>
      </c>
      <c r="I79" s="3" t="s">
        <v>1019</v>
      </c>
      <c r="J79" s="3" t="s">
        <v>1020</v>
      </c>
      <c r="K79" s="3" t="s">
        <v>1021</v>
      </c>
      <c r="L79" s="3" t="s">
        <v>1022</v>
      </c>
      <c r="M79" s="3" t="s">
        <v>1023</v>
      </c>
      <c r="N79" s="3" t="s">
        <v>420</v>
      </c>
      <c r="O79" s="3" t="s">
        <v>1024</v>
      </c>
      <c r="P79" s="6" t="s">
        <v>199</v>
      </c>
      <c r="Q79" s="3" t="s">
        <v>320</v>
      </c>
      <c r="R79" s="3" t="s">
        <v>414</v>
      </c>
      <c r="S79" s="6" t="s">
        <v>201</v>
      </c>
      <c r="T79" s="6">
        <v>4</v>
      </c>
      <c r="U79" s="6" t="s">
        <v>202</v>
      </c>
      <c r="V79" s="6" t="s">
        <v>149</v>
      </c>
    </row>
    <row r="80" spans="1:22" ht="23.25" customHeight="1" x14ac:dyDescent="0.35">
      <c r="A80" s="6" t="s">
        <v>1025</v>
      </c>
      <c r="B80" s="3" t="s">
        <v>1026</v>
      </c>
      <c r="C80" s="3" t="s">
        <v>1027</v>
      </c>
      <c r="D80" s="6" t="s">
        <v>206</v>
      </c>
      <c r="E80" s="3" t="s">
        <v>491</v>
      </c>
      <c r="F80" s="3" t="s">
        <v>189</v>
      </c>
      <c r="G80" s="6" t="s">
        <v>190</v>
      </c>
      <c r="H80" s="3" t="s">
        <v>414</v>
      </c>
      <c r="I80" s="3" t="s">
        <v>1028</v>
      </c>
      <c r="J80" s="3" t="s">
        <v>1029</v>
      </c>
      <c r="K80" s="3" t="s">
        <v>1030</v>
      </c>
      <c r="L80" s="3" t="s">
        <v>1031</v>
      </c>
      <c r="M80" s="3" t="s">
        <v>1032</v>
      </c>
      <c r="N80" s="3" t="s">
        <v>420</v>
      </c>
      <c r="O80" s="3" t="s">
        <v>1033</v>
      </c>
      <c r="P80" s="6" t="s">
        <v>360</v>
      </c>
      <c r="Q80" s="3" t="s">
        <v>320</v>
      </c>
      <c r="R80" s="3" t="s">
        <v>414</v>
      </c>
      <c r="S80" s="6" t="s">
        <v>335</v>
      </c>
      <c r="T80" s="6">
        <v>3</v>
      </c>
      <c r="U80" s="6" t="s">
        <v>202</v>
      </c>
      <c r="V80" s="6" t="s">
        <v>149</v>
      </c>
    </row>
    <row r="81" spans="1:22" ht="23.25" customHeight="1" x14ac:dyDescent="0.35">
      <c r="A81" s="6" t="s">
        <v>1034</v>
      </c>
      <c r="B81" s="3" t="s">
        <v>1035</v>
      </c>
      <c r="C81" s="3" t="s">
        <v>1036</v>
      </c>
      <c r="D81" s="6" t="s">
        <v>235</v>
      </c>
      <c r="E81" s="3" t="s">
        <v>1037</v>
      </c>
      <c r="F81" s="3" t="s">
        <v>189</v>
      </c>
      <c r="G81" s="6" t="s">
        <v>190</v>
      </c>
      <c r="H81" s="3" t="s">
        <v>237</v>
      </c>
      <c r="I81" s="3" t="s">
        <v>1038</v>
      </c>
      <c r="J81" s="3" t="s">
        <v>1039</v>
      </c>
      <c r="K81" s="3" t="s">
        <v>1040</v>
      </c>
      <c r="L81" s="3" t="s">
        <v>1041</v>
      </c>
      <c r="M81" s="3" t="s">
        <v>1042</v>
      </c>
      <c r="N81" s="3" t="s">
        <v>420</v>
      </c>
      <c r="O81" s="3" t="s">
        <v>1043</v>
      </c>
      <c r="P81" s="6" t="s">
        <v>199</v>
      </c>
      <c r="Q81" s="3" t="s">
        <v>320</v>
      </c>
      <c r="R81" s="3" t="s">
        <v>1044</v>
      </c>
      <c r="S81" s="6" t="s">
        <v>335</v>
      </c>
      <c r="T81" s="6">
        <v>4</v>
      </c>
      <c r="U81" s="6" t="s">
        <v>202</v>
      </c>
      <c r="V81" s="6" t="s">
        <v>149</v>
      </c>
    </row>
    <row r="82" spans="1:22" ht="23.25" customHeight="1" x14ac:dyDescent="0.35">
      <c r="A82" s="6" t="s">
        <v>1045</v>
      </c>
      <c r="B82" s="3" t="s">
        <v>1046</v>
      </c>
      <c r="C82" s="3" t="s">
        <v>1047</v>
      </c>
      <c r="D82" s="6" t="s">
        <v>235</v>
      </c>
      <c r="E82" s="3" t="s">
        <v>413</v>
      </c>
      <c r="F82" s="3" t="s">
        <v>208</v>
      </c>
      <c r="G82" s="6" t="s">
        <v>209</v>
      </c>
      <c r="H82" s="3" t="s">
        <v>237</v>
      </c>
      <c r="I82" s="3" t="s">
        <v>1048</v>
      </c>
      <c r="J82" s="3" t="s">
        <v>1049</v>
      </c>
      <c r="K82" s="3" t="s">
        <v>1040</v>
      </c>
      <c r="L82" s="3" t="s">
        <v>1050</v>
      </c>
      <c r="M82" s="3" t="s">
        <v>1051</v>
      </c>
      <c r="N82" s="3" t="s">
        <v>408</v>
      </c>
      <c r="O82" s="3" t="s">
        <v>1052</v>
      </c>
      <c r="P82" s="6" t="s">
        <v>199</v>
      </c>
      <c r="Q82" s="3" t="s">
        <v>320</v>
      </c>
      <c r="R82" s="3" t="s">
        <v>1053</v>
      </c>
      <c r="S82" s="6" t="s">
        <v>335</v>
      </c>
      <c r="T82" s="6">
        <v>3</v>
      </c>
      <c r="U82" s="6" t="s">
        <v>202</v>
      </c>
      <c r="V82" s="6" t="s">
        <v>149</v>
      </c>
    </row>
    <row r="83" spans="1:22" ht="15" customHeight="1" x14ac:dyDescent="0.35">
      <c r="A83" s="6" t="s">
        <v>1054</v>
      </c>
      <c r="B83" s="3" t="s">
        <v>1055</v>
      </c>
      <c r="C83" s="3" t="s">
        <v>206</v>
      </c>
      <c r="D83" s="6" t="s">
        <v>206</v>
      </c>
      <c r="E83" s="3" t="s">
        <v>351</v>
      </c>
      <c r="F83" s="3" t="s">
        <v>189</v>
      </c>
      <c r="G83" s="6" t="s">
        <v>190</v>
      </c>
      <c r="H83" s="3" t="s">
        <v>414</v>
      </c>
      <c r="I83" s="3" t="s">
        <v>1056</v>
      </c>
      <c r="J83" s="3" t="s">
        <v>1057</v>
      </c>
      <c r="K83" s="3" t="s">
        <v>1021</v>
      </c>
      <c r="L83" s="3" t="s">
        <v>1058</v>
      </c>
      <c r="M83" s="3" t="s">
        <v>1059</v>
      </c>
      <c r="N83" s="3" t="s">
        <v>420</v>
      </c>
      <c r="O83" s="3" t="s">
        <v>1060</v>
      </c>
      <c r="P83" s="6" t="s">
        <v>360</v>
      </c>
      <c r="Q83" s="3" t="s">
        <v>320</v>
      </c>
      <c r="R83" s="3" t="s">
        <v>1061</v>
      </c>
      <c r="S83" s="6" t="s">
        <v>335</v>
      </c>
      <c r="T83" s="6">
        <v>3</v>
      </c>
      <c r="U83" s="6" t="s">
        <v>452</v>
      </c>
      <c r="V83" s="6" t="s">
        <v>149</v>
      </c>
    </row>
    <row r="84" spans="1:22" ht="23.25" customHeight="1" x14ac:dyDescent="0.35">
      <c r="A84" s="6" t="s">
        <v>1062</v>
      </c>
      <c r="B84" s="3" t="s">
        <v>1063</v>
      </c>
      <c r="C84" s="3" t="s">
        <v>206</v>
      </c>
      <c r="D84" s="6" t="s">
        <v>206</v>
      </c>
      <c r="E84" s="3" t="s">
        <v>351</v>
      </c>
      <c r="F84" s="3" t="s">
        <v>189</v>
      </c>
      <c r="G84" s="6" t="s">
        <v>190</v>
      </c>
      <c r="H84" s="3" t="s">
        <v>414</v>
      </c>
      <c r="I84" s="3" t="s">
        <v>1064</v>
      </c>
      <c r="J84" s="3" t="s">
        <v>1065</v>
      </c>
      <c r="K84" s="3" t="s">
        <v>1040</v>
      </c>
      <c r="L84" s="3" t="s">
        <v>1066</v>
      </c>
      <c r="M84" s="3" t="s">
        <v>1067</v>
      </c>
      <c r="N84" s="3" t="s">
        <v>420</v>
      </c>
      <c r="O84" s="3" t="s">
        <v>1068</v>
      </c>
      <c r="P84" s="6" t="s">
        <v>360</v>
      </c>
      <c r="Q84" s="3" t="s">
        <v>320</v>
      </c>
      <c r="R84" s="3" t="s">
        <v>1069</v>
      </c>
      <c r="S84" s="6" t="s">
        <v>335</v>
      </c>
      <c r="T84" s="6">
        <v>3</v>
      </c>
      <c r="U84" s="6" t="s">
        <v>202</v>
      </c>
      <c r="V84" s="6" t="s">
        <v>149</v>
      </c>
    </row>
    <row r="85" spans="1:22" ht="23.25" customHeight="1" x14ac:dyDescent="0.35">
      <c r="A85" s="6" t="s">
        <v>1070</v>
      </c>
      <c r="B85" s="3" t="s">
        <v>1071</v>
      </c>
      <c r="C85" s="3" t="s">
        <v>1072</v>
      </c>
      <c r="D85" s="6" t="s">
        <v>235</v>
      </c>
      <c r="E85" s="3" t="s">
        <v>413</v>
      </c>
      <c r="F85" s="3" t="s">
        <v>189</v>
      </c>
      <c r="G85" s="6" t="s">
        <v>190</v>
      </c>
      <c r="H85" s="3" t="s">
        <v>237</v>
      </c>
      <c r="I85" s="3" t="s">
        <v>1073</v>
      </c>
      <c r="J85" s="3" t="s">
        <v>1074</v>
      </c>
      <c r="K85" s="3" t="s">
        <v>1075</v>
      </c>
      <c r="L85" s="3" t="s">
        <v>1076</v>
      </c>
      <c r="M85" s="3" t="s">
        <v>1077</v>
      </c>
      <c r="N85" s="3" t="s">
        <v>358</v>
      </c>
      <c r="O85" s="3" t="s">
        <v>1078</v>
      </c>
      <c r="P85" s="6" t="s">
        <v>199</v>
      </c>
      <c r="Q85" s="3" t="s">
        <v>135</v>
      </c>
      <c r="R85" s="3" t="s">
        <v>1079</v>
      </c>
      <c r="S85" s="6" t="s">
        <v>335</v>
      </c>
      <c r="T85" s="6">
        <v>4</v>
      </c>
      <c r="U85" s="6" t="s">
        <v>202</v>
      </c>
      <c r="V85" s="6" t="s">
        <v>149</v>
      </c>
    </row>
    <row r="86" spans="1:22" ht="23.25" customHeight="1" x14ac:dyDescent="0.35">
      <c r="A86" s="6" t="s">
        <v>1080</v>
      </c>
      <c r="B86" s="3" t="s">
        <v>1081</v>
      </c>
      <c r="C86" s="3" t="s">
        <v>206</v>
      </c>
      <c r="D86" s="6" t="s">
        <v>206</v>
      </c>
      <c r="E86" s="3" t="s">
        <v>351</v>
      </c>
      <c r="F86" s="3" t="s">
        <v>189</v>
      </c>
      <c r="G86" s="6" t="s">
        <v>190</v>
      </c>
      <c r="H86" s="3" t="s">
        <v>300</v>
      </c>
      <c r="I86" s="3" t="s">
        <v>1082</v>
      </c>
      <c r="J86" s="3" t="s">
        <v>1083</v>
      </c>
      <c r="K86" s="3" t="s">
        <v>1084</v>
      </c>
      <c r="L86" s="3" t="s">
        <v>1085</v>
      </c>
      <c r="M86" s="3" t="s">
        <v>1086</v>
      </c>
      <c r="N86" s="3" t="s">
        <v>358</v>
      </c>
      <c r="O86" s="3" t="s">
        <v>1087</v>
      </c>
      <c r="P86" s="6" t="s">
        <v>199</v>
      </c>
      <c r="Q86" s="3" t="s">
        <v>135</v>
      </c>
      <c r="R86" s="3" t="s">
        <v>1088</v>
      </c>
      <c r="S86" s="6" t="s">
        <v>335</v>
      </c>
      <c r="T86" s="6">
        <v>3</v>
      </c>
      <c r="U86" s="6" t="s">
        <v>202</v>
      </c>
      <c r="V86" s="6" t="s">
        <v>149</v>
      </c>
    </row>
    <row r="87" spans="1:22" ht="23.25" customHeight="1" x14ac:dyDescent="0.35">
      <c r="A87" s="6" t="s">
        <v>1089</v>
      </c>
      <c r="B87" s="3" t="s">
        <v>1090</v>
      </c>
      <c r="C87" s="3" t="s">
        <v>206</v>
      </c>
      <c r="D87" s="6" t="s">
        <v>206</v>
      </c>
      <c r="E87" s="3" t="s">
        <v>1091</v>
      </c>
      <c r="F87" s="3" t="s">
        <v>189</v>
      </c>
      <c r="G87" s="6" t="s">
        <v>190</v>
      </c>
      <c r="H87" s="3" t="s">
        <v>352</v>
      </c>
      <c r="I87" s="3" t="s">
        <v>1092</v>
      </c>
      <c r="J87" s="3" t="s">
        <v>1093</v>
      </c>
      <c r="K87" s="3" t="s">
        <v>1094</v>
      </c>
      <c r="L87" s="3" t="s">
        <v>1095</v>
      </c>
      <c r="M87" s="3" t="s">
        <v>1096</v>
      </c>
      <c r="N87" s="3" t="s">
        <v>420</v>
      </c>
      <c r="O87" s="3" t="s">
        <v>1097</v>
      </c>
      <c r="P87" s="6" t="s">
        <v>509</v>
      </c>
      <c r="Q87" s="3" t="s">
        <v>135</v>
      </c>
      <c r="R87" s="3" t="s">
        <v>1098</v>
      </c>
      <c r="S87" s="6" t="s">
        <v>335</v>
      </c>
      <c r="T87" s="6">
        <v>3</v>
      </c>
      <c r="U87" s="6" t="s">
        <v>202</v>
      </c>
      <c r="V87" s="6" t="s">
        <v>149</v>
      </c>
    </row>
    <row r="88" spans="1:22" ht="23.25" customHeight="1" x14ac:dyDescent="0.35">
      <c r="A88" s="6" t="s">
        <v>1099</v>
      </c>
      <c r="B88" s="3" t="s">
        <v>1100</v>
      </c>
      <c r="C88" s="3" t="s">
        <v>206</v>
      </c>
      <c r="D88" s="6" t="s">
        <v>206</v>
      </c>
      <c r="E88" s="3" t="s">
        <v>351</v>
      </c>
      <c r="F88" s="3" t="s">
        <v>189</v>
      </c>
      <c r="G88" s="6" t="s">
        <v>190</v>
      </c>
      <c r="H88" s="3" t="s">
        <v>352</v>
      </c>
      <c r="I88" s="3" t="s">
        <v>1101</v>
      </c>
      <c r="J88" s="3" t="s">
        <v>1102</v>
      </c>
      <c r="K88" s="3" t="s">
        <v>1103</v>
      </c>
      <c r="L88" s="3" t="s">
        <v>1104</v>
      </c>
      <c r="M88" s="3" t="s">
        <v>1105</v>
      </c>
      <c r="N88" s="3" t="s">
        <v>358</v>
      </c>
      <c r="O88" s="3" t="s">
        <v>1106</v>
      </c>
      <c r="P88" s="6" t="s">
        <v>199</v>
      </c>
      <c r="Q88" s="3" t="s">
        <v>135</v>
      </c>
      <c r="R88" s="3" t="s">
        <v>352</v>
      </c>
      <c r="S88" s="6" t="s">
        <v>335</v>
      </c>
      <c r="T88" s="6">
        <v>4</v>
      </c>
      <c r="U88" s="6" t="s">
        <v>202</v>
      </c>
      <c r="V88" s="6" t="s">
        <v>149</v>
      </c>
    </row>
    <row r="89" spans="1:22" ht="23.25" customHeight="1" x14ac:dyDescent="0.35">
      <c r="A89" s="6" t="s">
        <v>1107</v>
      </c>
      <c r="B89" s="3" t="s">
        <v>1108</v>
      </c>
      <c r="C89" s="3" t="s">
        <v>206</v>
      </c>
      <c r="D89" s="6" t="s">
        <v>206</v>
      </c>
      <c r="E89" s="3" t="s">
        <v>1109</v>
      </c>
      <c r="F89" s="3" t="s">
        <v>189</v>
      </c>
      <c r="G89" s="6" t="s">
        <v>190</v>
      </c>
      <c r="H89" s="3" t="s">
        <v>352</v>
      </c>
      <c r="I89" s="3" t="s">
        <v>1110</v>
      </c>
      <c r="J89" s="3" t="s">
        <v>1111</v>
      </c>
      <c r="K89" s="3" t="s">
        <v>1112</v>
      </c>
      <c r="L89" s="3" t="s">
        <v>1113</v>
      </c>
      <c r="M89" s="3" t="s">
        <v>1114</v>
      </c>
      <c r="N89" s="3" t="s">
        <v>358</v>
      </c>
      <c r="O89" s="3" t="s">
        <v>1115</v>
      </c>
      <c r="P89" s="6" t="s">
        <v>199</v>
      </c>
      <c r="Q89" s="3" t="s">
        <v>135</v>
      </c>
      <c r="R89" s="3" t="s">
        <v>1116</v>
      </c>
      <c r="S89" s="6" t="s">
        <v>335</v>
      </c>
      <c r="T89" s="6">
        <v>4</v>
      </c>
      <c r="U89" s="6" t="s">
        <v>202</v>
      </c>
      <c r="V89" s="6" t="s">
        <v>149</v>
      </c>
    </row>
    <row r="90" spans="1:22" ht="23.25" customHeight="1" x14ac:dyDescent="0.35">
      <c r="A90" s="6" t="s">
        <v>1117</v>
      </c>
      <c r="B90" s="3" t="s">
        <v>1118</v>
      </c>
      <c r="C90" s="3" t="s">
        <v>206</v>
      </c>
      <c r="D90" s="6" t="s">
        <v>206</v>
      </c>
      <c r="E90" s="3" t="s">
        <v>351</v>
      </c>
      <c r="F90" s="3" t="s">
        <v>189</v>
      </c>
      <c r="G90" s="6" t="s">
        <v>190</v>
      </c>
      <c r="H90" s="3" t="s">
        <v>352</v>
      </c>
      <c r="I90" s="3" t="s">
        <v>1119</v>
      </c>
      <c r="J90" s="3" t="s">
        <v>1120</v>
      </c>
      <c r="K90" s="3" t="s">
        <v>1121</v>
      </c>
      <c r="L90" s="3" t="s">
        <v>1122</v>
      </c>
      <c r="M90" s="3" t="s">
        <v>1096</v>
      </c>
      <c r="N90" s="3" t="s">
        <v>358</v>
      </c>
      <c r="O90" s="3" t="s">
        <v>1123</v>
      </c>
      <c r="P90" s="6" t="s">
        <v>360</v>
      </c>
      <c r="Q90" s="3" t="s">
        <v>135</v>
      </c>
      <c r="R90" s="3" t="s">
        <v>352</v>
      </c>
      <c r="S90" s="6" t="s">
        <v>202</v>
      </c>
      <c r="T90" s="6">
        <v>3</v>
      </c>
      <c r="U90" s="6" t="s">
        <v>452</v>
      </c>
      <c r="V90" s="6" t="s">
        <v>149</v>
      </c>
    </row>
    <row r="91" spans="1:22" ht="23.25" customHeight="1" x14ac:dyDescent="0.35">
      <c r="A91" s="6" t="s">
        <v>1124</v>
      </c>
      <c r="B91" s="3" t="s">
        <v>1125</v>
      </c>
      <c r="C91" s="3" t="s">
        <v>206</v>
      </c>
      <c r="D91" s="6" t="s">
        <v>206</v>
      </c>
      <c r="E91" s="3" t="s">
        <v>351</v>
      </c>
      <c r="F91" s="3" t="s">
        <v>527</v>
      </c>
      <c r="G91" s="6" t="s">
        <v>209</v>
      </c>
      <c r="H91" s="3" t="s">
        <v>352</v>
      </c>
      <c r="I91" s="3" t="s">
        <v>1126</v>
      </c>
      <c r="J91" s="3" t="s">
        <v>1127</v>
      </c>
      <c r="K91" s="3" t="s">
        <v>1128</v>
      </c>
      <c r="L91" s="3" t="s">
        <v>1129</v>
      </c>
      <c r="M91" s="3" t="s">
        <v>1130</v>
      </c>
      <c r="N91" s="3" t="s">
        <v>420</v>
      </c>
      <c r="O91" s="3" t="s">
        <v>1131</v>
      </c>
      <c r="P91" s="6" t="s">
        <v>360</v>
      </c>
      <c r="Q91" s="3" t="s">
        <v>135</v>
      </c>
      <c r="R91" s="3" t="s">
        <v>352</v>
      </c>
      <c r="S91" s="6" t="s">
        <v>335</v>
      </c>
      <c r="T91" s="6">
        <v>3</v>
      </c>
      <c r="U91" s="6" t="s">
        <v>202</v>
      </c>
      <c r="V91" s="6" t="s">
        <v>149</v>
      </c>
    </row>
    <row r="92" spans="1:22" ht="23.25" customHeight="1" x14ac:dyDescent="0.35">
      <c r="A92" s="6" t="s">
        <v>1132</v>
      </c>
      <c r="B92" s="3" t="s">
        <v>1133</v>
      </c>
      <c r="C92" s="3" t="s">
        <v>1134</v>
      </c>
      <c r="D92" s="6" t="s">
        <v>287</v>
      </c>
      <c r="E92" s="3" t="s">
        <v>377</v>
      </c>
      <c r="F92" s="3" t="s">
        <v>208</v>
      </c>
      <c r="G92" s="6" t="s">
        <v>209</v>
      </c>
      <c r="H92" s="3" t="s">
        <v>571</v>
      </c>
      <c r="I92" s="3" t="s">
        <v>1135</v>
      </c>
      <c r="J92" s="3" t="s">
        <v>1136</v>
      </c>
      <c r="K92" s="3" t="s">
        <v>1137</v>
      </c>
      <c r="L92" s="3" t="s">
        <v>1138</v>
      </c>
      <c r="M92" s="3" t="s">
        <v>1139</v>
      </c>
      <c r="N92" s="3" t="s">
        <v>294</v>
      </c>
      <c r="O92" s="3" t="s">
        <v>1140</v>
      </c>
      <c r="P92" s="6" t="s">
        <v>199</v>
      </c>
      <c r="Q92" s="3" t="s">
        <v>135</v>
      </c>
      <c r="R92" s="3" t="s">
        <v>555</v>
      </c>
      <c r="S92" s="6" t="s">
        <v>335</v>
      </c>
      <c r="T92" s="6">
        <v>4</v>
      </c>
      <c r="U92" s="6" t="s">
        <v>202</v>
      </c>
      <c r="V92" s="6" t="s">
        <v>149</v>
      </c>
    </row>
    <row r="93" spans="1:22" ht="23.25" customHeight="1" x14ac:dyDescent="0.35">
      <c r="A93" s="6" t="s">
        <v>1141</v>
      </c>
      <c r="B93" s="3" t="s">
        <v>1142</v>
      </c>
      <c r="C93" s="3" t="s">
        <v>1143</v>
      </c>
      <c r="D93" s="6" t="s">
        <v>287</v>
      </c>
      <c r="E93" s="3" t="s">
        <v>351</v>
      </c>
      <c r="F93" s="3" t="s">
        <v>208</v>
      </c>
      <c r="G93" s="6" t="s">
        <v>209</v>
      </c>
      <c r="H93" s="3" t="s">
        <v>237</v>
      </c>
      <c r="I93" s="3" t="s">
        <v>1144</v>
      </c>
      <c r="J93" s="3" t="s">
        <v>1145</v>
      </c>
      <c r="K93" s="3" t="s">
        <v>1146</v>
      </c>
      <c r="L93" s="3" t="s">
        <v>1147</v>
      </c>
      <c r="M93" s="3" t="s">
        <v>1148</v>
      </c>
      <c r="N93" s="3" t="s">
        <v>197</v>
      </c>
      <c r="O93" s="3" t="s">
        <v>1149</v>
      </c>
      <c r="P93" s="6" t="s">
        <v>199</v>
      </c>
      <c r="Q93" s="3" t="s">
        <v>135</v>
      </c>
      <c r="R93" s="3" t="s">
        <v>1150</v>
      </c>
      <c r="S93" s="6" t="s">
        <v>335</v>
      </c>
      <c r="T93" s="6">
        <v>4</v>
      </c>
      <c r="U93" s="6" t="s">
        <v>202</v>
      </c>
      <c r="V93" s="6" t="s">
        <v>149</v>
      </c>
    </row>
    <row r="94" spans="1:22" ht="23.25" customHeight="1" x14ac:dyDescent="0.35">
      <c r="A94" s="6" t="s">
        <v>1151</v>
      </c>
      <c r="B94" s="3" t="s">
        <v>1152</v>
      </c>
      <c r="C94" s="3" t="s">
        <v>1153</v>
      </c>
      <c r="D94" s="6" t="s">
        <v>273</v>
      </c>
      <c r="E94" s="3" t="s">
        <v>351</v>
      </c>
      <c r="F94" s="3" t="s">
        <v>189</v>
      </c>
      <c r="G94" s="6" t="s">
        <v>190</v>
      </c>
      <c r="H94" s="3" t="s">
        <v>991</v>
      </c>
      <c r="I94" s="3" t="s">
        <v>1154</v>
      </c>
      <c r="J94" s="3" t="s">
        <v>1155</v>
      </c>
      <c r="K94" s="3" t="s">
        <v>1156</v>
      </c>
      <c r="L94" s="3" t="s">
        <v>1157</v>
      </c>
      <c r="M94" s="3" t="s">
        <v>1158</v>
      </c>
      <c r="N94" s="3" t="s">
        <v>358</v>
      </c>
      <c r="O94" s="3" t="s">
        <v>1159</v>
      </c>
      <c r="P94" s="6" t="s">
        <v>199</v>
      </c>
      <c r="Q94" s="3" t="s">
        <v>135</v>
      </c>
      <c r="R94" s="3" t="s">
        <v>1160</v>
      </c>
      <c r="S94" s="6" t="s">
        <v>335</v>
      </c>
      <c r="T94" s="6">
        <v>3</v>
      </c>
      <c r="U94" s="6" t="s">
        <v>202</v>
      </c>
      <c r="V94" s="6" t="s">
        <v>149</v>
      </c>
    </row>
    <row r="95" spans="1:22" ht="23.25" customHeight="1" x14ac:dyDescent="0.35">
      <c r="A95" s="6" t="s">
        <v>1161</v>
      </c>
      <c r="B95" s="3" t="s">
        <v>1162</v>
      </c>
      <c r="C95" s="3" t="s">
        <v>206</v>
      </c>
      <c r="D95" s="6" t="s">
        <v>206</v>
      </c>
      <c r="E95" s="3" t="s">
        <v>351</v>
      </c>
      <c r="F95" s="3" t="s">
        <v>527</v>
      </c>
      <c r="G95" s="6" t="s">
        <v>209</v>
      </c>
      <c r="H95" s="3" t="s">
        <v>571</v>
      </c>
      <c r="I95" s="3" t="s">
        <v>1163</v>
      </c>
      <c r="J95" s="3" t="s">
        <v>643</v>
      </c>
      <c r="K95" s="3" t="s">
        <v>1164</v>
      </c>
      <c r="L95" s="3" t="s">
        <v>1165</v>
      </c>
      <c r="M95" s="3" t="s">
        <v>1166</v>
      </c>
      <c r="N95" s="3" t="s">
        <v>420</v>
      </c>
      <c r="O95" s="3" t="s">
        <v>1167</v>
      </c>
      <c r="P95" s="6" t="s">
        <v>509</v>
      </c>
      <c r="Q95" s="3" t="s">
        <v>135</v>
      </c>
      <c r="R95" s="3" t="s">
        <v>1168</v>
      </c>
      <c r="S95" s="6" t="s">
        <v>335</v>
      </c>
      <c r="T95" s="6">
        <v>3</v>
      </c>
      <c r="U95" s="6" t="s">
        <v>202</v>
      </c>
      <c r="V95" s="6" t="s">
        <v>149</v>
      </c>
    </row>
    <row r="96" spans="1:22" ht="23.25" customHeight="1" x14ac:dyDescent="0.35">
      <c r="A96" s="6" t="s">
        <v>1169</v>
      </c>
      <c r="B96" s="3" t="s">
        <v>1170</v>
      </c>
      <c r="C96" s="3" t="s">
        <v>206</v>
      </c>
      <c r="D96" s="6" t="s">
        <v>206</v>
      </c>
      <c r="E96" s="3" t="s">
        <v>351</v>
      </c>
      <c r="F96" s="3" t="s">
        <v>1171</v>
      </c>
      <c r="G96" s="6" t="s">
        <v>209</v>
      </c>
      <c r="H96" s="3" t="s">
        <v>352</v>
      </c>
      <c r="I96" s="3" t="s">
        <v>1172</v>
      </c>
      <c r="J96" s="3" t="s">
        <v>1173</v>
      </c>
      <c r="K96" s="3" t="s">
        <v>1174</v>
      </c>
      <c r="L96" s="3" t="s">
        <v>1175</v>
      </c>
      <c r="M96" s="3" t="s">
        <v>1176</v>
      </c>
      <c r="N96" s="3" t="s">
        <v>1177</v>
      </c>
      <c r="O96" s="3" t="s">
        <v>1178</v>
      </c>
      <c r="P96" s="6" t="s">
        <v>199</v>
      </c>
      <c r="Q96" s="3" t="s">
        <v>135</v>
      </c>
      <c r="R96" s="3" t="s">
        <v>1179</v>
      </c>
      <c r="S96" s="6" t="s">
        <v>202</v>
      </c>
      <c r="T96" s="6">
        <v>3</v>
      </c>
      <c r="U96" s="6" t="s">
        <v>452</v>
      </c>
      <c r="V96" s="6" t="s">
        <v>149</v>
      </c>
    </row>
    <row r="97" spans="1:22" ht="23.25" customHeight="1" x14ac:dyDescent="0.35">
      <c r="A97" s="6" t="s">
        <v>1180</v>
      </c>
      <c r="B97" s="3" t="s">
        <v>1181</v>
      </c>
      <c r="C97" s="3" t="s">
        <v>1182</v>
      </c>
      <c r="D97" s="6" t="s">
        <v>287</v>
      </c>
      <c r="E97" s="3" t="s">
        <v>351</v>
      </c>
      <c r="F97" s="3" t="s">
        <v>1183</v>
      </c>
      <c r="G97" s="6" t="s">
        <v>209</v>
      </c>
      <c r="H97" s="3" t="s">
        <v>1184</v>
      </c>
      <c r="I97" s="3" t="s">
        <v>1185</v>
      </c>
      <c r="J97" s="3" t="s">
        <v>1186</v>
      </c>
      <c r="K97" s="3" t="s">
        <v>1187</v>
      </c>
      <c r="L97" s="3" t="s">
        <v>1188</v>
      </c>
      <c r="M97" s="3" t="s">
        <v>1189</v>
      </c>
      <c r="N97" s="3" t="s">
        <v>384</v>
      </c>
      <c r="O97" s="3" t="s">
        <v>1190</v>
      </c>
      <c r="P97" s="6" t="s">
        <v>360</v>
      </c>
      <c r="Q97" s="3" t="s">
        <v>1191</v>
      </c>
      <c r="R97" s="3" t="s">
        <v>1192</v>
      </c>
      <c r="S97" s="6" t="s">
        <v>335</v>
      </c>
      <c r="T97" s="6">
        <v>3</v>
      </c>
      <c r="U97" s="6" t="s">
        <v>202</v>
      </c>
      <c r="V97" s="6" t="s">
        <v>149</v>
      </c>
    </row>
    <row r="98" spans="1:22" ht="23.25" customHeight="1" x14ac:dyDescent="0.35">
      <c r="A98" s="6" t="s">
        <v>1193</v>
      </c>
      <c r="B98" s="3" t="s">
        <v>1194</v>
      </c>
      <c r="C98" s="3" t="s">
        <v>206</v>
      </c>
      <c r="D98" s="6" t="s">
        <v>206</v>
      </c>
      <c r="E98" s="3" t="s">
        <v>413</v>
      </c>
      <c r="F98" s="3" t="s">
        <v>527</v>
      </c>
      <c r="G98" s="6" t="s">
        <v>209</v>
      </c>
      <c r="H98" s="3" t="s">
        <v>300</v>
      </c>
      <c r="I98" s="3" t="s">
        <v>1195</v>
      </c>
      <c r="J98" s="3" t="s">
        <v>1196</v>
      </c>
      <c r="K98" s="3" t="s">
        <v>1197</v>
      </c>
      <c r="L98" s="3" t="s">
        <v>1198</v>
      </c>
      <c r="M98" s="3" t="s">
        <v>1199</v>
      </c>
      <c r="N98" s="3" t="s">
        <v>306</v>
      </c>
      <c r="O98" s="3" t="s">
        <v>1200</v>
      </c>
      <c r="P98" s="6" t="s">
        <v>509</v>
      </c>
      <c r="Q98" s="3" t="s">
        <v>320</v>
      </c>
      <c r="R98" s="3" t="s">
        <v>300</v>
      </c>
      <c r="S98" s="6" t="s">
        <v>335</v>
      </c>
      <c r="T98" s="6">
        <v>3</v>
      </c>
      <c r="U98" s="6" t="s">
        <v>202</v>
      </c>
      <c r="V98" s="6" t="s">
        <v>149</v>
      </c>
    </row>
    <row r="99" spans="1:22" ht="23.25" customHeight="1" x14ac:dyDescent="0.35">
      <c r="A99" s="6" t="s">
        <v>1201</v>
      </c>
      <c r="B99" s="3" t="s">
        <v>1202</v>
      </c>
      <c r="C99" s="3" t="s">
        <v>1036</v>
      </c>
      <c r="D99" s="6" t="s">
        <v>235</v>
      </c>
      <c r="E99" s="3" t="s">
        <v>1203</v>
      </c>
      <c r="F99" s="3" t="s">
        <v>189</v>
      </c>
      <c r="G99" s="6" t="s">
        <v>190</v>
      </c>
      <c r="H99" s="3" t="s">
        <v>571</v>
      </c>
      <c r="I99" s="3" t="s">
        <v>1204</v>
      </c>
      <c r="J99" s="3" t="s">
        <v>1205</v>
      </c>
      <c r="K99" s="3" t="s">
        <v>1206</v>
      </c>
      <c r="L99" s="3" t="s">
        <v>1207</v>
      </c>
      <c r="M99" s="3" t="s">
        <v>1208</v>
      </c>
      <c r="N99" s="3" t="s">
        <v>420</v>
      </c>
      <c r="O99" s="3" t="s">
        <v>1209</v>
      </c>
      <c r="P99" s="6" t="s">
        <v>360</v>
      </c>
      <c r="Q99" s="3" t="s">
        <v>135</v>
      </c>
      <c r="R99" s="3" t="s">
        <v>1210</v>
      </c>
      <c r="S99" s="6" t="s">
        <v>335</v>
      </c>
      <c r="T99" s="6">
        <v>3</v>
      </c>
      <c r="U99" s="6" t="s">
        <v>452</v>
      </c>
      <c r="V99" s="6" t="s">
        <v>149</v>
      </c>
    </row>
    <row r="100" spans="1:22" ht="23.25" customHeight="1" x14ac:dyDescent="0.35">
      <c r="A100" s="6" t="s">
        <v>1211</v>
      </c>
      <c r="B100" s="3" t="s">
        <v>1212</v>
      </c>
      <c r="C100" s="3" t="s">
        <v>1036</v>
      </c>
      <c r="D100" s="6" t="s">
        <v>235</v>
      </c>
      <c r="E100" s="3" t="s">
        <v>1203</v>
      </c>
      <c r="F100" s="3" t="s">
        <v>189</v>
      </c>
      <c r="G100" s="6" t="s">
        <v>190</v>
      </c>
      <c r="H100" s="3" t="s">
        <v>1213</v>
      </c>
      <c r="I100" s="3" t="s">
        <v>1214</v>
      </c>
      <c r="J100" s="3" t="s">
        <v>1215</v>
      </c>
      <c r="K100" s="3" t="s">
        <v>1216</v>
      </c>
      <c r="L100" s="3" t="s">
        <v>1217</v>
      </c>
      <c r="M100" s="3" t="s">
        <v>1218</v>
      </c>
      <c r="N100" s="3" t="s">
        <v>358</v>
      </c>
      <c r="O100" s="3" t="s">
        <v>1219</v>
      </c>
      <c r="P100" s="6" t="s">
        <v>199</v>
      </c>
      <c r="Q100" s="3" t="s">
        <v>135</v>
      </c>
      <c r="R100" s="3" t="s">
        <v>1220</v>
      </c>
      <c r="S100" s="6" t="s">
        <v>335</v>
      </c>
      <c r="T100" s="6">
        <v>3</v>
      </c>
      <c r="U100" s="6" t="s">
        <v>452</v>
      </c>
      <c r="V100" s="6" t="s">
        <v>149</v>
      </c>
    </row>
    <row r="101" spans="1:22" ht="23.25" customHeight="1" x14ac:dyDescent="0.35">
      <c r="A101" s="6" t="s">
        <v>1221</v>
      </c>
      <c r="B101" s="3" t="s">
        <v>1222</v>
      </c>
      <c r="C101" s="3" t="s">
        <v>206</v>
      </c>
      <c r="D101" s="6" t="s">
        <v>206</v>
      </c>
      <c r="E101" s="3" t="s">
        <v>1203</v>
      </c>
      <c r="F101" s="3" t="s">
        <v>189</v>
      </c>
      <c r="G101" s="6" t="s">
        <v>190</v>
      </c>
      <c r="H101" s="3" t="s">
        <v>352</v>
      </c>
      <c r="I101" s="3" t="s">
        <v>1223</v>
      </c>
      <c r="J101" s="3" t="s">
        <v>1224</v>
      </c>
      <c r="K101" s="3" t="s">
        <v>1225</v>
      </c>
      <c r="L101" s="3" t="s">
        <v>1226</v>
      </c>
      <c r="M101" s="3" t="s">
        <v>1227</v>
      </c>
      <c r="N101" s="3" t="s">
        <v>420</v>
      </c>
      <c r="O101" s="3" t="s">
        <v>1228</v>
      </c>
      <c r="P101" s="6" t="s">
        <v>360</v>
      </c>
      <c r="Q101" s="3" t="s">
        <v>135</v>
      </c>
      <c r="R101" s="3" t="s">
        <v>1229</v>
      </c>
      <c r="S101" s="6" t="s">
        <v>335</v>
      </c>
      <c r="T101" s="6">
        <v>3</v>
      </c>
      <c r="U101" s="6" t="s">
        <v>452</v>
      </c>
      <c r="V101" s="6" t="s">
        <v>149</v>
      </c>
    </row>
    <row r="102" spans="1:22" ht="23.25" customHeight="1" x14ac:dyDescent="0.35">
      <c r="A102" s="6" t="s">
        <v>1230</v>
      </c>
      <c r="B102" s="3" t="s">
        <v>1231</v>
      </c>
      <c r="C102" s="3" t="s">
        <v>954</v>
      </c>
      <c r="D102" s="6" t="s">
        <v>235</v>
      </c>
      <c r="E102" s="3" t="s">
        <v>1232</v>
      </c>
      <c r="F102" s="3" t="s">
        <v>897</v>
      </c>
      <c r="G102" s="6" t="s">
        <v>209</v>
      </c>
      <c r="H102" s="3" t="s">
        <v>237</v>
      </c>
      <c r="I102" s="3" t="s">
        <v>1233</v>
      </c>
      <c r="J102" s="3" t="s">
        <v>1234</v>
      </c>
      <c r="K102" s="3" t="s">
        <v>1235</v>
      </c>
      <c r="L102" s="3" t="s">
        <v>1236</v>
      </c>
      <c r="M102" s="3" t="s">
        <v>1237</v>
      </c>
      <c r="N102" s="3" t="s">
        <v>577</v>
      </c>
      <c r="O102" s="3" t="s">
        <v>1238</v>
      </c>
      <c r="P102" s="6" t="s">
        <v>360</v>
      </c>
      <c r="Q102" s="3" t="s">
        <v>587</v>
      </c>
      <c r="R102" s="3" t="s">
        <v>1239</v>
      </c>
      <c r="S102" s="6" t="s">
        <v>335</v>
      </c>
      <c r="T102" s="6">
        <v>3</v>
      </c>
      <c r="U102" s="6" t="s">
        <v>202</v>
      </c>
      <c r="V102" s="6" t="s">
        <v>511</v>
      </c>
    </row>
    <row r="103" spans="1:22" ht="23.25" customHeight="1" x14ac:dyDescent="0.35">
      <c r="A103" s="6" t="s">
        <v>1240</v>
      </c>
      <c r="B103" s="3" t="s">
        <v>1241</v>
      </c>
      <c r="C103" s="3" t="s">
        <v>206</v>
      </c>
      <c r="D103" s="6" t="s">
        <v>206</v>
      </c>
      <c r="E103" s="3" t="s">
        <v>351</v>
      </c>
      <c r="F103" s="3" t="s">
        <v>674</v>
      </c>
      <c r="G103" s="6" t="s">
        <v>209</v>
      </c>
      <c r="H103" s="3" t="s">
        <v>352</v>
      </c>
      <c r="I103" s="3" t="s">
        <v>1242</v>
      </c>
      <c r="J103" s="3" t="s">
        <v>1243</v>
      </c>
      <c r="K103" s="3" t="s">
        <v>1244</v>
      </c>
      <c r="L103" s="3" t="s">
        <v>1245</v>
      </c>
      <c r="M103" s="3" t="s">
        <v>1246</v>
      </c>
      <c r="N103" s="3" t="s">
        <v>700</v>
      </c>
      <c r="O103" s="3" t="s">
        <v>1247</v>
      </c>
      <c r="P103" s="6" t="s">
        <v>360</v>
      </c>
      <c r="Q103" s="3" t="s">
        <v>803</v>
      </c>
      <c r="R103" s="3" t="s">
        <v>352</v>
      </c>
      <c r="S103" s="6" t="s">
        <v>335</v>
      </c>
      <c r="T103" s="6">
        <v>3</v>
      </c>
      <c r="U103" s="6" t="s">
        <v>202</v>
      </c>
      <c r="V103" s="6" t="s">
        <v>511</v>
      </c>
    </row>
    <row r="104" spans="1:22" ht="23.25" customHeight="1" x14ac:dyDescent="0.35">
      <c r="A104" s="6" t="s">
        <v>1248</v>
      </c>
      <c r="B104" s="3" t="s">
        <v>1249</v>
      </c>
      <c r="C104" s="3" t="s">
        <v>206</v>
      </c>
      <c r="D104" s="6" t="s">
        <v>206</v>
      </c>
      <c r="E104" s="3" t="s">
        <v>943</v>
      </c>
      <c r="F104" s="3" t="s">
        <v>965</v>
      </c>
      <c r="G104" s="6" t="s">
        <v>190</v>
      </c>
      <c r="H104" s="3" t="s">
        <v>352</v>
      </c>
      <c r="I104" s="3" t="s">
        <v>1250</v>
      </c>
      <c r="J104" s="3" t="s">
        <v>1251</v>
      </c>
      <c r="K104" s="3" t="s">
        <v>1252</v>
      </c>
      <c r="L104" s="3" t="s">
        <v>1253</v>
      </c>
      <c r="M104" s="3" t="s">
        <v>1254</v>
      </c>
      <c r="N104" s="3" t="s">
        <v>243</v>
      </c>
      <c r="O104" s="3" t="s">
        <v>1255</v>
      </c>
      <c r="P104" s="6" t="s">
        <v>199</v>
      </c>
      <c r="Q104" s="3" t="s">
        <v>135</v>
      </c>
      <c r="R104" s="3" t="s">
        <v>352</v>
      </c>
      <c r="S104" s="6" t="s">
        <v>201</v>
      </c>
      <c r="T104" s="6">
        <v>4</v>
      </c>
      <c r="U104" s="6" t="s">
        <v>202</v>
      </c>
      <c r="V104" s="6" t="s">
        <v>511</v>
      </c>
    </row>
    <row r="105" spans="1:22" ht="23.25" customHeight="1" x14ac:dyDescent="0.35">
      <c r="A105" s="6" t="s">
        <v>1256</v>
      </c>
      <c r="B105" s="3" t="s">
        <v>1257</v>
      </c>
      <c r="C105" s="3" t="s">
        <v>206</v>
      </c>
      <c r="D105" s="6" t="s">
        <v>206</v>
      </c>
      <c r="E105" s="3" t="s">
        <v>943</v>
      </c>
      <c r="F105" s="3" t="s">
        <v>965</v>
      </c>
      <c r="G105" s="6" t="s">
        <v>190</v>
      </c>
      <c r="H105" s="3" t="s">
        <v>210</v>
      </c>
      <c r="I105" s="3" t="s">
        <v>1258</v>
      </c>
      <c r="J105" s="3" t="s">
        <v>1259</v>
      </c>
      <c r="K105" s="3" t="s">
        <v>1260</v>
      </c>
      <c r="L105" s="3" t="s">
        <v>1261</v>
      </c>
      <c r="M105" s="3" t="s">
        <v>1262</v>
      </c>
      <c r="N105" s="3" t="s">
        <v>420</v>
      </c>
      <c r="O105" s="3" t="s">
        <v>862</v>
      </c>
      <c r="P105" s="6" t="s">
        <v>360</v>
      </c>
      <c r="Q105" s="3" t="s">
        <v>320</v>
      </c>
      <c r="R105" s="3" t="s">
        <v>1263</v>
      </c>
      <c r="S105" s="6" t="s">
        <v>201</v>
      </c>
      <c r="T105" s="6">
        <v>4</v>
      </c>
      <c r="U105" s="6" t="s">
        <v>202</v>
      </c>
      <c r="V105" s="6" t="s">
        <v>511</v>
      </c>
    </row>
    <row r="106" spans="1:22" ht="23.25" customHeight="1" x14ac:dyDescent="0.35">
      <c r="A106" s="6" t="s">
        <v>1264</v>
      </c>
      <c r="B106" s="3" t="s">
        <v>1265</v>
      </c>
      <c r="C106" s="3" t="s">
        <v>1266</v>
      </c>
      <c r="D106" s="6" t="s">
        <v>235</v>
      </c>
      <c r="E106" s="3" t="s">
        <v>1267</v>
      </c>
      <c r="F106" s="3" t="s">
        <v>365</v>
      </c>
      <c r="G106" s="6" t="s">
        <v>190</v>
      </c>
      <c r="H106" s="3" t="s">
        <v>237</v>
      </c>
      <c r="I106" s="3" t="s">
        <v>1268</v>
      </c>
      <c r="J106" s="3" t="s">
        <v>1269</v>
      </c>
      <c r="K106" s="3" t="s">
        <v>1270</v>
      </c>
      <c r="L106" s="3" t="s">
        <v>1271</v>
      </c>
      <c r="M106" s="3" t="s">
        <v>1272</v>
      </c>
      <c r="N106" s="3" t="s">
        <v>384</v>
      </c>
      <c r="O106" s="3" t="s">
        <v>1273</v>
      </c>
      <c r="P106" s="6" t="s">
        <v>199</v>
      </c>
      <c r="Q106" s="3" t="s">
        <v>135</v>
      </c>
      <c r="R106" s="3" t="s">
        <v>555</v>
      </c>
      <c r="S106" s="6" t="s">
        <v>201</v>
      </c>
      <c r="T106" s="6">
        <v>4</v>
      </c>
      <c r="U106" s="6" t="s">
        <v>202</v>
      </c>
      <c r="V106" s="6" t="s">
        <v>511</v>
      </c>
    </row>
    <row r="107" spans="1:22" ht="23.25" customHeight="1" x14ac:dyDescent="0.35">
      <c r="A107" s="6" t="s">
        <v>1274</v>
      </c>
      <c r="B107" s="3" t="s">
        <v>1275</v>
      </c>
      <c r="C107" s="3" t="s">
        <v>206</v>
      </c>
      <c r="D107" s="6" t="s">
        <v>206</v>
      </c>
      <c r="E107" s="3" t="s">
        <v>351</v>
      </c>
      <c r="F107" s="3" t="s">
        <v>365</v>
      </c>
      <c r="G107" s="6" t="s">
        <v>190</v>
      </c>
      <c r="H107" s="3" t="s">
        <v>352</v>
      </c>
      <c r="I107" s="3" t="s">
        <v>1276</v>
      </c>
      <c r="J107" s="3" t="s">
        <v>1277</v>
      </c>
      <c r="K107" s="3" t="s">
        <v>368</v>
      </c>
      <c r="L107" s="3" t="s">
        <v>1278</v>
      </c>
      <c r="M107" s="3" t="s">
        <v>1279</v>
      </c>
      <c r="N107" s="3" t="s">
        <v>1280</v>
      </c>
      <c r="O107" s="3" t="s">
        <v>1281</v>
      </c>
      <c r="P107" s="6" t="s">
        <v>199</v>
      </c>
      <c r="Q107" s="3" t="s">
        <v>135</v>
      </c>
      <c r="R107" s="3" t="s">
        <v>97</v>
      </c>
      <c r="S107" s="6" t="s">
        <v>201</v>
      </c>
      <c r="T107" s="6">
        <v>5</v>
      </c>
      <c r="U107" s="6" t="s">
        <v>202</v>
      </c>
      <c r="V107" s="6" t="s">
        <v>511</v>
      </c>
    </row>
    <row r="108" spans="1:22" ht="23.25" customHeight="1" x14ac:dyDescent="0.35">
      <c r="A108" s="6" t="s">
        <v>1282</v>
      </c>
      <c r="B108" s="3" t="s">
        <v>1283</v>
      </c>
      <c r="C108" s="3" t="s">
        <v>1284</v>
      </c>
      <c r="D108" s="6" t="s">
        <v>287</v>
      </c>
      <c r="E108" s="3" t="s">
        <v>351</v>
      </c>
      <c r="F108" s="3" t="s">
        <v>365</v>
      </c>
      <c r="G108" s="6" t="s">
        <v>190</v>
      </c>
      <c r="H108" s="3" t="s">
        <v>237</v>
      </c>
      <c r="I108" s="3" t="s">
        <v>1285</v>
      </c>
      <c r="J108" s="3" t="s">
        <v>1286</v>
      </c>
      <c r="K108" s="3" t="s">
        <v>1287</v>
      </c>
      <c r="L108" s="3" t="s">
        <v>1288</v>
      </c>
      <c r="M108" s="3" t="s">
        <v>1289</v>
      </c>
      <c r="N108" s="3" t="s">
        <v>1290</v>
      </c>
      <c r="O108" s="3" t="s">
        <v>1291</v>
      </c>
      <c r="P108" s="6" t="s">
        <v>199</v>
      </c>
      <c r="Q108" s="3" t="s">
        <v>135</v>
      </c>
      <c r="R108" s="3" t="s">
        <v>555</v>
      </c>
      <c r="S108" s="6" t="s">
        <v>335</v>
      </c>
      <c r="T108" s="6">
        <v>4</v>
      </c>
      <c r="U108" s="6" t="s">
        <v>202</v>
      </c>
      <c r="V108" s="6" t="s">
        <v>511</v>
      </c>
    </row>
    <row r="109" spans="1:22" ht="23.25" customHeight="1" x14ac:dyDescent="0.35">
      <c r="A109" s="6" t="s">
        <v>1292</v>
      </c>
      <c r="B109" s="3" t="s">
        <v>1293</v>
      </c>
      <c r="C109" s="3" t="s">
        <v>1294</v>
      </c>
      <c r="D109" s="6" t="s">
        <v>287</v>
      </c>
      <c r="E109" s="3" t="s">
        <v>1295</v>
      </c>
      <c r="F109" s="3" t="s">
        <v>365</v>
      </c>
      <c r="G109" s="6" t="s">
        <v>190</v>
      </c>
      <c r="H109" s="3" t="s">
        <v>571</v>
      </c>
      <c r="I109" s="3" t="s">
        <v>1296</v>
      </c>
      <c r="J109" s="3" t="s">
        <v>1297</v>
      </c>
      <c r="K109" s="3" t="s">
        <v>1298</v>
      </c>
      <c r="L109" s="3" t="s">
        <v>1299</v>
      </c>
      <c r="M109" s="3" t="s">
        <v>1300</v>
      </c>
      <c r="N109" s="3" t="s">
        <v>384</v>
      </c>
      <c r="O109" s="3" t="s">
        <v>1301</v>
      </c>
      <c r="P109" s="6" t="s">
        <v>509</v>
      </c>
      <c r="Q109" s="3" t="s">
        <v>135</v>
      </c>
      <c r="R109" s="3" t="s">
        <v>1302</v>
      </c>
      <c r="S109" s="6" t="s">
        <v>335</v>
      </c>
      <c r="T109" s="6">
        <v>3</v>
      </c>
      <c r="U109" s="6" t="s">
        <v>202</v>
      </c>
      <c r="V109" s="6" t="s">
        <v>511</v>
      </c>
    </row>
    <row r="110" spans="1:22" ht="23.25" customHeight="1" x14ac:dyDescent="0.35">
      <c r="A110" s="6" t="s">
        <v>1303</v>
      </c>
      <c r="B110" s="3" t="s">
        <v>1304</v>
      </c>
      <c r="C110" s="3" t="s">
        <v>1305</v>
      </c>
      <c r="D110" s="6" t="s">
        <v>206</v>
      </c>
      <c r="E110" s="3" t="s">
        <v>1306</v>
      </c>
      <c r="F110" s="3" t="s">
        <v>1307</v>
      </c>
      <c r="G110" s="6" t="s">
        <v>1308</v>
      </c>
      <c r="H110" s="3" t="s">
        <v>991</v>
      </c>
      <c r="I110" s="3" t="s">
        <v>1309</v>
      </c>
      <c r="J110" s="3" t="s">
        <v>1310</v>
      </c>
      <c r="K110" s="3" t="s">
        <v>1311</v>
      </c>
      <c r="L110" s="3" t="s">
        <v>1312</v>
      </c>
      <c r="M110" s="3" t="s">
        <v>1313</v>
      </c>
      <c r="N110" s="3" t="s">
        <v>216</v>
      </c>
      <c r="O110" s="3" t="s">
        <v>1314</v>
      </c>
      <c r="P110" s="6" t="s">
        <v>199</v>
      </c>
      <c r="Q110" s="3" t="s">
        <v>135</v>
      </c>
      <c r="R110" s="3" t="s">
        <v>1315</v>
      </c>
      <c r="S110" s="6" t="s">
        <v>201</v>
      </c>
      <c r="T110" s="6">
        <v>5</v>
      </c>
      <c r="U110" s="6" t="s">
        <v>202</v>
      </c>
      <c r="V110" s="6" t="s">
        <v>511</v>
      </c>
    </row>
    <row r="111" spans="1:22" ht="23.25" customHeight="1" x14ac:dyDescent="0.35">
      <c r="A111" s="6" t="s">
        <v>1316</v>
      </c>
      <c r="B111" s="3" t="s">
        <v>1317</v>
      </c>
      <c r="C111" s="3" t="s">
        <v>1318</v>
      </c>
      <c r="D111" s="6" t="s">
        <v>206</v>
      </c>
      <c r="E111" s="3" t="s">
        <v>377</v>
      </c>
      <c r="F111" s="3" t="s">
        <v>1307</v>
      </c>
      <c r="G111" s="6" t="s">
        <v>1308</v>
      </c>
      <c r="H111" s="3" t="s">
        <v>300</v>
      </c>
      <c r="I111" s="3" t="s">
        <v>1319</v>
      </c>
      <c r="J111" s="3" t="s">
        <v>1320</v>
      </c>
      <c r="K111" s="3" t="s">
        <v>1321</v>
      </c>
      <c r="L111" s="3" t="s">
        <v>1322</v>
      </c>
      <c r="M111" s="3" t="s">
        <v>1323</v>
      </c>
      <c r="N111" s="3" t="s">
        <v>1324</v>
      </c>
      <c r="O111" s="3" t="s">
        <v>1008</v>
      </c>
      <c r="P111" s="6" t="s">
        <v>199</v>
      </c>
      <c r="Q111" s="3" t="s">
        <v>135</v>
      </c>
      <c r="R111" s="3" t="s">
        <v>300</v>
      </c>
      <c r="S111" s="6" t="s">
        <v>201</v>
      </c>
      <c r="T111" s="6">
        <v>4</v>
      </c>
      <c r="U111" s="6" t="s">
        <v>202</v>
      </c>
      <c r="V111" s="6" t="s">
        <v>511</v>
      </c>
    </row>
    <row r="112" spans="1:22" ht="23.25" customHeight="1" x14ac:dyDescent="0.35">
      <c r="A112" s="6" t="s">
        <v>1325</v>
      </c>
      <c r="B112" s="3" t="s">
        <v>1326</v>
      </c>
      <c r="C112" s="3" t="s">
        <v>206</v>
      </c>
      <c r="D112" s="6" t="s">
        <v>206</v>
      </c>
      <c r="E112" s="3" t="s">
        <v>1306</v>
      </c>
      <c r="F112" s="3" t="s">
        <v>1307</v>
      </c>
      <c r="G112" s="6" t="s">
        <v>1308</v>
      </c>
      <c r="H112" s="3" t="s">
        <v>352</v>
      </c>
      <c r="I112" s="3" t="s">
        <v>1327</v>
      </c>
      <c r="J112" s="3" t="s">
        <v>1328</v>
      </c>
      <c r="K112" s="3" t="s">
        <v>1311</v>
      </c>
      <c r="L112" s="3" t="s">
        <v>1329</v>
      </c>
      <c r="M112" s="3" t="s">
        <v>1330</v>
      </c>
      <c r="N112" s="3" t="s">
        <v>420</v>
      </c>
      <c r="O112" s="3" t="s">
        <v>1123</v>
      </c>
      <c r="P112" s="6" t="s">
        <v>199</v>
      </c>
      <c r="Q112" s="3" t="s">
        <v>135</v>
      </c>
      <c r="R112" s="3" t="s">
        <v>1331</v>
      </c>
      <c r="S112" s="6" t="s">
        <v>201</v>
      </c>
      <c r="T112" s="6">
        <v>5</v>
      </c>
      <c r="U112" s="6" t="s">
        <v>202</v>
      </c>
      <c r="V112" s="6" t="s">
        <v>511</v>
      </c>
    </row>
    <row r="113" spans="1:22" ht="23.25" customHeight="1" x14ac:dyDescent="0.35">
      <c r="A113" s="6" t="s">
        <v>1332</v>
      </c>
      <c r="B113" s="3" t="s">
        <v>1333</v>
      </c>
      <c r="C113" s="3" t="s">
        <v>206</v>
      </c>
      <c r="D113" s="6" t="s">
        <v>206</v>
      </c>
      <c r="E113" s="3" t="s">
        <v>351</v>
      </c>
      <c r="F113" s="3" t="s">
        <v>559</v>
      </c>
      <c r="G113" s="6" t="s">
        <v>190</v>
      </c>
      <c r="H113" s="3" t="s">
        <v>210</v>
      </c>
      <c r="I113" s="3" t="s">
        <v>1334</v>
      </c>
      <c r="J113" s="3" t="s">
        <v>1335</v>
      </c>
      <c r="K113" s="3" t="s">
        <v>1336</v>
      </c>
      <c r="L113" s="3" t="s">
        <v>1337</v>
      </c>
      <c r="M113" s="3" t="s">
        <v>1338</v>
      </c>
      <c r="N113" s="3" t="s">
        <v>577</v>
      </c>
      <c r="O113" s="3" t="s">
        <v>1339</v>
      </c>
      <c r="P113" s="6" t="s">
        <v>199</v>
      </c>
      <c r="Q113" s="3" t="s">
        <v>135</v>
      </c>
      <c r="R113" s="3" t="s">
        <v>1340</v>
      </c>
      <c r="S113" s="6" t="s">
        <v>201</v>
      </c>
      <c r="T113" s="6">
        <v>5</v>
      </c>
      <c r="U113" s="6" t="s">
        <v>202</v>
      </c>
      <c r="V113" s="6" t="s">
        <v>511</v>
      </c>
    </row>
    <row r="114" spans="1:22" ht="23.25" customHeight="1" x14ac:dyDescent="0.35">
      <c r="A114" s="6" t="s">
        <v>1341</v>
      </c>
      <c r="B114" s="3" t="s">
        <v>1342</v>
      </c>
      <c r="C114" s="3" t="s">
        <v>206</v>
      </c>
      <c r="D114" s="6" t="s">
        <v>206</v>
      </c>
      <c r="E114" s="3" t="s">
        <v>351</v>
      </c>
      <c r="F114" s="3" t="s">
        <v>559</v>
      </c>
      <c r="G114" s="6" t="s">
        <v>190</v>
      </c>
      <c r="H114" s="3" t="s">
        <v>1277</v>
      </c>
      <c r="I114" s="3" t="s">
        <v>1343</v>
      </c>
      <c r="J114" s="3" t="s">
        <v>1344</v>
      </c>
      <c r="K114" s="3" t="s">
        <v>1345</v>
      </c>
      <c r="L114" s="3" t="s">
        <v>1346</v>
      </c>
      <c r="M114" s="3" t="s">
        <v>1347</v>
      </c>
      <c r="N114" s="3" t="s">
        <v>1348</v>
      </c>
      <c r="O114" s="3" t="s">
        <v>1349</v>
      </c>
      <c r="P114" s="6" t="s">
        <v>199</v>
      </c>
      <c r="Q114" s="3" t="s">
        <v>135</v>
      </c>
      <c r="R114" s="3" t="s">
        <v>1350</v>
      </c>
      <c r="S114" s="6" t="s">
        <v>201</v>
      </c>
      <c r="T114" s="6">
        <v>5</v>
      </c>
      <c r="U114" s="6" t="s">
        <v>202</v>
      </c>
      <c r="V114" s="6" t="s">
        <v>511</v>
      </c>
    </row>
    <row r="115" spans="1:22" ht="23.25" customHeight="1" x14ac:dyDescent="0.35">
      <c r="A115" s="6" t="s">
        <v>1351</v>
      </c>
      <c r="B115" s="3" t="s">
        <v>1352</v>
      </c>
      <c r="C115" s="3" t="s">
        <v>206</v>
      </c>
      <c r="D115" s="6" t="s">
        <v>206</v>
      </c>
      <c r="E115" s="3" t="s">
        <v>351</v>
      </c>
      <c r="F115" s="3" t="s">
        <v>559</v>
      </c>
      <c r="G115" s="6" t="s">
        <v>190</v>
      </c>
      <c r="H115" s="3" t="s">
        <v>210</v>
      </c>
      <c r="I115" s="3" t="s">
        <v>1353</v>
      </c>
      <c r="J115" s="3" t="s">
        <v>1354</v>
      </c>
      <c r="K115" s="3" t="s">
        <v>1355</v>
      </c>
      <c r="L115" s="3" t="s">
        <v>1356</v>
      </c>
      <c r="M115" s="3" t="s">
        <v>1357</v>
      </c>
      <c r="N115" s="3" t="s">
        <v>577</v>
      </c>
      <c r="O115" s="3" t="s">
        <v>1358</v>
      </c>
      <c r="P115" s="6" t="s">
        <v>360</v>
      </c>
      <c r="Q115" s="3" t="s">
        <v>135</v>
      </c>
      <c r="R115" s="3" t="s">
        <v>300</v>
      </c>
      <c r="S115" s="6" t="s">
        <v>201</v>
      </c>
      <c r="T115" s="6">
        <v>5</v>
      </c>
      <c r="U115" s="6" t="s">
        <v>202</v>
      </c>
      <c r="V115" s="6" t="s">
        <v>511</v>
      </c>
    </row>
    <row r="116" spans="1:22" ht="23.25" customHeight="1" x14ac:dyDescent="0.35">
      <c r="A116" s="6" t="s">
        <v>1359</v>
      </c>
      <c r="B116" s="3" t="s">
        <v>1360</v>
      </c>
      <c r="C116" s="3" t="s">
        <v>206</v>
      </c>
      <c r="D116" s="6" t="s">
        <v>206</v>
      </c>
      <c r="E116" s="3" t="s">
        <v>351</v>
      </c>
      <c r="F116" s="3" t="s">
        <v>559</v>
      </c>
      <c r="G116" s="6" t="s">
        <v>190</v>
      </c>
      <c r="H116" s="3" t="s">
        <v>352</v>
      </c>
      <c r="I116" s="3" t="s">
        <v>1361</v>
      </c>
      <c r="J116" s="3" t="s">
        <v>1362</v>
      </c>
      <c r="K116" s="3" t="s">
        <v>1363</v>
      </c>
      <c r="L116" s="3" t="s">
        <v>1364</v>
      </c>
      <c r="M116" s="3" t="s">
        <v>1365</v>
      </c>
      <c r="N116" s="3" t="s">
        <v>577</v>
      </c>
      <c r="O116" s="3" t="s">
        <v>1366</v>
      </c>
      <c r="P116" s="6" t="s">
        <v>199</v>
      </c>
      <c r="Q116" s="3" t="s">
        <v>135</v>
      </c>
      <c r="R116" s="3" t="s">
        <v>352</v>
      </c>
      <c r="S116" s="6" t="s">
        <v>201</v>
      </c>
      <c r="T116" s="6">
        <v>4</v>
      </c>
      <c r="U116" s="6" t="s">
        <v>202</v>
      </c>
      <c r="V116" s="6" t="s">
        <v>511</v>
      </c>
    </row>
    <row r="117" spans="1:22" ht="23.25" customHeight="1" x14ac:dyDescent="0.35">
      <c r="A117" s="6" t="s">
        <v>1367</v>
      </c>
      <c r="B117" s="3" t="s">
        <v>1368</v>
      </c>
      <c r="C117" s="3" t="s">
        <v>1369</v>
      </c>
      <c r="D117" s="6" t="s">
        <v>206</v>
      </c>
      <c r="E117" s="3" t="s">
        <v>351</v>
      </c>
      <c r="F117" s="3" t="s">
        <v>559</v>
      </c>
      <c r="G117" s="6" t="s">
        <v>190</v>
      </c>
      <c r="H117" s="3" t="s">
        <v>1370</v>
      </c>
      <c r="I117" s="3" t="s">
        <v>1371</v>
      </c>
      <c r="J117" s="3" t="s">
        <v>1372</v>
      </c>
      <c r="K117" s="3" t="s">
        <v>1371</v>
      </c>
      <c r="L117" s="3" t="s">
        <v>1373</v>
      </c>
      <c r="M117" s="3" t="s">
        <v>1374</v>
      </c>
      <c r="N117" s="3" t="s">
        <v>627</v>
      </c>
      <c r="O117" s="3" t="s">
        <v>1375</v>
      </c>
      <c r="P117" s="6" t="s">
        <v>199</v>
      </c>
      <c r="Q117" s="3" t="s">
        <v>135</v>
      </c>
      <c r="R117" s="3" t="s">
        <v>1370</v>
      </c>
      <c r="S117" s="6" t="s">
        <v>201</v>
      </c>
      <c r="T117" s="6">
        <v>4</v>
      </c>
      <c r="U117" s="6" t="s">
        <v>202</v>
      </c>
      <c r="V117" s="6" t="s">
        <v>511</v>
      </c>
    </row>
    <row r="118" spans="1:22" ht="23.25" customHeight="1" x14ac:dyDescent="0.35">
      <c r="A118" s="6" t="s">
        <v>1376</v>
      </c>
      <c r="B118" s="3" t="s">
        <v>1377</v>
      </c>
      <c r="C118" s="3" t="s">
        <v>206</v>
      </c>
      <c r="D118" s="6" t="s">
        <v>206</v>
      </c>
      <c r="E118" s="3" t="s">
        <v>351</v>
      </c>
      <c r="F118" s="3" t="s">
        <v>559</v>
      </c>
      <c r="G118" s="6" t="s">
        <v>190</v>
      </c>
      <c r="H118" s="3" t="s">
        <v>1378</v>
      </c>
      <c r="I118" s="3" t="s">
        <v>1379</v>
      </c>
      <c r="J118" s="3" t="s">
        <v>1380</v>
      </c>
      <c r="K118" s="3" t="s">
        <v>1381</v>
      </c>
      <c r="L118" s="3" t="s">
        <v>1382</v>
      </c>
      <c r="M118" s="3" t="s">
        <v>1383</v>
      </c>
      <c r="N118" s="3" t="s">
        <v>1177</v>
      </c>
      <c r="O118" s="3" t="s">
        <v>1384</v>
      </c>
      <c r="P118" s="6" t="s">
        <v>199</v>
      </c>
      <c r="Q118" s="3" t="s">
        <v>135</v>
      </c>
      <c r="R118" s="3" t="s">
        <v>1378</v>
      </c>
      <c r="S118" s="6" t="s">
        <v>201</v>
      </c>
      <c r="T118" s="6">
        <v>5</v>
      </c>
      <c r="U118" s="6" t="s">
        <v>202</v>
      </c>
      <c r="V118" s="6" t="s">
        <v>511</v>
      </c>
    </row>
    <row r="119" spans="1:22" ht="23.25" customHeight="1" x14ac:dyDescent="0.35">
      <c r="A119" s="6" t="s">
        <v>1385</v>
      </c>
      <c r="B119" s="3" t="s">
        <v>1386</v>
      </c>
      <c r="C119" s="3" t="s">
        <v>1387</v>
      </c>
      <c r="D119" s="6" t="s">
        <v>261</v>
      </c>
      <c r="E119" s="3" t="s">
        <v>558</v>
      </c>
      <c r="F119" s="3" t="s">
        <v>1388</v>
      </c>
      <c r="G119" s="6" t="s">
        <v>209</v>
      </c>
      <c r="H119" s="3" t="s">
        <v>237</v>
      </c>
      <c r="I119" s="3" t="s">
        <v>1389</v>
      </c>
      <c r="J119" s="3" t="s">
        <v>1390</v>
      </c>
      <c r="K119" s="3" t="s">
        <v>1391</v>
      </c>
      <c r="L119" s="3" t="s">
        <v>1392</v>
      </c>
      <c r="M119" s="3" t="s">
        <v>1393</v>
      </c>
      <c r="N119" s="3" t="s">
        <v>1394</v>
      </c>
      <c r="O119" s="3" t="s">
        <v>1395</v>
      </c>
      <c r="P119" s="6" t="s">
        <v>199</v>
      </c>
      <c r="Q119" s="3" t="s">
        <v>135</v>
      </c>
      <c r="R119" s="3" t="s">
        <v>1396</v>
      </c>
      <c r="S119" s="6" t="s">
        <v>335</v>
      </c>
      <c r="T119" s="6">
        <v>3</v>
      </c>
      <c r="U119" s="6" t="s">
        <v>202</v>
      </c>
      <c r="V119" s="6" t="s">
        <v>511</v>
      </c>
    </row>
    <row r="120" spans="1:22" ht="23.25" customHeight="1" x14ac:dyDescent="0.35">
      <c r="A120" s="6" t="s">
        <v>1397</v>
      </c>
      <c r="B120" s="3" t="s">
        <v>1398</v>
      </c>
      <c r="C120" s="3" t="s">
        <v>1399</v>
      </c>
      <c r="D120" s="6" t="s">
        <v>261</v>
      </c>
      <c r="E120" s="3" t="s">
        <v>558</v>
      </c>
      <c r="F120" s="3" t="s">
        <v>365</v>
      </c>
      <c r="G120" s="6" t="s">
        <v>190</v>
      </c>
      <c r="H120" s="3" t="s">
        <v>237</v>
      </c>
      <c r="I120" s="3" t="s">
        <v>1400</v>
      </c>
      <c r="J120" s="3" t="s">
        <v>1401</v>
      </c>
      <c r="K120" s="3" t="s">
        <v>1402</v>
      </c>
      <c r="L120" s="3" t="s">
        <v>1403</v>
      </c>
      <c r="M120" s="3" t="s">
        <v>1404</v>
      </c>
      <c r="N120" s="3" t="s">
        <v>1405</v>
      </c>
      <c r="O120" s="3" t="s">
        <v>1406</v>
      </c>
      <c r="P120" s="6" t="s">
        <v>199</v>
      </c>
      <c r="Q120" s="3" t="s">
        <v>135</v>
      </c>
      <c r="R120" s="3" t="s">
        <v>1407</v>
      </c>
      <c r="S120" s="6" t="s">
        <v>201</v>
      </c>
      <c r="T120" s="6">
        <v>5</v>
      </c>
      <c r="U120" s="6" t="s">
        <v>202</v>
      </c>
      <c r="V120" s="6" t="s">
        <v>511</v>
      </c>
    </row>
    <row r="121" spans="1:22" ht="23.25" customHeight="1" x14ac:dyDescent="0.35">
      <c r="A121" s="6" t="s">
        <v>1408</v>
      </c>
      <c r="B121" s="3" t="s">
        <v>1409</v>
      </c>
      <c r="C121" s="3" t="s">
        <v>206</v>
      </c>
      <c r="D121" s="6" t="s">
        <v>206</v>
      </c>
      <c r="E121" s="3" t="s">
        <v>558</v>
      </c>
      <c r="F121" s="3" t="s">
        <v>391</v>
      </c>
      <c r="G121" s="6" t="s">
        <v>209</v>
      </c>
      <c r="H121" s="3" t="s">
        <v>210</v>
      </c>
      <c r="I121" s="3" t="s">
        <v>1410</v>
      </c>
      <c r="J121" s="3" t="s">
        <v>1411</v>
      </c>
      <c r="K121" s="3" t="s">
        <v>1412</v>
      </c>
      <c r="L121" s="3" t="s">
        <v>1413</v>
      </c>
      <c r="M121" s="3" t="s">
        <v>1414</v>
      </c>
      <c r="N121" s="3" t="s">
        <v>358</v>
      </c>
      <c r="O121" s="3" t="s">
        <v>1415</v>
      </c>
      <c r="P121" s="6" t="s">
        <v>199</v>
      </c>
      <c r="Q121" s="3" t="s">
        <v>135</v>
      </c>
      <c r="R121" s="3" t="s">
        <v>1416</v>
      </c>
      <c r="S121" s="6" t="s">
        <v>201</v>
      </c>
      <c r="T121" s="6">
        <v>4</v>
      </c>
      <c r="U121" s="6" t="s">
        <v>202</v>
      </c>
      <c r="V121" s="6" t="s">
        <v>511</v>
      </c>
    </row>
    <row r="122" spans="1:22" ht="23.25" customHeight="1" x14ac:dyDescent="0.35">
      <c r="A122" s="6" t="s">
        <v>1417</v>
      </c>
      <c r="B122" s="3" t="s">
        <v>1418</v>
      </c>
      <c r="C122" s="3" t="s">
        <v>206</v>
      </c>
      <c r="D122" s="6" t="s">
        <v>206</v>
      </c>
      <c r="E122" s="3" t="s">
        <v>491</v>
      </c>
      <c r="F122" s="3" t="s">
        <v>208</v>
      </c>
      <c r="G122" s="6" t="s">
        <v>209</v>
      </c>
      <c r="H122" s="3" t="s">
        <v>352</v>
      </c>
      <c r="I122" s="3" t="s">
        <v>1419</v>
      </c>
      <c r="J122" s="3" t="s">
        <v>1420</v>
      </c>
      <c r="K122" s="3" t="s">
        <v>1421</v>
      </c>
      <c r="L122" s="3" t="s">
        <v>1422</v>
      </c>
      <c r="M122" s="3" t="s">
        <v>1423</v>
      </c>
      <c r="N122" s="3" t="s">
        <v>306</v>
      </c>
      <c r="O122" s="3" t="s">
        <v>1424</v>
      </c>
      <c r="P122" s="6" t="s">
        <v>509</v>
      </c>
      <c r="Q122" s="3" t="s">
        <v>135</v>
      </c>
      <c r="R122" s="3" t="s">
        <v>1098</v>
      </c>
      <c r="S122" s="6" t="s">
        <v>201</v>
      </c>
      <c r="T122" s="6">
        <v>5</v>
      </c>
      <c r="U122" s="6" t="s">
        <v>202</v>
      </c>
      <c r="V122" s="6" t="s">
        <v>511</v>
      </c>
    </row>
    <row r="123" spans="1:22" ht="23.25" customHeight="1" x14ac:dyDescent="0.35">
      <c r="A123" s="6" t="s">
        <v>1425</v>
      </c>
      <c r="B123" s="3" t="s">
        <v>1426</v>
      </c>
      <c r="C123" s="3" t="s">
        <v>206</v>
      </c>
      <c r="D123" s="6" t="s">
        <v>206</v>
      </c>
      <c r="E123" s="3" t="s">
        <v>491</v>
      </c>
      <c r="F123" s="3" t="s">
        <v>208</v>
      </c>
      <c r="G123" s="6" t="s">
        <v>209</v>
      </c>
      <c r="H123" s="3" t="s">
        <v>1229</v>
      </c>
      <c r="I123" s="3" t="s">
        <v>1427</v>
      </c>
      <c r="J123" s="3" t="s">
        <v>1428</v>
      </c>
      <c r="K123" s="3" t="s">
        <v>1429</v>
      </c>
      <c r="L123" s="3" t="s">
        <v>1430</v>
      </c>
      <c r="M123" s="3" t="s">
        <v>1431</v>
      </c>
      <c r="N123" s="3" t="s">
        <v>358</v>
      </c>
      <c r="O123" s="3" t="s">
        <v>1432</v>
      </c>
      <c r="P123" s="6" t="s">
        <v>509</v>
      </c>
      <c r="Q123" s="3" t="s">
        <v>135</v>
      </c>
      <c r="R123" s="3" t="s">
        <v>1229</v>
      </c>
      <c r="S123" s="6" t="s">
        <v>335</v>
      </c>
      <c r="T123" s="6">
        <v>4</v>
      </c>
      <c r="U123" s="6" t="s">
        <v>452</v>
      </c>
      <c r="V123" s="6" t="s">
        <v>511</v>
      </c>
    </row>
    <row r="124" spans="1:22" ht="23.25" customHeight="1" x14ac:dyDescent="0.35">
      <c r="A124" s="6" t="s">
        <v>1433</v>
      </c>
      <c r="B124" s="3" t="s">
        <v>1434</v>
      </c>
      <c r="C124" s="3" t="s">
        <v>206</v>
      </c>
      <c r="D124" s="6" t="s">
        <v>206</v>
      </c>
      <c r="E124" s="3" t="s">
        <v>491</v>
      </c>
      <c r="F124" s="3" t="s">
        <v>189</v>
      </c>
      <c r="G124" s="6" t="s">
        <v>190</v>
      </c>
      <c r="H124" s="3" t="s">
        <v>571</v>
      </c>
      <c r="I124" s="3" t="s">
        <v>1435</v>
      </c>
      <c r="J124" s="3" t="s">
        <v>1436</v>
      </c>
      <c r="K124" s="3" t="s">
        <v>1437</v>
      </c>
      <c r="L124" s="3" t="s">
        <v>1438</v>
      </c>
      <c r="M124" s="3" t="s">
        <v>1439</v>
      </c>
      <c r="N124" s="3" t="s">
        <v>1440</v>
      </c>
      <c r="O124" s="3" t="s">
        <v>1441</v>
      </c>
      <c r="P124" s="6" t="s">
        <v>360</v>
      </c>
      <c r="Q124" s="3" t="s">
        <v>135</v>
      </c>
      <c r="R124" s="3" t="s">
        <v>1442</v>
      </c>
      <c r="S124" s="6" t="s">
        <v>201</v>
      </c>
      <c r="T124" s="6">
        <v>5</v>
      </c>
      <c r="U124" s="6" t="s">
        <v>202</v>
      </c>
      <c r="V124" s="6" t="s">
        <v>511</v>
      </c>
    </row>
    <row r="125" spans="1:22" ht="23.25" customHeight="1" x14ac:dyDescent="0.35">
      <c r="A125" s="6" t="s">
        <v>1443</v>
      </c>
      <c r="B125" s="3" t="s">
        <v>1444</v>
      </c>
      <c r="C125" s="3" t="s">
        <v>206</v>
      </c>
      <c r="D125" s="6" t="s">
        <v>206</v>
      </c>
      <c r="E125" s="3" t="s">
        <v>491</v>
      </c>
      <c r="F125" s="3" t="s">
        <v>208</v>
      </c>
      <c r="G125" s="6" t="s">
        <v>209</v>
      </c>
      <c r="H125" s="3" t="s">
        <v>352</v>
      </c>
      <c r="I125" s="3" t="s">
        <v>1445</v>
      </c>
      <c r="J125" s="3" t="s">
        <v>300</v>
      </c>
      <c r="K125" s="3" t="s">
        <v>1446</v>
      </c>
      <c r="L125" s="3" t="s">
        <v>1447</v>
      </c>
      <c r="M125" s="3" t="s">
        <v>1448</v>
      </c>
      <c r="N125" s="3" t="s">
        <v>1324</v>
      </c>
      <c r="O125" s="3" t="s">
        <v>1008</v>
      </c>
      <c r="P125" s="6" t="s">
        <v>199</v>
      </c>
      <c r="Q125" s="3" t="s">
        <v>135</v>
      </c>
      <c r="R125" s="3" t="s">
        <v>300</v>
      </c>
      <c r="S125" s="6" t="s">
        <v>201</v>
      </c>
      <c r="T125" s="6">
        <v>4</v>
      </c>
      <c r="U125" s="6" t="s">
        <v>202</v>
      </c>
      <c r="V125" s="6" t="s">
        <v>511</v>
      </c>
    </row>
    <row r="126" spans="1:22" ht="23.25" customHeight="1" x14ac:dyDescent="0.35">
      <c r="A126" s="6" t="s">
        <v>1449</v>
      </c>
      <c r="B126" s="3" t="s">
        <v>1450</v>
      </c>
      <c r="C126" s="3" t="s">
        <v>206</v>
      </c>
      <c r="D126" s="6" t="s">
        <v>206</v>
      </c>
      <c r="E126" s="3" t="s">
        <v>351</v>
      </c>
      <c r="F126" s="3" t="s">
        <v>189</v>
      </c>
      <c r="G126" s="6" t="s">
        <v>190</v>
      </c>
      <c r="H126" s="3" t="s">
        <v>1098</v>
      </c>
      <c r="I126" s="3" t="s">
        <v>1451</v>
      </c>
      <c r="J126" s="3" t="s">
        <v>1452</v>
      </c>
      <c r="K126" s="3" t="s">
        <v>1453</v>
      </c>
      <c r="L126" s="3" t="s">
        <v>1454</v>
      </c>
      <c r="M126" s="3" t="s">
        <v>1455</v>
      </c>
      <c r="N126" s="3" t="s">
        <v>1324</v>
      </c>
      <c r="O126" s="3" t="s">
        <v>1456</v>
      </c>
      <c r="P126" s="6" t="s">
        <v>509</v>
      </c>
      <c r="Q126" s="3" t="s">
        <v>135</v>
      </c>
      <c r="R126" s="3" t="s">
        <v>1098</v>
      </c>
      <c r="S126" s="6" t="s">
        <v>201</v>
      </c>
      <c r="T126" s="6">
        <v>5</v>
      </c>
      <c r="U126" s="6" t="s">
        <v>202</v>
      </c>
      <c r="V126" s="6" t="s">
        <v>511</v>
      </c>
    </row>
    <row r="127" spans="1:22" ht="23.25" customHeight="1" x14ac:dyDescent="0.35">
      <c r="A127" s="6" t="s">
        <v>1457</v>
      </c>
      <c r="B127" s="3" t="s">
        <v>1458</v>
      </c>
      <c r="C127" s="3" t="s">
        <v>1459</v>
      </c>
      <c r="D127" s="6" t="s">
        <v>187</v>
      </c>
      <c r="E127" s="3" t="s">
        <v>351</v>
      </c>
      <c r="F127" s="3" t="s">
        <v>189</v>
      </c>
      <c r="G127" s="6" t="s">
        <v>190</v>
      </c>
      <c r="H127" s="3" t="s">
        <v>1098</v>
      </c>
      <c r="I127" s="3" t="s">
        <v>1460</v>
      </c>
      <c r="J127" s="3" t="s">
        <v>1461</v>
      </c>
      <c r="K127" s="3" t="s">
        <v>1462</v>
      </c>
      <c r="L127" s="3" t="s">
        <v>1463</v>
      </c>
      <c r="M127" s="3" t="s">
        <v>1455</v>
      </c>
      <c r="N127" s="3" t="s">
        <v>358</v>
      </c>
      <c r="O127" s="3" t="s">
        <v>1464</v>
      </c>
      <c r="P127" s="6" t="s">
        <v>199</v>
      </c>
      <c r="Q127" s="3" t="s">
        <v>135</v>
      </c>
      <c r="R127" s="3" t="s">
        <v>1098</v>
      </c>
      <c r="S127" s="6" t="s">
        <v>201</v>
      </c>
      <c r="T127" s="6">
        <v>5</v>
      </c>
      <c r="U127" s="6" t="s">
        <v>202</v>
      </c>
      <c r="V127" s="6" t="s">
        <v>511</v>
      </c>
    </row>
    <row r="128" spans="1:22" ht="23.25" customHeight="1" x14ac:dyDescent="0.35">
      <c r="A128" s="6" t="s">
        <v>1465</v>
      </c>
      <c r="B128" s="3" t="s">
        <v>1466</v>
      </c>
      <c r="C128" s="3" t="s">
        <v>206</v>
      </c>
      <c r="D128" s="6" t="s">
        <v>206</v>
      </c>
      <c r="E128" s="3" t="s">
        <v>351</v>
      </c>
      <c r="F128" s="3" t="s">
        <v>189</v>
      </c>
      <c r="G128" s="6" t="s">
        <v>190</v>
      </c>
      <c r="H128" s="3" t="s">
        <v>210</v>
      </c>
      <c r="I128" s="3" t="s">
        <v>1467</v>
      </c>
      <c r="J128" s="3" t="s">
        <v>1468</v>
      </c>
      <c r="K128" s="3" t="s">
        <v>1469</v>
      </c>
      <c r="L128" s="3" t="s">
        <v>1470</v>
      </c>
      <c r="M128" s="3" t="s">
        <v>1096</v>
      </c>
      <c r="N128" s="3" t="s">
        <v>243</v>
      </c>
      <c r="O128" s="3" t="s">
        <v>1471</v>
      </c>
      <c r="P128" s="6" t="s">
        <v>509</v>
      </c>
      <c r="Q128" s="3" t="s">
        <v>135</v>
      </c>
      <c r="R128" s="3" t="s">
        <v>300</v>
      </c>
      <c r="S128" s="6" t="s">
        <v>201</v>
      </c>
      <c r="T128" s="6">
        <v>5</v>
      </c>
      <c r="U128" s="6" t="s">
        <v>202</v>
      </c>
      <c r="V128" s="6" t="s">
        <v>511</v>
      </c>
    </row>
    <row r="129" spans="1:22" ht="23.25" customHeight="1" x14ac:dyDescent="0.35">
      <c r="A129" s="6" t="s">
        <v>1472</v>
      </c>
      <c r="B129" s="3" t="s">
        <v>1473</v>
      </c>
      <c r="C129" s="3" t="s">
        <v>206</v>
      </c>
      <c r="D129" s="6" t="s">
        <v>206</v>
      </c>
      <c r="E129" s="3" t="s">
        <v>351</v>
      </c>
      <c r="F129" s="3" t="s">
        <v>189</v>
      </c>
      <c r="G129" s="6" t="s">
        <v>190</v>
      </c>
      <c r="H129" s="3" t="s">
        <v>352</v>
      </c>
      <c r="I129" s="3" t="s">
        <v>1474</v>
      </c>
      <c r="J129" s="3" t="s">
        <v>1475</v>
      </c>
      <c r="K129" s="3" t="s">
        <v>1476</v>
      </c>
      <c r="L129" s="3" t="s">
        <v>1477</v>
      </c>
      <c r="M129" s="3" t="s">
        <v>1478</v>
      </c>
      <c r="N129" s="3" t="s">
        <v>306</v>
      </c>
      <c r="O129" s="3" t="s">
        <v>1479</v>
      </c>
      <c r="P129" s="6" t="s">
        <v>199</v>
      </c>
      <c r="Q129" s="3" t="s">
        <v>135</v>
      </c>
      <c r="R129" s="3" t="s">
        <v>1480</v>
      </c>
      <c r="S129" s="6" t="s">
        <v>201</v>
      </c>
      <c r="T129" s="6">
        <v>5</v>
      </c>
      <c r="U129" s="6" t="s">
        <v>202</v>
      </c>
      <c r="V129" s="6" t="s">
        <v>511</v>
      </c>
    </row>
    <row r="130" spans="1:22" ht="23.25" customHeight="1" x14ac:dyDescent="0.35">
      <c r="A130" s="6" t="s">
        <v>1481</v>
      </c>
      <c r="B130" s="3" t="s">
        <v>1482</v>
      </c>
      <c r="C130" s="3" t="s">
        <v>206</v>
      </c>
      <c r="D130" s="6" t="s">
        <v>206</v>
      </c>
      <c r="E130" s="3" t="s">
        <v>351</v>
      </c>
      <c r="F130" s="3" t="s">
        <v>189</v>
      </c>
      <c r="G130" s="6" t="s">
        <v>190</v>
      </c>
      <c r="H130" s="3" t="s">
        <v>352</v>
      </c>
      <c r="I130" s="3" t="s">
        <v>1483</v>
      </c>
      <c r="J130" s="3" t="s">
        <v>1475</v>
      </c>
      <c r="K130" s="3" t="s">
        <v>1483</v>
      </c>
      <c r="L130" s="3" t="s">
        <v>1484</v>
      </c>
      <c r="M130" s="3" t="s">
        <v>1485</v>
      </c>
      <c r="N130" s="3" t="s">
        <v>420</v>
      </c>
      <c r="O130" s="3" t="s">
        <v>1486</v>
      </c>
      <c r="P130" s="6" t="s">
        <v>509</v>
      </c>
      <c r="Q130" s="3" t="s">
        <v>135</v>
      </c>
      <c r="R130" s="3" t="s">
        <v>352</v>
      </c>
      <c r="S130" s="6" t="s">
        <v>201</v>
      </c>
      <c r="T130" s="6">
        <v>5</v>
      </c>
      <c r="U130" s="6" t="s">
        <v>202</v>
      </c>
      <c r="V130" s="6" t="s">
        <v>511</v>
      </c>
    </row>
    <row r="131" spans="1:22" ht="23.25" customHeight="1" x14ac:dyDescent="0.35">
      <c r="A131" s="6" t="s">
        <v>1487</v>
      </c>
      <c r="B131" s="3" t="s">
        <v>1488</v>
      </c>
      <c r="C131" s="3" t="s">
        <v>206</v>
      </c>
      <c r="D131" s="6" t="s">
        <v>206</v>
      </c>
      <c r="E131" s="3" t="s">
        <v>351</v>
      </c>
      <c r="F131" s="3" t="s">
        <v>189</v>
      </c>
      <c r="G131" s="6" t="s">
        <v>190</v>
      </c>
      <c r="H131" s="3" t="s">
        <v>352</v>
      </c>
      <c r="I131" s="3" t="s">
        <v>1489</v>
      </c>
      <c r="J131" s="3" t="s">
        <v>1490</v>
      </c>
      <c r="K131" s="3" t="s">
        <v>1040</v>
      </c>
      <c r="L131" s="3" t="s">
        <v>1491</v>
      </c>
      <c r="M131" s="3" t="s">
        <v>1492</v>
      </c>
      <c r="N131" s="3" t="s">
        <v>420</v>
      </c>
      <c r="O131" s="3" t="s">
        <v>1068</v>
      </c>
      <c r="P131" s="6" t="s">
        <v>360</v>
      </c>
      <c r="Q131" s="3" t="s">
        <v>320</v>
      </c>
      <c r="R131" s="3" t="s">
        <v>300</v>
      </c>
      <c r="S131" s="6" t="s">
        <v>201</v>
      </c>
      <c r="T131" s="6">
        <v>4</v>
      </c>
      <c r="U131" s="6" t="s">
        <v>202</v>
      </c>
      <c r="V131" s="6" t="s">
        <v>511</v>
      </c>
    </row>
    <row r="132" spans="1:22" ht="15" customHeight="1" x14ac:dyDescent="0.35">
      <c r="A132" s="6" t="s">
        <v>1493</v>
      </c>
      <c r="B132" s="3" t="s">
        <v>1494</v>
      </c>
      <c r="C132" s="3" t="s">
        <v>206</v>
      </c>
      <c r="D132" s="6" t="s">
        <v>206</v>
      </c>
      <c r="E132" s="3" t="s">
        <v>1091</v>
      </c>
      <c r="F132" s="3" t="s">
        <v>189</v>
      </c>
      <c r="G132" s="6" t="s">
        <v>190</v>
      </c>
      <c r="H132" s="3" t="s">
        <v>1098</v>
      </c>
      <c r="I132" s="3" t="s">
        <v>1495</v>
      </c>
      <c r="J132" s="3" t="s">
        <v>300</v>
      </c>
      <c r="K132" s="3" t="s">
        <v>1496</v>
      </c>
      <c r="L132" s="3" t="s">
        <v>1497</v>
      </c>
      <c r="M132" s="3" t="s">
        <v>1498</v>
      </c>
      <c r="N132" s="3" t="s">
        <v>358</v>
      </c>
      <c r="O132" s="3" t="s">
        <v>1499</v>
      </c>
      <c r="P132" s="6" t="s">
        <v>199</v>
      </c>
      <c r="Q132" s="3" t="s">
        <v>135</v>
      </c>
      <c r="R132" s="3" t="s">
        <v>1098</v>
      </c>
      <c r="S132" s="6" t="s">
        <v>201</v>
      </c>
      <c r="T132" s="6">
        <v>5</v>
      </c>
      <c r="U132" s="6" t="s">
        <v>202</v>
      </c>
      <c r="V132" s="6" t="s">
        <v>511</v>
      </c>
    </row>
    <row r="133" spans="1:22" ht="23.25" customHeight="1" x14ac:dyDescent="0.35">
      <c r="A133" s="6" t="s">
        <v>1500</v>
      </c>
      <c r="B133" s="3" t="s">
        <v>1501</v>
      </c>
      <c r="C133" s="3" t="s">
        <v>206</v>
      </c>
      <c r="D133" s="6" t="s">
        <v>206</v>
      </c>
      <c r="E133" s="3" t="s">
        <v>351</v>
      </c>
      <c r="F133" s="3" t="s">
        <v>527</v>
      </c>
      <c r="G133" s="6" t="s">
        <v>209</v>
      </c>
      <c r="H133" s="3" t="s">
        <v>352</v>
      </c>
      <c r="I133" s="3" t="s">
        <v>1502</v>
      </c>
      <c r="J133" s="3" t="s">
        <v>1503</v>
      </c>
      <c r="K133" s="3" t="s">
        <v>1504</v>
      </c>
      <c r="L133" s="3" t="s">
        <v>1505</v>
      </c>
      <c r="M133" s="3" t="s">
        <v>1506</v>
      </c>
      <c r="N133" s="3" t="s">
        <v>306</v>
      </c>
      <c r="O133" s="3" t="s">
        <v>1190</v>
      </c>
      <c r="P133" s="6" t="s">
        <v>360</v>
      </c>
      <c r="Q133" s="3" t="s">
        <v>320</v>
      </c>
      <c r="R133" s="3" t="s">
        <v>1507</v>
      </c>
      <c r="S133" s="6" t="s">
        <v>201</v>
      </c>
      <c r="T133" s="6">
        <v>5</v>
      </c>
      <c r="U133" s="6" t="s">
        <v>202</v>
      </c>
      <c r="V133" s="6" t="s">
        <v>511</v>
      </c>
    </row>
    <row r="134" spans="1:22" ht="23.25" customHeight="1" x14ac:dyDescent="0.35">
      <c r="A134" s="6" t="s">
        <v>1508</v>
      </c>
      <c r="B134" s="3" t="s">
        <v>1509</v>
      </c>
      <c r="C134" s="3" t="s">
        <v>206</v>
      </c>
      <c r="D134" s="6" t="s">
        <v>206</v>
      </c>
      <c r="E134" s="3" t="s">
        <v>351</v>
      </c>
      <c r="F134" s="3" t="s">
        <v>208</v>
      </c>
      <c r="G134" s="6" t="s">
        <v>209</v>
      </c>
      <c r="H134" s="3" t="s">
        <v>352</v>
      </c>
      <c r="I134" s="3" t="s">
        <v>1510</v>
      </c>
      <c r="J134" s="3" t="s">
        <v>1116</v>
      </c>
      <c r="K134" s="3" t="s">
        <v>996</v>
      </c>
      <c r="L134" s="3" t="s">
        <v>1511</v>
      </c>
      <c r="M134" s="3" t="s">
        <v>1512</v>
      </c>
      <c r="N134" s="3" t="s">
        <v>294</v>
      </c>
      <c r="O134" s="3" t="s">
        <v>1123</v>
      </c>
      <c r="P134" s="6" t="s">
        <v>509</v>
      </c>
      <c r="Q134" s="3" t="s">
        <v>135</v>
      </c>
      <c r="R134" s="3" t="s">
        <v>352</v>
      </c>
      <c r="S134" s="6" t="s">
        <v>201</v>
      </c>
      <c r="T134" s="6">
        <v>5</v>
      </c>
      <c r="U134" s="6" t="s">
        <v>202</v>
      </c>
      <c r="V134" s="6" t="s">
        <v>511</v>
      </c>
    </row>
    <row r="135" spans="1:22" ht="23.25" customHeight="1" x14ac:dyDescent="0.35">
      <c r="A135" s="6" t="s">
        <v>1513</v>
      </c>
      <c r="B135" s="3" t="s">
        <v>1514</v>
      </c>
      <c r="C135" s="3" t="s">
        <v>206</v>
      </c>
      <c r="D135" s="6" t="s">
        <v>206</v>
      </c>
      <c r="E135" s="3" t="s">
        <v>351</v>
      </c>
      <c r="F135" s="3" t="s">
        <v>208</v>
      </c>
      <c r="G135" s="6" t="s">
        <v>209</v>
      </c>
      <c r="H135" s="3" t="s">
        <v>210</v>
      </c>
      <c r="I135" s="3" t="s">
        <v>1515</v>
      </c>
      <c r="J135" s="3" t="s">
        <v>1516</v>
      </c>
      <c r="K135" s="3" t="s">
        <v>996</v>
      </c>
      <c r="L135" s="3" t="s">
        <v>1517</v>
      </c>
      <c r="M135" s="3" t="s">
        <v>1518</v>
      </c>
      <c r="N135" s="3" t="s">
        <v>294</v>
      </c>
      <c r="O135" s="3" t="s">
        <v>1519</v>
      </c>
      <c r="P135" s="6" t="s">
        <v>509</v>
      </c>
      <c r="Q135" s="3" t="s">
        <v>135</v>
      </c>
      <c r="R135" s="3" t="s">
        <v>1520</v>
      </c>
      <c r="S135" s="6" t="s">
        <v>201</v>
      </c>
      <c r="T135" s="6">
        <v>5</v>
      </c>
      <c r="U135" s="6" t="s">
        <v>202</v>
      </c>
      <c r="V135" s="6" t="s">
        <v>511</v>
      </c>
    </row>
    <row r="136" spans="1:22" ht="23.25" customHeight="1" x14ac:dyDescent="0.35">
      <c r="A136" s="6" t="s">
        <v>1521</v>
      </c>
      <c r="B136" s="3" t="s">
        <v>1522</v>
      </c>
      <c r="C136" s="3" t="s">
        <v>206</v>
      </c>
      <c r="D136" s="6" t="s">
        <v>206</v>
      </c>
      <c r="E136" s="3" t="s">
        <v>351</v>
      </c>
      <c r="F136" s="3" t="s">
        <v>1307</v>
      </c>
      <c r="G136" s="6" t="s">
        <v>1308</v>
      </c>
      <c r="H136" s="3" t="s">
        <v>352</v>
      </c>
      <c r="I136" s="3" t="s">
        <v>1421</v>
      </c>
      <c r="J136" s="3" t="s">
        <v>1523</v>
      </c>
      <c r="K136" s="3" t="s">
        <v>1421</v>
      </c>
      <c r="L136" s="3" t="s">
        <v>1524</v>
      </c>
      <c r="M136" s="3" t="s">
        <v>1525</v>
      </c>
      <c r="N136" s="3" t="s">
        <v>306</v>
      </c>
      <c r="O136" s="3" t="s">
        <v>1526</v>
      </c>
      <c r="P136" s="6" t="s">
        <v>199</v>
      </c>
      <c r="Q136" s="3" t="s">
        <v>135</v>
      </c>
      <c r="R136" s="3" t="s">
        <v>352</v>
      </c>
      <c r="S136" s="6" t="s">
        <v>201</v>
      </c>
      <c r="T136" s="6">
        <v>5</v>
      </c>
      <c r="U136" s="6" t="s">
        <v>202</v>
      </c>
      <c r="V136" s="6" t="s">
        <v>511</v>
      </c>
    </row>
    <row r="137" spans="1:22" ht="23.25" customHeight="1" x14ac:dyDescent="0.35">
      <c r="A137" s="6" t="s">
        <v>1527</v>
      </c>
      <c r="B137" s="3" t="s">
        <v>1528</v>
      </c>
      <c r="C137" s="3" t="s">
        <v>206</v>
      </c>
      <c r="D137" s="6" t="s">
        <v>206</v>
      </c>
      <c r="E137" s="3" t="s">
        <v>351</v>
      </c>
      <c r="F137" s="3" t="s">
        <v>527</v>
      </c>
      <c r="G137" s="6" t="s">
        <v>209</v>
      </c>
      <c r="H137" s="3" t="s">
        <v>352</v>
      </c>
      <c r="I137" s="3" t="s">
        <v>1529</v>
      </c>
      <c r="J137" s="3" t="s">
        <v>1530</v>
      </c>
      <c r="K137" s="3" t="s">
        <v>1531</v>
      </c>
      <c r="L137" s="3" t="s">
        <v>1532</v>
      </c>
      <c r="M137" s="3" t="s">
        <v>1533</v>
      </c>
      <c r="N137" s="3" t="s">
        <v>420</v>
      </c>
      <c r="O137" s="3" t="s">
        <v>1534</v>
      </c>
      <c r="P137" s="6" t="s">
        <v>509</v>
      </c>
      <c r="Q137" s="3" t="s">
        <v>135</v>
      </c>
      <c r="R137" s="3" t="s">
        <v>1098</v>
      </c>
      <c r="S137" s="6" t="s">
        <v>201</v>
      </c>
      <c r="T137" s="6">
        <v>5</v>
      </c>
      <c r="U137" s="6" t="s">
        <v>202</v>
      </c>
      <c r="V137" s="6" t="s">
        <v>511</v>
      </c>
    </row>
    <row r="138" spans="1:22" ht="23.25" customHeight="1" x14ac:dyDescent="0.35">
      <c r="A138" s="6" t="s">
        <v>1535</v>
      </c>
      <c r="B138" s="3" t="s">
        <v>1536</v>
      </c>
      <c r="C138" s="3" t="s">
        <v>206</v>
      </c>
      <c r="D138" s="6" t="s">
        <v>206</v>
      </c>
      <c r="E138" s="3" t="s">
        <v>351</v>
      </c>
      <c r="F138" s="3" t="s">
        <v>909</v>
      </c>
      <c r="G138" s="6" t="s">
        <v>209</v>
      </c>
      <c r="H138" s="3" t="s">
        <v>300</v>
      </c>
      <c r="I138" s="3" t="s">
        <v>1537</v>
      </c>
      <c r="J138" s="3" t="s">
        <v>1538</v>
      </c>
      <c r="K138" s="3" t="s">
        <v>1539</v>
      </c>
      <c r="L138" s="3" t="s">
        <v>1540</v>
      </c>
      <c r="M138" s="3" t="s">
        <v>1541</v>
      </c>
      <c r="N138" s="3" t="s">
        <v>358</v>
      </c>
      <c r="O138" s="3" t="s">
        <v>1542</v>
      </c>
      <c r="P138" s="6" t="s">
        <v>199</v>
      </c>
      <c r="Q138" s="3" t="s">
        <v>135</v>
      </c>
      <c r="R138" s="3" t="s">
        <v>1543</v>
      </c>
      <c r="S138" s="6" t="s">
        <v>201</v>
      </c>
      <c r="T138" s="6">
        <v>5</v>
      </c>
      <c r="U138" s="6" t="s">
        <v>202</v>
      </c>
      <c r="V138" s="6" t="s">
        <v>511</v>
      </c>
    </row>
    <row r="139" spans="1:22" ht="23.25" customHeight="1" x14ac:dyDescent="0.35">
      <c r="A139" s="6" t="s">
        <v>1544</v>
      </c>
      <c r="B139" s="3" t="s">
        <v>1545</v>
      </c>
      <c r="C139" s="3" t="s">
        <v>1546</v>
      </c>
      <c r="D139" s="6" t="s">
        <v>235</v>
      </c>
      <c r="E139" s="3" t="s">
        <v>943</v>
      </c>
      <c r="F139" s="3" t="s">
        <v>909</v>
      </c>
      <c r="G139" s="6" t="s">
        <v>209</v>
      </c>
      <c r="H139" s="3" t="s">
        <v>991</v>
      </c>
      <c r="I139" s="3" t="s">
        <v>1547</v>
      </c>
      <c r="J139" s="3" t="s">
        <v>1548</v>
      </c>
      <c r="K139" s="3" t="s">
        <v>1549</v>
      </c>
      <c r="L139" s="3" t="s">
        <v>1550</v>
      </c>
      <c r="M139" s="3" t="s">
        <v>1551</v>
      </c>
      <c r="N139" s="3" t="s">
        <v>306</v>
      </c>
      <c r="O139" s="3" t="s">
        <v>1552</v>
      </c>
      <c r="P139" s="6" t="s">
        <v>199</v>
      </c>
      <c r="Q139" s="3" t="s">
        <v>135</v>
      </c>
      <c r="R139" s="3" t="s">
        <v>1553</v>
      </c>
      <c r="S139" s="6" t="s">
        <v>201</v>
      </c>
      <c r="T139" s="6">
        <v>4</v>
      </c>
      <c r="U139" s="6" t="s">
        <v>202</v>
      </c>
      <c r="V139" s="6" t="s">
        <v>511</v>
      </c>
    </row>
    <row r="140" spans="1:22" ht="23.25" customHeight="1" x14ac:dyDescent="0.35">
      <c r="A140" s="6" t="s">
        <v>1554</v>
      </c>
      <c r="B140" s="3" t="s">
        <v>1555</v>
      </c>
      <c r="C140" s="3" t="s">
        <v>685</v>
      </c>
      <c r="D140" s="6" t="s">
        <v>273</v>
      </c>
      <c r="E140" s="3" t="s">
        <v>1556</v>
      </c>
      <c r="F140" s="3" t="s">
        <v>1557</v>
      </c>
      <c r="G140" s="6" t="s">
        <v>209</v>
      </c>
      <c r="H140" s="3" t="s">
        <v>352</v>
      </c>
      <c r="I140" s="3" t="s">
        <v>1558</v>
      </c>
      <c r="J140" s="3" t="s">
        <v>1559</v>
      </c>
      <c r="K140" s="3" t="s">
        <v>996</v>
      </c>
      <c r="L140" s="3" t="s">
        <v>1560</v>
      </c>
      <c r="M140" s="3" t="s">
        <v>1561</v>
      </c>
      <c r="N140" s="3" t="s">
        <v>358</v>
      </c>
      <c r="O140" s="3" t="s">
        <v>1209</v>
      </c>
      <c r="P140" s="6" t="s">
        <v>360</v>
      </c>
      <c r="Q140" s="3" t="s">
        <v>769</v>
      </c>
      <c r="R140" s="3" t="s">
        <v>1562</v>
      </c>
      <c r="S140" s="6" t="s">
        <v>202</v>
      </c>
      <c r="T140" s="6">
        <v>3</v>
      </c>
      <c r="U140" s="6" t="s">
        <v>452</v>
      </c>
      <c r="V140" s="6" t="s">
        <v>149</v>
      </c>
    </row>
    <row r="141" spans="1:22" ht="23.25" customHeight="1" x14ac:dyDescent="0.35">
      <c r="A141" s="6" t="s">
        <v>1563</v>
      </c>
      <c r="B141" s="3" t="s">
        <v>1564</v>
      </c>
      <c r="C141" s="3" t="s">
        <v>467</v>
      </c>
      <c r="D141" s="6" t="s">
        <v>273</v>
      </c>
      <c r="E141" s="3" t="s">
        <v>1565</v>
      </c>
      <c r="F141" s="3" t="s">
        <v>1557</v>
      </c>
      <c r="G141" s="6" t="s">
        <v>209</v>
      </c>
      <c r="H141" s="3" t="s">
        <v>571</v>
      </c>
      <c r="I141" s="3" t="s">
        <v>1566</v>
      </c>
      <c r="J141" s="3" t="s">
        <v>1567</v>
      </c>
      <c r="K141" s="3" t="s">
        <v>1568</v>
      </c>
      <c r="L141" s="3" t="s">
        <v>1569</v>
      </c>
      <c r="M141" s="3" t="s">
        <v>1570</v>
      </c>
      <c r="N141" s="3" t="s">
        <v>358</v>
      </c>
      <c r="O141" s="3" t="s">
        <v>1571</v>
      </c>
      <c r="P141" s="6" t="s">
        <v>199</v>
      </c>
      <c r="Q141" s="3" t="s">
        <v>1572</v>
      </c>
      <c r="R141" s="3" t="s">
        <v>1573</v>
      </c>
      <c r="S141" s="6" t="s">
        <v>335</v>
      </c>
      <c r="T141" s="6">
        <v>3</v>
      </c>
      <c r="U141" s="6" t="s">
        <v>202</v>
      </c>
      <c r="V141" s="6" t="s">
        <v>149</v>
      </c>
    </row>
  </sheetData>
  <autoFilter ref="A3:V141" xr:uid="{00000000-0009-0000-0000-000003000000}"/>
  <mergeCells count="1">
    <mergeCell ref="A1:V1"/>
  </mergeCells>
  <conditionalFormatting sqref="T4:T141">
    <cfRule type="colorScale" priority="2">
      <colorScale>
        <cfvo type="num" val="2"/>
        <cfvo type="num" val="4"/>
        <cfvo type="num" val="5"/>
        <color rgb="FFF8CBAD"/>
        <color rgb="FFFFEB9C"/>
        <color rgb="FFC6EFCE"/>
      </colorScale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9"/>
  <sheetViews>
    <sheetView topLeftCell="A46" zoomScaleNormal="100" workbookViewId="0">
      <selection sqref="A1:F1"/>
    </sheetView>
  </sheetViews>
  <sheetFormatPr defaultColWidth="8.6328125" defaultRowHeight="14.5" x14ac:dyDescent="0.35"/>
  <cols>
    <col min="1" max="1" width="24" customWidth="1"/>
    <col min="2" max="3" width="14" customWidth="1"/>
    <col min="4" max="5" width="18" customWidth="1"/>
    <col min="6" max="6" width="38" customWidth="1"/>
  </cols>
  <sheetData>
    <row r="1" spans="1:6" ht="24" customHeight="1" x14ac:dyDescent="0.45">
      <c r="A1" s="11" t="s">
        <v>1574</v>
      </c>
      <c r="B1" s="11"/>
      <c r="C1" s="11"/>
      <c r="D1" s="11"/>
      <c r="E1" s="11"/>
      <c r="F1" s="11"/>
    </row>
    <row r="3" spans="1:6" ht="15" customHeight="1" x14ac:dyDescent="0.35">
      <c r="A3" s="14" t="s">
        <v>1575</v>
      </c>
      <c r="B3" s="14"/>
      <c r="C3" s="14"/>
      <c r="D3" s="14"/>
      <c r="E3" s="14"/>
      <c r="F3" s="14"/>
    </row>
    <row r="5" spans="1:6" ht="37.5" customHeight="1" x14ac:dyDescent="0.35">
      <c r="A5" s="2" t="s">
        <v>67</v>
      </c>
      <c r="B5" s="2" t="s">
        <v>1576</v>
      </c>
      <c r="C5" s="2" t="s">
        <v>1577</v>
      </c>
      <c r="D5" s="2" t="s">
        <v>1578</v>
      </c>
      <c r="E5" s="2" t="s">
        <v>1579</v>
      </c>
      <c r="F5" s="2" t="s">
        <v>146</v>
      </c>
    </row>
    <row r="6" spans="1:6" ht="45.75" customHeight="1" x14ac:dyDescent="0.35">
      <c r="A6" s="3" t="s">
        <v>190</v>
      </c>
      <c r="B6" s="3" t="s">
        <v>1580</v>
      </c>
      <c r="C6" s="6">
        <f>COUNTIF('Extraction table'!G4:G141,"Single")</f>
        <v>78</v>
      </c>
      <c r="D6" s="7">
        <f>C6/COUNTA('Extraction table'!G4:G141)</f>
        <v>0.56521739130434778</v>
      </c>
      <c r="E6" s="3" t="s">
        <v>1581</v>
      </c>
      <c r="F6" s="3" t="s">
        <v>1582</v>
      </c>
    </row>
    <row r="7" spans="1:6" ht="45.75" customHeight="1" x14ac:dyDescent="0.35">
      <c r="A7" s="3" t="s">
        <v>209</v>
      </c>
      <c r="B7" s="3" t="s">
        <v>1583</v>
      </c>
      <c r="C7" s="6">
        <f>COUNTIF('Extraction table'!G4:G141,"Dual")</f>
        <v>56</v>
      </c>
      <c r="D7" s="7">
        <f>C7/COUNTA('Extraction table'!G4:G141)</f>
        <v>0.40579710144927539</v>
      </c>
      <c r="E7" s="3" t="s">
        <v>1584</v>
      </c>
      <c r="F7" s="3" t="s">
        <v>1585</v>
      </c>
    </row>
    <row r="8" spans="1:6" ht="45.75" customHeight="1" x14ac:dyDescent="0.35">
      <c r="A8" s="3" t="s">
        <v>1308</v>
      </c>
      <c r="B8" s="3" t="s">
        <v>1586</v>
      </c>
      <c r="C8" s="6">
        <f>COUNTIF('Extraction table'!G4:G141,"Tri")</f>
        <v>4</v>
      </c>
      <c r="D8" s="7">
        <f>C8/COUNTA('Extraction table'!G4:G141)</f>
        <v>2.8985507246376812E-2</v>
      </c>
      <c r="E8" s="3" t="s">
        <v>1587</v>
      </c>
      <c r="F8" s="3" t="s">
        <v>1588</v>
      </c>
    </row>
    <row r="9" spans="1:6" ht="23.25" customHeight="1" x14ac:dyDescent="0.35">
      <c r="A9" s="3" t="s">
        <v>1589</v>
      </c>
      <c r="B9" s="3" t="s">
        <v>1590</v>
      </c>
      <c r="C9" s="6">
        <f>COUNTIF('Extraction table'!G4:G141,"Tri+Digital")</f>
        <v>0</v>
      </c>
      <c r="D9" s="7">
        <f>C9/COUNTA('Extraction table'!G4:G141)</f>
        <v>0</v>
      </c>
      <c r="E9" s="3" t="s">
        <v>1591</v>
      </c>
      <c r="F9" s="3" t="s">
        <v>1592</v>
      </c>
    </row>
    <row r="10" spans="1:6" ht="15" customHeight="1" x14ac:dyDescent="0.35">
      <c r="A10" s="3" t="s">
        <v>1593</v>
      </c>
      <c r="B10" s="3" t="s">
        <v>151</v>
      </c>
      <c r="C10" s="6">
        <f>SUM(C6:C9)</f>
        <v>138</v>
      </c>
      <c r="D10" s="7">
        <f>SUM(D6:D9)</f>
        <v>1</v>
      </c>
      <c r="E10" s="3" t="s">
        <v>151</v>
      </c>
      <c r="F10" s="3" t="s">
        <v>151</v>
      </c>
    </row>
    <row r="12" spans="1:6" ht="15" customHeight="1" x14ac:dyDescent="0.35">
      <c r="A12" s="14" t="s">
        <v>1594</v>
      </c>
      <c r="B12" s="14"/>
      <c r="C12" s="14"/>
      <c r="D12" s="14"/>
      <c r="E12" s="14"/>
      <c r="F12" s="14"/>
    </row>
    <row r="14" spans="1:6" ht="37.5" customHeight="1" x14ac:dyDescent="0.35">
      <c r="A14" s="2" t="s">
        <v>56</v>
      </c>
      <c r="B14" s="2" t="s">
        <v>1577</v>
      </c>
      <c r="C14" s="2" t="s">
        <v>1578</v>
      </c>
      <c r="D14" s="2" t="s">
        <v>1595</v>
      </c>
      <c r="E14" s="2" t="s">
        <v>1596</v>
      </c>
      <c r="F14" s="2" t="s">
        <v>146</v>
      </c>
    </row>
    <row r="15" spans="1:6" ht="15" customHeight="1" x14ac:dyDescent="0.35">
      <c r="A15" s="3" t="s">
        <v>287</v>
      </c>
      <c r="B15" s="6">
        <f>COUNTIF('Extraction table'!D4:D141,"Africa")</f>
        <v>11</v>
      </c>
      <c r="C15" s="7">
        <f>B15/COUNTA('Extraction table'!D4:D141)</f>
        <v>7.9710144927536225E-2</v>
      </c>
      <c r="D15" s="6">
        <f>COUNTIFS('Extraction table'!D4:D141,"Africa",'Extraction table'!G4:G141,"Tri")</f>
        <v>0</v>
      </c>
      <c r="E15" s="6">
        <f>COUNTIFS('Extraction table'!D4:D141,"Africa",'Extraction table'!Q4:Q141,"&lt;&gt;None")</f>
        <v>4</v>
      </c>
      <c r="F15" s="3"/>
    </row>
    <row r="16" spans="1:6" ht="15" customHeight="1" x14ac:dyDescent="0.35">
      <c r="A16" s="3" t="s">
        <v>273</v>
      </c>
      <c r="B16" s="6">
        <f>COUNTIF('Extraction table'!D4:D141,"Asia")</f>
        <v>21</v>
      </c>
      <c r="C16" s="7">
        <f>B16/COUNTA('Extraction table'!D4:D141)</f>
        <v>0.15217391304347827</v>
      </c>
      <c r="D16" s="6">
        <f>COUNTIFS('Extraction table'!D4:D141,"Asia",'Extraction table'!G4:G141,"Tri")</f>
        <v>0</v>
      </c>
      <c r="E16" s="6">
        <f>COUNTIFS('Extraction table'!D4:D141,"Asia",'Extraction table'!Q4:Q141,"&lt;&gt;None")</f>
        <v>11</v>
      </c>
      <c r="F16" s="3"/>
    </row>
    <row r="17" spans="1:6" ht="15" customHeight="1" x14ac:dyDescent="0.35">
      <c r="A17" s="3" t="s">
        <v>235</v>
      </c>
      <c r="B17" s="6">
        <f>COUNTIF('Extraction table'!D4:D141,"Europe")</f>
        <v>21</v>
      </c>
      <c r="C17" s="7">
        <f>B17/COUNTA('Extraction table'!D4:D141)</f>
        <v>0.15217391304347827</v>
      </c>
      <c r="D17" s="6">
        <f>COUNTIFS('Extraction table'!D4:D141,"Europe",'Extraction table'!G4:G141,"Tri")</f>
        <v>0</v>
      </c>
      <c r="E17" s="6">
        <f>COUNTIFS('Extraction table'!D4:D141,"Europe",'Extraction table'!Q4:Q141,"&lt;&gt;None")</f>
        <v>4</v>
      </c>
      <c r="F17" s="3"/>
    </row>
    <row r="18" spans="1:6" ht="15" customHeight="1" x14ac:dyDescent="0.35">
      <c r="A18" s="3" t="s">
        <v>187</v>
      </c>
      <c r="B18" s="6">
        <f>COUNTIF('Extraction table'!D4:D141,"North America")</f>
        <v>3</v>
      </c>
      <c r="C18" s="7">
        <f>B18/COUNTA('Extraction table'!D4:D141)</f>
        <v>2.1739130434782608E-2</v>
      </c>
      <c r="D18" s="6">
        <f>COUNTIFS('Extraction table'!D4:D141,"North America",'Extraction table'!G4:G141,"Tri")</f>
        <v>0</v>
      </c>
      <c r="E18" s="6">
        <f>COUNTIFS('Extraction table'!D4:D141,"North America",'Extraction table'!Q4:Q141,"&lt;&gt;None")</f>
        <v>1</v>
      </c>
      <c r="F18" s="3"/>
    </row>
    <row r="19" spans="1:6" ht="15" customHeight="1" x14ac:dyDescent="0.35">
      <c r="A19" s="3" t="s">
        <v>261</v>
      </c>
      <c r="B19" s="6">
        <f>COUNTIF('Extraction table'!D4:D141,"Latin America")</f>
        <v>3</v>
      </c>
      <c r="C19" s="7">
        <f>B19/COUNTA('Extraction table'!D4:D141)</f>
        <v>2.1739130434782608E-2</v>
      </c>
      <c r="D19" s="6">
        <f>COUNTIFS('Extraction table'!D4:D141,"Latin America",'Extraction table'!G4:G141,"Tri")</f>
        <v>0</v>
      </c>
      <c r="E19" s="6">
        <f>COUNTIFS('Extraction table'!D4:D141,"Latin America",'Extraction table'!Q4:Q141,"&lt;&gt;None")</f>
        <v>0</v>
      </c>
      <c r="F19" s="3"/>
    </row>
    <row r="20" spans="1:6" ht="15" customHeight="1" x14ac:dyDescent="0.35">
      <c r="A20" s="3" t="s">
        <v>456</v>
      </c>
      <c r="B20" s="6">
        <f>COUNTIF('Extraction table'!D4:D141,"Oceania")</f>
        <v>2</v>
      </c>
      <c r="C20" s="7">
        <f>B20/COUNTA('Extraction table'!D4:D141)</f>
        <v>1.4492753623188406E-2</v>
      </c>
      <c r="D20" s="6">
        <f>COUNTIFS('Extraction table'!D4:D141,"Oceania",'Extraction table'!G4:G141,"Tri")</f>
        <v>0</v>
      </c>
      <c r="E20" s="6">
        <f>COUNTIFS('Extraction table'!D4:D141,"Oceania",'Extraction table'!Q4:Q141,"&lt;&gt;None")</f>
        <v>0</v>
      </c>
      <c r="F20" s="3"/>
    </row>
    <row r="21" spans="1:6" ht="15" customHeight="1" x14ac:dyDescent="0.35">
      <c r="A21" s="3" t="s">
        <v>206</v>
      </c>
      <c r="B21" s="6">
        <f>COUNTIF('Extraction table'!D4:D141,"Global")</f>
        <v>77</v>
      </c>
      <c r="C21" s="7">
        <f>B21/COUNTA('Extraction table'!D4:D141)</f>
        <v>0.55797101449275366</v>
      </c>
      <c r="D21" s="6">
        <f>COUNTIFS('Extraction table'!D4:D141,"Global",'Extraction table'!G4:G141,"Tri")</f>
        <v>4</v>
      </c>
      <c r="E21" s="6">
        <f>COUNTIFS('Extraction table'!D4:D141,"Global",'Extraction table'!Q4:Q141,"&lt;&gt;None")</f>
        <v>19</v>
      </c>
      <c r="F21" s="3"/>
    </row>
    <row r="22" spans="1:6" ht="15" customHeight="1" x14ac:dyDescent="0.35">
      <c r="A22" s="3" t="s">
        <v>1593</v>
      </c>
      <c r="B22" s="6">
        <f>SUM(B15:B21)</f>
        <v>138</v>
      </c>
      <c r="C22" s="7">
        <f>SUM(C15:C21)</f>
        <v>1</v>
      </c>
      <c r="D22" s="6">
        <f>SUM(D15:D21)</f>
        <v>4</v>
      </c>
      <c r="E22" s="6">
        <f>SUM(E15:E21)</f>
        <v>39</v>
      </c>
      <c r="F22" s="3"/>
    </row>
    <row r="25" spans="1:6" ht="15" customHeight="1" x14ac:dyDescent="0.35">
      <c r="A25" s="14" t="s">
        <v>1597</v>
      </c>
      <c r="B25" s="14"/>
      <c r="C25" s="14"/>
      <c r="D25" s="14"/>
      <c r="E25" s="14"/>
      <c r="F25" s="14"/>
    </row>
    <row r="27" spans="1:6" ht="37.5" customHeight="1" x14ac:dyDescent="0.35">
      <c r="A27" s="2" t="s">
        <v>60</v>
      </c>
      <c r="B27" s="2" t="s">
        <v>1577</v>
      </c>
      <c r="C27" s="2" t="s">
        <v>1578</v>
      </c>
      <c r="D27" s="2" t="s">
        <v>1598</v>
      </c>
      <c r="E27" s="2" t="s">
        <v>1599</v>
      </c>
      <c r="F27" s="2" t="s">
        <v>146</v>
      </c>
    </row>
    <row r="28" spans="1:6" ht="15" customHeight="1" x14ac:dyDescent="0.35">
      <c r="A28" s="3" t="s">
        <v>377</v>
      </c>
      <c r="B28" s="6">
        <f>COUNTIF('Extraction table'!E4:E141,"*Forestry*")</f>
        <v>18</v>
      </c>
      <c r="C28" s="7">
        <f t="shared" ref="C28:C37" si="0">B28/138</f>
        <v>0.13043478260869565</v>
      </c>
      <c r="D28" s="6">
        <f>IFERROR(MEDIAN(IF(ISNUMBER(SEARCH("Forestry",'Extraction table'!E4:E141)),'Extraction table'!T4:T141)),"")</f>
        <v>0</v>
      </c>
      <c r="E28" s="6">
        <f>SUMPRODUCT((ISNUMBER(SEARCH("Forestry",'Extraction table'!E4:E141)))*('Extraction table'!Q4:Q141&lt;&gt;"None"))</f>
        <v>2</v>
      </c>
      <c r="F28" s="3"/>
    </row>
    <row r="29" spans="1:6" ht="15" customHeight="1" x14ac:dyDescent="0.35">
      <c r="A29" s="3" t="s">
        <v>491</v>
      </c>
      <c r="B29" s="6">
        <f>COUNTIF('Extraction table'!E4:E141,"*Fisheries*")</f>
        <v>13</v>
      </c>
      <c r="C29" s="7">
        <f t="shared" si="0"/>
        <v>9.420289855072464E-2</v>
      </c>
      <c r="D29" s="6">
        <f>IFERROR(MEDIAN(IF(ISNUMBER(SEARCH("Fisheries",'Extraction table'!E4:E141)),'Extraction table'!T4:T141)),"")</f>
        <v>0</v>
      </c>
      <c r="E29" s="6">
        <f>SUMPRODUCT((ISNUMBER(SEARCH("Fisheries",'Extraction table'!E4:E141)))*('Extraction table'!Q4:Q141&lt;&gt;"None"))</f>
        <v>2</v>
      </c>
      <c r="F29" s="3"/>
    </row>
    <row r="30" spans="1:6" ht="15" customHeight="1" x14ac:dyDescent="0.35">
      <c r="A30" s="3" t="s">
        <v>413</v>
      </c>
      <c r="B30" s="6">
        <f>COUNTIF('Extraction table'!E4:E141,"*Water*")</f>
        <v>23</v>
      </c>
      <c r="C30" s="7">
        <f t="shared" si="0"/>
        <v>0.16666666666666666</v>
      </c>
      <c r="D30" s="6">
        <f>IFERROR(MEDIAN(IF(ISNUMBER(SEARCH("Water",'Extraction table'!E4:E141)),'Extraction table'!T4:T141)),"")</f>
        <v>4</v>
      </c>
      <c r="E30" s="6">
        <f>SUMPRODUCT((ISNUMBER(SEARCH("Water",'Extraction table'!E4:E141)))*('Extraction table'!Q4:Q141&lt;&gt;"None"))</f>
        <v>10</v>
      </c>
      <c r="F30" s="3"/>
    </row>
    <row r="31" spans="1:6" ht="15" customHeight="1" x14ac:dyDescent="0.35">
      <c r="A31" s="3" t="s">
        <v>558</v>
      </c>
      <c r="B31" s="6">
        <f>COUNTIF('Extraction table'!E4:E141,"*Mining*")</f>
        <v>13</v>
      </c>
      <c r="C31" s="7">
        <f t="shared" si="0"/>
        <v>9.420289855072464E-2</v>
      </c>
      <c r="D31" s="6">
        <f>IFERROR(MEDIAN(IF(ISNUMBER(SEARCH("Mining",'Extraction table'!E4:E141)),'Extraction table'!T4:T141)),"")</f>
        <v>0</v>
      </c>
      <c r="E31" s="6">
        <f>SUMPRODUCT((ISNUMBER(SEARCH("Mining",'Extraction table'!E4:E141)))*('Extraction table'!Q4:Q141&lt;&gt;"None"))</f>
        <v>5</v>
      </c>
      <c r="F31" s="3"/>
    </row>
    <row r="32" spans="1:6" ht="15" customHeight="1" x14ac:dyDescent="0.35">
      <c r="A32" s="3" t="s">
        <v>1091</v>
      </c>
      <c r="B32" s="6">
        <f>COUNTIF('Extraction table'!E4:E141,"*Agriculture*")</f>
        <v>8</v>
      </c>
      <c r="C32" s="7">
        <f t="shared" si="0"/>
        <v>5.7971014492753624E-2</v>
      </c>
      <c r="D32" s="6">
        <f>IFERROR(MEDIAN(IF(ISNUMBER(SEARCH("Agriculture",'Extraction table'!E4:E141)),'Extraction table'!T4:T141)),"")</f>
        <v>0</v>
      </c>
      <c r="E32" s="6">
        <f>SUMPRODUCT((ISNUMBER(SEARCH("Agriculture",'Extraction table'!E4:E141)))*('Extraction table'!Q4:Q141&lt;&gt;"None"))</f>
        <v>2</v>
      </c>
      <c r="F32" s="3"/>
    </row>
    <row r="33" spans="1:6" ht="15" customHeight="1" x14ac:dyDescent="0.35">
      <c r="A33" s="3" t="s">
        <v>325</v>
      </c>
      <c r="B33" s="6">
        <f>COUNTIF('Extraction table'!E4:E141,"*Wildlife*")</f>
        <v>3</v>
      </c>
      <c r="C33" s="7">
        <f t="shared" si="0"/>
        <v>2.1739130434782608E-2</v>
      </c>
      <c r="D33" s="6">
        <f>IFERROR(MEDIAN(IF(ISNUMBER(SEARCH("Wildlife",'Extraction table'!E4:E141)),'Extraction table'!T4:T141)),"")</f>
        <v>0</v>
      </c>
      <c r="E33" s="6">
        <f>SUMPRODUCT((ISNUMBER(SEARCH("Wildlife",'Extraction table'!E4:E141)))*('Extraction table'!Q4:Q141&lt;&gt;"None"))</f>
        <v>1</v>
      </c>
      <c r="F33" s="3"/>
    </row>
    <row r="34" spans="1:6" ht="15" customHeight="1" x14ac:dyDescent="0.35">
      <c r="A34" s="3" t="s">
        <v>236</v>
      </c>
      <c r="B34" s="6">
        <f>COUNTIF('Extraction table'!E4:E141,"*Protected area*")</f>
        <v>10</v>
      </c>
      <c r="C34" s="7">
        <f t="shared" si="0"/>
        <v>7.2463768115942032E-2</v>
      </c>
      <c r="D34" s="6">
        <f>IFERROR(MEDIAN(IF(ISNUMBER(SEARCH("Protected area",'Extraction table'!E4:E141)),'Extraction table'!T4:T141)),"")</f>
        <v>0</v>
      </c>
      <c r="E34" s="6">
        <f>SUMPRODUCT((ISNUMBER(SEARCH("Protected area",'Extraction table'!E4:E141)))*('Extraction table'!Q4:Q141&lt;&gt;"None"))</f>
        <v>1</v>
      </c>
      <c r="F34" s="3"/>
    </row>
    <row r="35" spans="1:6" ht="15" customHeight="1" x14ac:dyDescent="0.35">
      <c r="A35" s="3" t="s">
        <v>644</v>
      </c>
      <c r="B35" s="6">
        <f>COUNTIF('Extraction table'!E4:E141,"*Waste*")</f>
        <v>6</v>
      </c>
      <c r="C35" s="7">
        <f t="shared" si="0"/>
        <v>4.3478260869565216E-2</v>
      </c>
      <c r="D35" s="6">
        <f>IFERROR(MEDIAN(IF(ISNUMBER(SEARCH("Waste",'Extraction table'!E4:E141)),'Extraction table'!T4:T141)),"")</f>
        <v>0</v>
      </c>
      <c r="E35" s="6">
        <f>SUMPRODUCT((ISNUMBER(SEARCH("Waste",'Extraction table'!E4:E141)))*('Extraction table'!Q4:Q141&lt;&gt;"None"))</f>
        <v>2</v>
      </c>
      <c r="F35" s="3"/>
    </row>
    <row r="36" spans="1:6" ht="15" customHeight="1" x14ac:dyDescent="0.35">
      <c r="A36" s="3" t="s">
        <v>1600</v>
      </c>
      <c r="B36" s="6">
        <f>COUNTIF('Extraction table'!E4:E141,"*Energy*")</f>
        <v>9</v>
      </c>
      <c r="C36" s="7">
        <f t="shared" si="0"/>
        <v>6.5217391304347824E-2</v>
      </c>
      <c r="D36" s="6">
        <f>IFERROR(MEDIAN(IF(ISNUMBER(SEARCH("Energy",'Extraction table'!E4:E141)),'Extraction table'!T4:T141)),"")</f>
        <v>0</v>
      </c>
      <c r="E36" s="6">
        <f>SUMPRODUCT((ISNUMBER(SEARCH("Energy",'Extraction table'!E4:E141)))*('Extraction table'!Q4:Q141&lt;&gt;"None"))</f>
        <v>3</v>
      </c>
      <c r="F36" s="3"/>
    </row>
    <row r="37" spans="1:6" ht="15" customHeight="1" x14ac:dyDescent="0.35">
      <c r="A37" s="3" t="s">
        <v>351</v>
      </c>
      <c r="B37" s="6">
        <f>COUNTIF('Extraction table'!E4:E141,"*Multi-sector*")</f>
        <v>63</v>
      </c>
      <c r="C37" s="7">
        <f t="shared" si="0"/>
        <v>0.45652173913043476</v>
      </c>
      <c r="D37" s="6">
        <f>IFERROR(MEDIAN(IF(ISNUMBER(SEARCH("Multi-sector",'Extraction table'!E4:E141)),'Extraction table'!T4:T141)),"")</f>
        <v>4</v>
      </c>
      <c r="E37" s="6">
        <f>SUMPRODUCT((ISNUMBER(SEARCH("Multi-sector",'Extraction table'!E4:E141)))*('Extraction table'!Q4:Q141&lt;&gt;"None"))</f>
        <v>16</v>
      </c>
      <c r="F37" s="3"/>
    </row>
    <row r="40" spans="1:6" ht="15" customHeight="1" x14ac:dyDescent="0.35">
      <c r="A40" s="14" t="s">
        <v>1601</v>
      </c>
      <c r="B40" s="14"/>
      <c r="C40" s="14"/>
      <c r="D40" s="14"/>
      <c r="E40" s="14"/>
      <c r="F40" s="14"/>
    </row>
    <row r="42" spans="1:6" ht="37.5" customHeight="1" x14ac:dyDescent="0.35">
      <c r="A42" s="2" t="s">
        <v>1602</v>
      </c>
      <c r="B42" s="2" t="s">
        <v>1577</v>
      </c>
      <c r="C42" s="2" t="s">
        <v>1578</v>
      </c>
    </row>
    <row r="43" spans="1:6" ht="15" customHeight="1" x14ac:dyDescent="0.35">
      <c r="A43" s="6">
        <v>5</v>
      </c>
      <c r="B43" s="6">
        <f>COUNTIF('Extraction table'!T4:T141,5)</f>
        <v>34</v>
      </c>
      <c r="C43" s="7">
        <f>B43/COUNTA('Extraction table'!T4:T141)</f>
        <v>0.24637681159420291</v>
      </c>
    </row>
    <row r="44" spans="1:6" ht="15" customHeight="1" x14ac:dyDescent="0.35">
      <c r="A44" s="6">
        <v>4</v>
      </c>
      <c r="B44" s="6">
        <f>COUNTIF('Extraction table'!T4:T141,4)</f>
        <v>48</v>
      </c>
      <c r="C44" s="7">
        <f>B44/COUNTA('Extraction table'!T4:T141)</f>
        <v>0.34782608695652173</v>
      </c>
    </row>
    <row r="45" spans="1:6" ht="15" customHeight="1" x14ac:dyDescent="0.35">
      <c r="A45" s="6">
        <v>3</v>
      </c>
      <c r="B45" s="6">
        <f>COUNTIF('Extraction table'!T4:T141,3)</f>
        <v>55</v>
      </c>
      <c r="C45" s="7">
        <f>B45/COUNTA('Extraction table'!T4:T141)</f>
        <v>0.39855072463768115</v>
      </c>
    </row>
    <row r="46" spans="1:6" ht="15" customHeight="1" x14ac:dyDescent="0.35">
      <c r="A46" s="6">
        <v>2</v>
      </c>
      <c r="B46" s="6">
        <f>COUNTIF('Extraction table'!T4:T141,2)</f>
        <v>1</v>
      </c>
      <c r="C46" s="7">
        <f>B46/COUNTA('Extraction table'!T4:T141)</f>
        <v>7.246376811594203E-3</v>
      </c>
    </row>
    <row r="47" spans="1:6" ht="15" customHeight="1" x14ac:dyDescent="0.35">
      <c r="A47" s="6">
        <v>1</v>
      </c>
      <c r="B47" s="6">
        <f>COUNTIF('Extraction table'!T4:T141,1)</f>
        <v>0</v>
      </c>
      <c r="C47" s="7">
        <f>B47/COUNTA('Extraction table'!T4:T141)</f>
        <v>0</v>
      </c>
    </row>
    <row r="48" spans="1:6" ht="15" customHeight="1" x14ac:dyDescent="0.35">
      <c r="A48" s="6">
        <v>0</v>
      </c>
      <c r="B48" s="6">
        <f>COUNTIF('Extraction table'!T4:T141,0)</f>
        <v>0</v>
      </c>
      <c r="C48" s="7">
        <f>B48/COUNTA('Extraction table'!T4:T141)</f>
        <v>0</v>
      </c>
    </row>
    <row r="49" spans="1:3" ht="15" customHeight="1" x14ac:dyDescent="0.35">
      <c r="A49" s="6" t="s">
        <v>1603</v>
      </c>
      <c r="B49" s="8">
        <f>AVERAGE('Extraction table'!T4:T141)</f>
        <v>3.8333333333333335</v>
      </c>
      <c r="C49" s="6"/>
    </row>
  </sheetData>
  <mergeCells count="5">
    <mergeCell ref="A1:F1"/>
    <mergeCell ref="A3:F3"/>
    <mergeCell ref="A12:F12"/>
    <mergeCell ref="A25:F25"/>
    <mergeCell ref="A40:F40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50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8.6328125" defaultRowHeight="14.5" x14ac:dyDescent="0.35"/>
  <cols>
    <col min="1" max="1" width="7" customWidth="1"/>
    <col min="2" max="2" width="22" customWidth="1"/>
    <col min="3" max="3" width="16" customWidth="1"/>
    <col min="4" max="4" width="12" customWidth="1"/>
    <col min="5" max="9" width="14" customWidth="1"/>
  </cols>
  <sheetData>
    <row r="1" spans="1:9" ht="24" customHeight="1" x14ac:dyDescent="0.45">
      <c r="A1" s="11" t="s">
        <v>1604</v>
      </c>
      <c r="B1" s="11"/>
      <c r="C1" s="11"/>
      <c r="D1" s="11"/>
      <c r="E1" s="11"/>
      <c r="F1" s="11"/>
      <c r="G1" s="11"/>
      <c r="H1" s="11"/>
      <c r="I1" s="11"/>
    </row>
    <row r="3" spans="1:9" ht="37.5" customHeight="1" x14ac:dyDescent="0.35">
      <c r="A3" s="2" t="s">
        <v>175</v>
      </c>
      <c r="B3" s="2" t="s">
        <v>50</v>
      </c>
      <c r="C3" s="2" t="s">
        <v>1605</v>
      </c>
      <c r="D3" s="2" t="s">
        <v>1606</v>
      </c>
      <c r="E3" s="2" t="s">
        <v>1607</v>
      </c>
      <c r="F3" s="2" t="s">
        <v>1608</v>
      </c>
      <c r="G3" s="2" t="s">
        <v>1609</v>
      </c>
      <c r="H3" s="2" t="s">
        <v>1610</v>
      </c>
      <c r="I3" s="2" t="s">
        <v>1611</v>
      </c>
    </row>
    <row r="4" spans="1:9" ht="15" customHeight="1" x14ac:dyDescent="0.35">
      <c r="A4" s="6" t="s">
        <v>184</v>
      </c>
      <c r="B4" s="3" t="s">
        <v>185</v>
      </c>
      <c r="C4" s="6">
        <v>2</v>
      </c>
      <c r="D4" s="6">
        <v>2</v>
      </c>
      <c r="E4" s="6">
        <v>2</v>
      </c>
      <c r="F4" s="6">
        <v>2</v>
      </c>
      <c r="G4" s="6">
        <v>2</v>
      </c>
      <c r="H4" s="6">
        <f t="shared" ref="H4:H35" si="0">SUM(C4:G4)</f>
        <v>10</v>
      </c>
      <c r="I4" s="9">
        <f t="shared" ref="I4:I35" si="1">H4/2</f>
        <v>5</v>
      </c>
    </row>
    <row r="5" spans="1:9" ht="15" customHeight="1" x14ac:dyDescent="0.35">
      <c r="A5" s="6" t="s">
        <v>203</v>
      </c>
      <c r="B5" s="3" t="s">
        <v>204</v>
      </c>
      <c r="C5" s="6">
        <v>2</v>
      </c>
      <c r="D5" s="6">
        <v>2</v>
      </c>
      <c r="E5" s="6">
        <v>2</v>
      </c>
      <c r="F5" s="6">
        <v>2</v>
      </c>
      <c r="G5" s="6">
        <v>2</v>
      </c>
      <c r="H5" s="6">
        <f t="shared" si="0"/>
        <v>10</v>
      </c>
      <c r="I5" s="9">
        <f t="shared" si="1"/>
        <v>5</v>
      </c>
    </row>
    <row r="6" spans="1:9" ht="15" customHeight="1" x14ac:dyDescent="0.35">
      <c r="A6" s="6" t="s">
        <v>219</v>
      </c>
      <c r="B6" s="3" t="s">
        <v>220</v>
      </c>
      <c r="C6" s="6">
        <v>2</v>
      </c>
      <c r="D6" s="6">
        <v>1</v>
      </c>
      <c r="E6" s="6">
        <v>2</v>
      </c>
      <c r="F6" s="6">
        <v>1</v>
      </c>
      <c r="G6" s="6">
        <v>2</v>
      </c>
      <c r="H6" s="6">
        <f t="shared" si="0"/>
        <v>8</v>
      </c>
      <c r="I6" s="9">
        <f t="shared" si="1"/>
        <v>4</v>
      </c>
    </row>
    <row r="7" spans="1:9" ht="23.25" customHeight="1" x14ac:dyDescent="0.35">
      <c r="A7" s="6" t="s">
        <v>232</v>
      </c>
      <c r="B7" s="3" t="s">
        <v>233</v>
      </c>
      <c r="C7" s="6">
        <v>2</v>
      </c>
      <c r="D7" s="6">
        <v>1</v>
      </c>
      <c r="E7" s="6">
        <v>2</v>
      </c>
      <c r="F7" s="6">
        <v>1</v>
      </c>
      <c r="G7" s="6">
        <v>2</v>
      </c>
      <c r="H7" s="6">
        <f t="shared" si="0"/>
        <v>8</v>
      </c>
      <c r="I7" s="9">
        <f t="shared" si="1"/>
        <v>4</v>
      </c>
    </row>
    <row r="8" spans="1:9" ht="15" customHeight="1" x14ac:dyDescent="0.35">
      <c r="A8" s="6" t="s">
        <v>246</v>
      </c>
      <c r="B8" s="3" t="s">
        <v>247</v>
      </c>
      <c r="C8" s="6">
        <v>2</v>
      </c>
      <c r="D8" s="6">
        <v>2</v>
      </c>
      <c r="E8" s="6">
        <v>2</v>
      </c>
      <c r="F8" s="6">
        <v>2</v>
      </c>
      <c r="G8" s="6">
        <v>2</v>
      </c>
      <c r="H8" s="6">
        <f t="shared" si="0"/>
        <v>10</v>
      </c>
      <c r="I8" s="9">
        <f t="shared" si="1"/>
        <v>5</v>
      </c>
    </row>
    <row r="9" spans="1:9" ht="15" customHeight="1" x14ac:dyDescent="0.35">
      <c r="A9" s="6" t="s">
        <v>258</v>
      </c>
      <c r="B9" s="3" t="s">
        <v>259</v>
      </c>
      <c r="C9" s="6">
        <v>1</v>
      </c>
      <c r="D9" s="6">
        <v>2</v>
      </c>
      <c r="E9" s="6">
        <v>1</v>
      </c>
      <c r="F9" s="6">
        <v>2</v>
      </c>
      <c r="G9" s="6">
        <v>2</v>
      </c>
      <c r="H9" s="6">
        <f t="shared" si="0"/>
        <v>8</v>
      </c>
      <c r="I9" s="9">
        <f t="shared" si="1"/>
        <v>4</v>
      </c>
    </row>
    <row r="10" spans="1:9" ht="15" customHeight="1" x14ac:dyDescent="0.35">
      <c r="A10" s="6" t="s">
        <v>270</v>
      </c>
      <c r="B10" s="3" t="s">
        <v>271</v>
      </c>
      <c r="C10" s="6">
        <v>2</v>
      </c>
      <c r="D10" s="6">
        <v>2</v>
      </c>
      <c r="E10" s="6">
        <v>2</v>
      </c>
      <c r="F10" s="6">
        <v>2</v>
      </c>
      <c r="G10" s="6">
        <v>2</v>
      </c>
      <c r="H10" s="6">
        <f t="shared" si="0"/>
        <v>10</v>
      </c>
      <c r="I10" s="9">
        <f t="shared" si="1"/>
        <v>5</v>
      </c>
    </row>
    <row r="11" spans="1:9" ht="15" customHeight="1" x14ac:dyDescent="0.35">
      <c r="A11" s="6" t="s">
        <v>284</v>
      </c>
      <c r="B11" s="3" t="s">
        <v>285</v>
      </c>
      <c r="C11" s="6">
        <v>2</v>
      </c>
      <c r="D11" s="6">
        <v>2</v>
      </c>
      <c r="E11" s="6">
        <v>2</v>
      </c>
      <c r="F11" s="6">
        <v>2</v>
      </c>
      <c r="G11" s="6">
        <v>2</v>
      </c>
      <c r="H11" s="6">
        <f t="shared" si="0"/>
        <v>10</v>
      </c>
      <c r="I11" s="9">
        <f t="shared" si="1"/>
        <v>5</v>
      </c>
    </row>
    <row r="12" spans="1:9" ht="15" customHeight="1" x14ac:dyDescent="0.35">
      <c r="A12" s="6" t="s">
        <v>297</v>
      </c>
      <c r="B12" s="3" t="s">
        <v>298</v>
      </c>
      <c r="C12" s="6">
        <v>1</v>
      </c>
      <c r="D12" s="6">
        <v>2</v>
      </c>
      <c r="E12" s="6">
        <v>2</v>
      </c>
      <c r="F12" s="6">
        <v>2</v>
      </c>
      <c r="G12" s="6">
        <v>1</v>
      </c>
      <c r="H12" s="6">
        <f t="shared" si="0"/>
        <v>8</v>
      </c>
      <c r="I12" s="9">
        <f t="shared" si="1"/>
        <v>4</v>
      </c>
    </row>
    <row r="13" spans="1:9" ht="15" customHeight="1" x14ac:dyDescent="0.35">
      <c r="A13" s="6" t="s">
        <v>309</v>
      </c>
      <c r="B13" s="3" t="s">
        <v>310</v>
      </c>
      <c r="C13" s="6">
        <v>2</v>
      </c>
      <c r="D13" s="6">
        <v>2</v>
      </c>
      <c r="E13" s="6">
        <v>1</v>
      </c>
      <c r="F13" s="6">
        <v>1</v>
      </c>
      <c r="G13" s="6">
        <v>2</v>
      </c>
      <c r="H13" s="6">
        <f t="shared" si="0"/>
        <v>8</v>
      </c>
      <c r="I13" s="9">
        <f t="shared" si="1"/>
        <v>4</v>
      </c>
    </row>
    <row r="14" spans="1:9" ht="15" customHeight="1" x14ac:dyDescent="0.35">
      <c r="A14" s="6" t="s">
        <v>322</v>
      </c>
      <c r="B14" s="3" t="s">
        <v>323</v>
      </c>
      <c r="C14" s="6">
        <v>2</v>
      </c>
      <c r="D14" s="6">
        <v>1</v>
      </c>
      <c r="E14" s="6">
        <v>2</v>
      </c>
      <c r="F14" s="6">
        <v>1</v>
      </c>
      <c r="G14" s="6">
        <v>2</v>
      </c>
      <c r="H14" s="6">
        <f t="shared" si="0"/>
        <v>8</v>
      </c>
      <c r="I14" s="9">
        <f t="shared" si="1"/>
        <v>4</v>
      </c>
    </row>
    <row r="15" spans="1:9" ht="15" customHeight="1" x14ac:dyDescent="0.35">
      <c r="A15" s="6" t="s">
        <v>336</v>
      </c>
      <c r="B15" s="3" t="s">
        <v>337</v>
      </c>
      <c r="C15" s="6">
        <v>1</v>
      </c>
      <c r="D15" s="6">
        <v>2</v>
      </c>
      <c r="E15" s="6">
        <v>2</v>
      </c>
      <c r="F15" s="6">
        <v>2</v>
      </c>
      <c r="G15" s="6">
        <v>1</v>
      </c>
      <c r="H15" s="6">
        <f t="shared" si="0"/>
        <v>8</v>
      </c>
      <c r="I15" s="9">
        <f t="shared" si="1"/>
        <v>4</v>
      </c>
    </row>
    <row r="16" spans="1:9" ht="15" customHeight="1" x14ac:dyDescent="0.35">
      <c r="A16" s="6" t="s">
        <v>349</v>
      </c>
      <c r="B16" s="3" t="s">
        <v>350</v>
      </c>
      <c r="C16" s="6">
        <v>1</v>
      </c>
      <c r="D16" s="6">
        <v>1</v>
      </c>
      <c r="E16" s="6">
        <v>1</v>
      </c>
      <c r="F16" s="6">
        <v>1</v>
      </c>
      <c r="G16" s="6">
        <v>2</v>
      </c>
      <c r="H16" s="6">
        <f t="shared" si="0"/>
        <v>6</v>
      </c>
      <c r="I16" s="9">
        <f t="shared" si="1"/>
        <v>3</v>
      </c>
    </row>
    <row r="17" spans="1:9" ht="15" customHeight="1" x14ac:dyDescent="0.35">
      <c r="A17" s="6" t="s">
        <v>362</v>
      </c>
      <c r="B17" s="3" t="s">
        <v>363</v>
      </c>
      <c r="C17" s="6">
        <v>2</v>
      </c>
      <c r="D17" s="6">
        <v>2</v>
      </c>
      <c r="E17" s="6">
        <v>2</v>
      </c>
      <c r="F17" s="6">
        <v>2</v>
      </c>
      <c r="G17" s="6">
        <v>2</v>
      </c>
      <c r="H17" s="6">
        <f t="shared" si="0"/>
        <v>10</v>
      </c>
      <c r="I17" s="9">
        <f t="shared" si="1"/>
        <v>5</v>
      </c>
    </row>
    <row r="18" spans="1:9" ht="15" customHeight="1" x14ac:dyDescent="0.35">
      <c r="A18" s="6" t="s">
        <v>374</v>
      </c>
      <c r="B18" s="3" t="s">
        <v>375</v>
      </c>
      <c r="C18" s="6">
        <v>2</v>
      </c>
      <c r="D18" s="6">
        <v>2</v>
      </c>
      <c r="E18" s="6">
        <v>2</v>
      </c>
      <c r="F18" s="6">
        <v>2</v>
      </c>
      <c r="G18" s="6">
        <v>2</v>
      </c>
      <c r="H18" s="6">
        <f t="shared" si="0"/>
        <v>10</v>
      </c>
      <c r="I18" s="9">
        <f t="shared" si="1"/>
        <v>5</v>
      </c>
    </row>
    <row r="19" spans="1:9" ht="15" customHeight="1" x14ac:dyDescent="0.35">
      <c r="A19" s="6" t="s">
        <v>387</v>
      </c>
      <c r="B19" s="3" t="s">
        <v>388</v>
      </c>
      <c r="C19" s="6">
        <v>2</v>
      </c>
      <c r="D19" s="6">
        <v>1</v>
      </c>
      <c r="E19" s="6">
        <v>2</v>
      </c>
      <c r="F19" s="6">
        <v>2</v>
      </c>
      <c r="G19" s="6">
        <v>1</v>
      </c>
      <c r="H19" s="6">
        <f t="shared" si="0"/>
        <v>8</v>
      </c>
      <c r="I19" s="9">
        <f t="shared" si="1"/>
        <v>4</v>
      </c>
    </row>
    <row r="20" spans="1:9" ht="15" customHeight="1" x14ac:dyDescent="0.35">
      <c r="A20" s="6" t="s">
        <v>399</v>
      </c>
      <c r="B20" s="3" t="s">
        <v>400</v>
      </c>
      <c r="C20" s="6">
        <v>2</v>
      </c>
      <c r="D20" s="6">
        <v>2</v>
      </c>
      <c r="E20" s="6">
        <v>2</v>
      </c>
      <c r="F20" s="6">
        <v>2</v>
      </c>
      <c r="G20" s="6">
        <v>2</v>
      </c>
      <c r="H20" s="6">
        <f t="shared" si="0"/>
        <v>10</v>
      </c>
      <c r="I20" s="9">
        <f t="shared" si="1"/>
        <v>5</v>
      </c>
    </row>
    <row r="21" spans="1:9" ht="15" customHeight="1" x14ac:dyDescent="0.35">
      <c r="A21" s="6" t="s">
        <v>411</v>
      </c>
      <c r="B21" s="3" t="s">
        <v>412</v>
      </c>
      <c r="C21" s="6">
        <v>1</v>
      </c>
      <c r="D21" s="6">
        <v>1</v>
      </c>
      <c r="E21" s="6">
        <v>1</v>
      </c>
      <c r="F21" s="6">
        <v>1</v>
      </c>
      <c r="G21" s="6">
        <v>2</v>
      </c>
      <c r="H21" s="6">
        <f t="shared" si="0"/>
        <v>6</v>
      </c>
      <c r="I21" s="9">
        <f t="shared" si="1"/>
        <v>3</v>
      </c>
    </row>
    <row r="22" spans="1:9" ht="15" customHeight="1" x14ac:dyDescent="0.35">
      <c r="A22" s="6" t="s">
        <v>423</v>
      </c>
      <c r="B22" s="3" t="s">
        <v>424</v>
      </c>
      <c r="C22" s="6">
        <v>2</v>
      </c>
      <c r="D22" s="6">
        <v>1</v>
      </c>
      <c r="E22" s="6">
        <v>2</v>
      </c>
      <c r="F22" s="6">
        <v>1</v>
      </c>
      <c r="G22" s="6">
        <v>2</v>
      </c>
      <c r="H22" s="6">
        <f t="shared" si="0"/>
        <v>8</v>
      </c>
      <c r="I22" s="9">
        <f t="shared" si="1"/>
        <v>4</v>
      </c>
    </row>
    <row r="23" spans="1:9" ht="15" customHeight="1" x14ac:dyDescent="0.35">
      <c r="A23" s="6" t="s">
        <v>432</v>
      </c>
      <c r="B23" s="3" t="s">
        <v>433</v>
      </c>
      <c r="C23" s="6">
        <v>2</v>
      </c>
      <c r="D23" s="6">
        <v>2</v>
      </c>
      <c r="E23" s="6">
        <v>1</v>
      </c>
      <c r="F23" s="6">
        <v>2</v>
      </c>
      <c r="G23" s="6">
        <v>1</v>
      </c>
      <c r="H23" s="6">
        <f t="shared" si="0"/>
        <v>8</v>
      </c>
      <c r="I23" s="9">
        <f t="shared" si="1"/>
        <v>4</v>
      </c>
    </row>
    <row r="24" spans="1:9" ht="15" customHeight="1" x14ac:dyDescent="0.35">
      <c r="A24" s="6" t="s">
        <v>442</v>
      </c>
      <c r="B24" s="3" t="s">
        <v>443</v>
      </c>
      <c r="C24" s="6">
        <v>1</v>
      </c>
      <c r="D24" s="6">
        <v>2</v>
      </c>
      <c r="E24" s="6">
        <v>1</v>
      </c>
      <c r="F24" s="6">
        <v>1</v>
      </c>
      <c r="G24" s="6">
        <v>1</v>
      </c>
      <c r="H24" s="6">
        <f t="shared" si="0"/>
        <v>6</v>
      </c>
      <c r="I24" s="9">
        <f t="shared" si="1"/>
        <v>3</v>
      </c>
    </row>
    <row r="25" spans="1:9" ht="15" customHeight="1" x14ac:dyDescent="0.35">
      <c r="A25" s="6" t="s">
        <v>453</v>
      </c>
      <c r="B25" s="3" t="s">
        <v>454</v>
      </c>
      <c r="C25" s="6">
        <v>2</v>
      </c>
      <c r="D25" s="6">
        <v>2</v>
      </c>
      <c r="E25" s="6">
        <v>2</v>
      </c>
      <c r="F25" s="6">
        <v>1</v>
      </c>
      <c r="G25" s="6">
        <v>1</v>
      </c>
      <c r="H25" s="6">
        <f t="shared" si="0"/>
        <v>8</v>
      </c>
      <c r="I25" s="9">
        <f t="shared" si="1"/>
        <v>4</v>
      </c>
    </row>
    <row r="26" spans="1:9" ht="15" customHeight="1" x14ac:dyDescent="0.35">
      <c r="A26" s="6" t="s">
        <v>465</v>
      </c>
      <c r="B26" s="3" t="s">
        <v>466</v>
      </c>
      <c r="C26" s="6">
        <v>2</v>
      </c>
      <c r="D26" s="6">
        <v>2</v>
      </c>
      <c r="E26" s="6">
        <v>2</v>
      </c>
      <c r="F26" s="6">
        <v>2</v>
      </c>
      <c r="G26" s="6">
        <v>2</v>
      </c>
      <c r="H26" s="6">
        <f t="shared" si="0"/>
        <v>10</v>
      </c>
      <c r="I26" s="9">
        <f t="shared" si="1"/>
        <v>5</v>
      </c>
    </row>
    <row r="27" spans="1:9" ht="15" customHeight="1" x14ac:dyDescent="0.35">
      <c r="A27" s="6" t="s">
        <v>477</v>
      </c>
      <c r="B27" s="3" t="s">
        <v>478</v>
      </c>
      <c r="C27" s="6">
        <v>1</v>
      </c>
      <c r="D27" s="6">
        <v>1</v>
      </c>
      <c r="E27" s="6">
        <v>2</v>
      </c>
      <c r="F27" s="6">
        <v>2</v>
      </c>
      <c r="G27" s="6">
        <v>2</v>
      </c>
      <c r="H27" s="6">
        <f t="shared" si="0"/>
        <v>8</v>
      </c>
      <c r="I27" s="9">
        <f t="shared" si="1"/>
        <v>4</v>
      </c>
    </row>
    <row r="28" spans="1:9" ht="23.25" customHeight="1" x14ac:dyDescent="0.35">
      <c r="A28" s="6" t="s">
        <v>488</v>
      </c>
      <c r="B28" s="3" t="s">
        <v>489</v>
      </c>
      <c r="C28" s="6">
        <v>1</v>
      </c>
      <c r="D28" s="6">
        <v>1</v>
      </c>
      <c r="E28" s="6">
        <v>2</v>
      </c>
      <c r="F28" s="6">
        <v>2</v>
      </c>
      <c r="G28" s="6">
        <v>2</v>
      </c>
      <c r="H28" s="6">
        <f t="shared" si="0"/>
        <v>8</v>
      </c>
      <c r="I28" s="9">
        <f t="shared" si="1"/>
        <v>4</v>
      </c>
    </row>
    <row r="29" spans="1:9" ht="15" customHeight="1" x14ac:dyDescent="0.35">
      <c r="A29" s="6" t="s">
        <v>500</v>
      </c>
      <c r="B29" s="3" t="s">
        <v>501</v>
      </c>
      <c r="C29" s="6">
        <v>1</v>
      </c>
      <c r="D29" s="6">
        <v>2</v>
      </c>
      <c r="E29" s="6">
        <v>2</v>
      </c>
      <c r="F29" s="6">
        <v>2</v>
      </c>
      <c r="G29" s="6">
        <v>1</v>
      </c>
      <c r="H29" s="6">
        <f t="shared" si="0"/>
        <v>8</v>
      </c>
      <c r="I29" s="9">
        <f t="shared" si="1"/>
        <v>4</v>
      </c>
    </row>
    <row r="30" spans="1:9" ht="15" customHeight="1" x14ac:dyDescent="0.35">
      <c r="A30" s="6" t="s">
        <v>512</v>
      </c>
      <c r="B30" s="3" t="s">
        <v>513</v>
      </c>
      <c r="C30" s="6">
        <v>2</v>
      </c>
      <c r="D30" s="6">
        <v>2</v>
      </c>
      <c r="E30" s="6">
        <v>2</v>
      </c>
      <c r="F30" s="6">
        <v>2</v>
      </c>
      <c r="G30" s="6">
        <v>2</v>
      </c>
      <c r="H30" s="6">
        <f t="shared" si="0"/>
        <v>10</v>
      </c>
      <c r="I30" s="9">
        <f t="shared" si="1"/>
        <v>5</v>
      </c>
    </row>
    <row r="31" spans="1:9" ht="15" customHeight="1" x14ac:dyDescent="0.35">
      <c r="A31" s="6" t="s">
        <v>524</v>
      </c>
      <c r="B31" s="3" t="s">
        <v>525</v>
      </c>
      <c r="C31" s="6">
        <v>1</v>
      </c>
      <c r="D31" s="6">
        <v>2</v>
      </c>
      <c r="E31" s="6">
        <v>2</v>
      </c>
      <c r="F31" s="6">
        <v>2</v>
      </c>
      <c r="G31" s="6">
        <v>1</v>
      </c>
      <c r="H31" s="6">
        <f t="shared" si="0"/>
        <v>8</v>
      </c>
      <c r="I31" s="9">
        <f t="shared" si="1"/>
        <v>4</v>
      </c>
    </row>
    <row r="32" spans="1:9" ht="15" customHeight="1" x14ac:dyDescent="0.35">
      <c r="A32" s="6" t="s">
        <v>535</v>
      </c>
      <c r="B32" s="3" t="s">
        <v>536</v>
      </c>
      <c r="C32" s="6">
        <v>2</v>
      </c>
      <c r="D32" s="6">
        <v>2</v>
      </c>
      <c r="E32" s="6">
        <v>2</v>
      </c>
      <c r="F32" s="6">
        <v>2</v>
      </c>
      <c r="G32" s="6">
        <v>2</v>
      </c>
      <c r="H32" s="6">
        <f t="shared" si="0"/>
        <v>10</v>
      </c>
      <c r="I32" s="9">
        <f t="shared" si="1"/>
        <v>5</v>
      </c>
    </row>
    <row r="33" spans="1:9" ht="15" customHeight="1" x14ac:dyDescent="0.35">
      <c r="A33" s="6" t="s">
        <v>545</v>
      </c>
      <c r="B33" s="3" t="s">
        <v>546</v>
      </c>
      <c r="C33" s="6">
        <v>2</v>
      </c>
      <c r="D33" s="6">
        <v>2</v>
      </c>
      <c r="E33" s="6">
        <v>1</v>
      </c>
      <c r="F33" s="6">
        <v>1</v>
      </c>
      <c r="G33" s="6">
        <v>2</v>
      </c>
      <c r="H33" s="6">
        <f t="shared" si="0"/>
        <v>8</v>
      </c>
      <c r="I33" s="9">
        <f t="shared" si="1"/>
        <v>4</v>
      </c>
    </row>
    <row r="34" spans="1:9" ht="15" customHeight="1" x14ac:dyDescent="0.35">
      <c r="A34" s="6" t="s">
        <v>556</v>
      </c>
      <c r="B34" s="3" t="s">
        <v>557</v>
      </c>
      <c r="C34" s="6">
        <v>2</v>
      </c>
      <c r="D34" s="6">
        <v>2</v>
      </c>
      <c r="E34" s="6">
        <v>1</v>
      </c>
      <c r="F34" s="6">
        <v>1</v>
      </c>
      <c r="G34" s="6">
        <v>2</v>
      </c>
      <c r="H34" s="6">
        <f t="shared" si="0"/>
        <v>8</v>
      </c>
      <c r="I34" s="9">
        <f t="shared" si="1"/>
        <v>4</v>
      </c>
    </row>
    <row r="35" spans="1:9" ht="15" customHeight="1" x14ac:dyDescent="0.35">
      <c r="A35" s="6" t="s">
        <v>568</v>
      </c>
      <c r="B35" s="3" t="s">
        <v>569</v>
      </c>
      <c r="C35" s="6">
        <v>2</v>
      </c>
      <c r="D35" s="6">
        <v>2</v>
      </c>
      <c r="E35" s="6">
        <v>2</v>
      </c>
      <c r="F35" s="6">
        <v>1</v>
      </c>
      <c r="G35" s="6">
        <v>1</v>
      </c>
      <c r="H35" s="6">
        <f t="shared" si="0"/>
        <v>8</v>
      </c>
      <c r="I35" s="9">
        <f t="shared" si="1"/>
        <v>4</v>
      </c>
    </row>
    <row r="36" spans="1:9" ht="15" customHeight="1" x14ac:dyDescent="0.35">
      <c r="A36" s="6" t="s">
        <v>580</v>
      </c>
      <c r="B36" s="3" t="s">
        <v>581</v>
      </c>
      <c r="C36" s="6">
        <v>2</v>
      </c>
      <c r="D36" s="6">
        <v>1</v>
      </c>
      <c r="E36" s="6">
        <v>1</v>
      </c>
      <c r="F36" s="6">
        <v>1</v>
      </c>
      <c r="G36" s="6">
        <v>1</v>
      </c>
      <c r="H36" s="6">
        <f t="shared" ref="H36:H67" si="2">SUM(C36:G36)</f>
        <v>6</v>
      </c>
      <c r="I36" s="9">
        <f t="shared" ref="I36:I67" si="3">H36/2</f>
        <v>3</v>
      </c>
    </row>
    <row r="37" spans="1:9" ht="15" customHeight="1" x14ac:dyDescent="0.35">
      <c r="A37" s="6" t="s">
        <v>589</v>
      </c>
      <c r="B37" s="3" t="s">
        <v>590</v>
      </c>
      <c r="C37" s="6">
        <v>2</v>
      </c>
      <c r="D37" s="6">
        <v>2</v>
      </c>
      <c r="E37" s="6">
        <v>1</v>
      </c>
      <c r="F37" s="6">
        <v>2</v>
      </c>
      <c r="G37" s="6">
        <v>1</v>
      </c>
      <c r="H37" s="6">
        <f t="shared" si="2"/>
        <v>8</v>
      </c>
      <c r="I37" s="9">
        <f t="shared" si="3"/>
        <v>4</v>
      </c>
    </row>
    <row r="38" spans="1:9" ht="15" customHeight="1" x14ac:dyDescent="0.35">
      <c r="A38" s="6" t="s">
        <v>600</v>
      </c>
      <c r="B38" s="3" t="s">
        <v>601</v>
      </c>
      <c r="C38" s="6">
        <v>1</v>
      </c>
      <c r="D38" s="6">
        <v>2</v>
      </c>
      <c r="E38" s="6">
        <v>1</v>
      </c>
      <c r="F38" s="6">
        <v>1</v>
      </c>
      <c r="G38" s="6">
        <v>1</v>
      </c>
      <c r="H38" s="6">
        <f t="shared" si="2"/>
        <v>6</v>
      </c>
      <c r="I38" s="9">
        <f t="shared" si="3"/>
        <v>3</v>
      </c>
    </row>
    <row r="39" spans="1:9" ht="15" customHeight="1" x14ac:dyDescent="0.35">
      <c r="A39" s="6" t="s">
        <v>609</v>
      </c>
      <c r="B39" s="3" t="s">
        <v>610</v>
      </c>
      <c r="C39" s="6">
        <v>1</v>
      </c>
      <c r="D39" s="6">
        <v>1</v>
      </c>
      <c r="E39" s="6">
        <v>1</v>
      </c>
      <c r="F39" s="6">
        <v>1</v>
      </c>
      <c r="G39" s="6">
        <v>2</v>
      </c>
      <c r="H39" s="6">
        <f t="shared" si="2"/>
        <v>6</v>
      </c>
      <c r="I39" s="9">
        <f t="shared" si="3"/>
        <v>3</v>
      </c>
    </row>
    <row r="40" spans="1:9" ht="15" customHeight="1" x14ac:dyDescent="0.35">
      <c r="A40" s="6" t="s">
        <v>619</v>
      </c>
      <c r="B40" s="3" t="s">
        <v>620</v>
      </c>
      <c r="C40" s="6">
        <v>2</v>
      </c>
      <c r="D40" s="6">
        <v>1</v>
      </c>
      <c r="E40" s="6">
        <v>1</v>
      </c>
      <c r="F40" s="6">
        <v>1</v>
      </c>
      <c r="G40" s="6">
        <v>1</v>
      </c>
      <c r="H40" s="6">
        <f t="shared" si="2"/>
        <v>6</v>
      </c>
      <c r="I40" s="9">
        <f t="shared" si="3"/>
        <v>3</v>
      </c>
    </row>
    <row r="41" spans="1:9" ht="15" customHeight="1" x14ac:dyDescent="0.35">
      <c r="A41" s="6" t="s">
        <v>630</v>
      </c>
      <c r="B41" s="3" t="s">
        <v>631</v>
      </c>
      <c r="C41" s="6">
        <v>1</v>
      </c>
      <c r="D41" s="6">
        <v>1</v>
      </c>
      <c r="E41" s="6">
        <v>1</v>
      </c>
      <c r="F41" s="6">
        <v>2</v>
      </c>
      <c r="G41" s="6">
        <v>1</v>
      </c>
      <c r="H41" s="6">
        <f t="shared" si="2"/>
        <v>6</v>
      </c>
      <c r="I41" s="9">
        <f t="shared" si="3"/>
        <v>3</v>
      </c>
    </row>
    <row r="42" spans="1:9" ht="15" customHeight="1" x14ac:dyDescent="0.35">
      <c r="A42" s="6" t="s">
        <v>641</v>
      </c>
      <c r="B42" s="3" t="s">
        <v>642</v>
      </c>
      <c r="C42" s="6">
        <v>1</v>
      </c>
      <c r="D42" s="6">
        <v>1</v>
      </c>
      <c r="E42" s="6">
        <v>1</v>
      </c>
      <c r="F42" s="6">
        <v>2</v>
      </c>
      <c r="G42" s="6">
        <v>1</v>
      </c>
      <c r="H42" s="6">
        <f t="shared" si="2"/>
        <v>6</v>
      </c>
      <c r="I42" s="9">
        <f t="shared" si="3"/>
        <v>3</v>
      </c>
    </row>
    <row r="43" spans="1:9" ht="15" customHeight="1" x14ac:dyDescent="0.35">
      <c r="A43" s="6" t="s">
        <v>652</v>
      </c>
      <c r="B43" s="3" t="s">
        <v>653</v>
      </c>
      <c r="C43" s="6">
        <v>1</v>
      </c>
      <c r="D43" s="6">
        <v>1</v>
      </c>
      <c r="E43" s="6">
        <v>2</v>
      </c>
      <c r="F43" s="6">
        <v>1</v>
      </c>
      <c r="G43" s="6">
        <v>1</v>
      </c>
      <c r="H43" s="6">
        <f t="shared" si="2"/>
        <v>6</v>
      </c>
      <c r="I43" s="9">
        <f t="shared" si="3"/>
        <v>3</v>
      </c>
    </row>
    <row r="44" spans="1:9" ht="15" customHeight="1" x14ac:dyDescent="0.35">
      <c r="A44" s="6" t="s">
        <v>661</v>
      </c>
      <c r="B44" s="3" t="s">
        <v>662</v>
      </c>
      <c r="C44" s="6">
        <v>2</v>
      </c>
      <c r="D44" s="6">
        <v>1</v>
      </c>
      <c r="E44" s="6">
        <v>1</v>
      </c>
      <c r="F44" s="6">
        <v>1</v>
      </c>
      <c r="G44" s="6">
        <v>1</v>
      </c>
      <c r="H44" s="6">
        <f t="shared" si="2"/>
        <v>6</v>
      </c>
      <c r="I44" s="9">
        <f t="shared" si="3"/>
        <v>3</v>
      </c>
    </row>
    <row r="45" spans="1:9" ht="15" customHeight="1" x14ac:dyDescent="0.35">
      <c r="A45" s="6" t="s">
        <v>671</v>
      </c>
      <c r="B45" s="3" t="s">
        <v>672</v>
      </c>
      <c r="C45" s="6">
        <v>1</v>
      </c>
      <c r="D45" s="6">
        <v>1</v>
      </c>
      <c r="E45" s="6">
        <v>2</v>
      </c>
      <c r="F45" s="6">
        <v>2</v>
      </c>
      <c r="G45" s="6">
        <v>2</v>
      </c>
      <c r="H45" s="6">
        <f t="shared" si="2"/>
        <v>8</v>
      </c>
      <c r="I45" s="9">
        <f t="shared" si="3"/>
        <v>4</v>
      </c>
    </row>
    <row r="46" spans="1:9" ht="15" customHeight="1" x14ac:dyDescent="0.35">
      <c r="A46" s="6" t="s">
        <v>683</v>
      </c>
      <c r="B46" s="3" t="s">
        <v>684</v>
      </c>
      <c r="C46" s="6">
        <v>1</v>
      </c>
      <c r="D46" s="6">
        <v>1</v>
      </c>
      <c r="E46" s="6">
        <v>2</v>
      </c>
      <c r="F46" s="6">
        <v>1</v>
      </c>
      <c r="G46" s="6">
        <v>1</v>
      </c>
      <c r="H46" s="6">
        <f t="shared" si="2"/>
        <v>6</v>
      </c>
      <c r="I46" s="9">
        <f t="shared" si="3"/>
        <v>3</v>
      </c>
    </row>
    <row r="47" spans="1:9" ht="23.25" customHeight="1" x14ac:dyDescent="0.35">
      <c r="A47" s="6" t="s">
        <v>693</v>
      </c>
      <c r="B47" s="3" t="s">
        <v>694</v>
      </c>
      <c r="C47" s="6">
        <v>2</v>
      </c>
      <c r="D47" s="6">
        <v>1</v>
      </c>
      <c r="E47" s="6">
        <v>1</v>
      </c>
      <c r="F47" s="6">
        <v>1</v>
      </c>
      <c r="G47" s="6">
        <v>1</v>
      </c>
      <c r="H47" s="6">
        <f t="shared" si="2"/>
        <v>6</v>
      </c>
      <c r="I47" s="9">
        <f t="shared" si="3"/>
        <v>3</v>
      </c>
    </row>
    <row r="48" spans="1:9" ht="15" customHeight="1" x14ac:dyDescent="0.35">
      <c r="A48" s="6" t="s">
        <v>703</v>
      </c>
      <c r="B48" s="3" t="s">
        <v>704</v>
      </c>
      <c r="C48" s="6">
        <v>1</v>
      </c>
      <c r="D48" s="6">
        <v>1</v>
      </c>
      <c r="E48" s="6">
        <v>1</v>
      </c>
      <c r="F48" s="6">
        <v>2</v>
      </c>
      <c r="G48" s="6">
        <v>1</v>
      </c>
      <c r="H48" s="6">
        <f t="shared" si="2"/>
        <v>6</v>
      </c>
      <c r="I48" s="9">
        <f t="shared" si="3"/>
        <v>3</v>
      </c>
    </row>
    <row r="49" spans="1:9" ht="15" customHeight="1" x14ac:dyDescent="0.35">
      <c r="A49" s="6" t="s">
        <v>713</v>
      </c>
      <c r="B49" s="3" t="s">
        <v>714</v>
      </c>
      <c r="C49" s="6">
        <v>2</v>
      </c>
      <c r="D49" s="6">
        <v>1</v>
      </c>
      <c r="E49" s="6">
        <v>1</v>
      </c>
      <c r="F49" s="6">
        <v>1</v>
      </c>
      <c r="G49" s="6">
        <v>1</v>
      </c>
      <c r="H49" s="6">
        <f t="shared" si="2"/>
        <v>6</v>
      </c>
      <c r="I49" s="9">
        <f t="shared" si="3"/>
        <v>3</v>
      </c>
    </row>
    <row r="50" spans="1:9" ht="15" customHeight="1" x14ac:dyDescent="0.35">
      <c r="A50" s="6" t="s">
        <v>722</v>
      </c>
      <c r="B50" s="3" t="s">
        <v>723</v>
      </c>
      <c r="C50" s="6">
        <v>1</v>
      </c>
      <c r="D50" s="6">
        <v>1</v>
      </c>
      <c r="E50" s="6">
        <v>1</v>
      </c>
      <c r="F50" s="6">
        <v>2</v>
      </c>
      <c r="G50" s="6">
        <v>1</v>
      </c>
      <c r="H50" s="6">
        <f t="shared" si="2"/>
        <v>6</v>
      </c>
      <c r="I50" s="9">
        <f t="shared" si="3"/>
        <v>3</v>
      </c>
    </row>
    <row r="51" spans="1:9" ht="15" customHeight="1" x14ac:dyDescent="0.35">
      <c r="A51" s="6" t="s">
        <v>731</v>
      </c>
      <c r="B51" s="3" t="s">
        <v>732</v>
      </c>
      <c r="C51" s="6">
        <v>1</v>
      </c>
      <c r="D51" s="6">
        <v>2</v>
      </c>
      <c r="E51" s="6">
        <v>1</v>
      </c>
      <c r="F51" s="6">
        <v>1</v>
      </c>
      <c r="G51" s="6">
        <v>1</v>
      </c>
      <c r="H51" s="6">
        <f t="shared" si="2"/>
        <v>6</v>
      </c>
      <c r="I51" s="9">
        <f t="shared" si="3"/>
        <v>3</v>
      </c>
    </row>
    <row r="52" spans="1:9" ht="23.25" customHeight="1" x14ac:dyDescent="0.35">
      <c r="A52" s="6" t="s">
        <v>739</v>
      </c>
      <c r="B52" s="3" t="s">
        <v>740</v>
      </c>
      <c r="C52" s="6">
        <v>2</v>
      </c>
      <c r="D52" s="6">
        <v>1</v>
      </c>
      <c r="E52" s="6">
        <v>1</v>
      </c>
      <c r="F52" s="6">
        <v>1</v>
      </c>
      <c r="G52" s="6">
        <v>1</v>
      </c>
      <c r="H52" s="6">
        <f t="shared" si="2"/>
        <v>6</v>
      </c>
      <c r="I52" s="9">
        <f t="shared" si="3"/>
        <v>3</v>
      </c>
    </row>
    <row r="53" spans="1:9" ht="15" customHeight="1" x14ac:dyDescent="0.35">
      <c r="A53" s="6" t="s">
        <v>748</v>
      </c>
      <c r="B53" s="3" t="s">
        <v>749</v>
      </c>
      <c r="C53" s="6">
        <v>1</v>
      </c>
      <c r="D53" s="6">
        <v>1</v>
      </c>
      <c r="E53" s="6">
        <v>1</v>
      </c>
      <c r="F53" s="6">
        <v>1</v>
      </c>
      <c r="G53" s="6">
        <v>0</v>
      </c>
      <c r="H53" s="6">
        <f t="shared" si="2"/>
        <v>4</v>
      </c>
      <c r="I53" s="9">
        <f t="shared" si="3"/>
        <v>2</v>
      </c>
    </row>
    <row r="54" spans="1:9" ht="15" customHeight="1" x14ac:dyDescent="0.35">
      <c r="A54" s="6" t="s">
        <v>758</v>
      </c>
      <c r="B54" s="3" t="s">
        <v>759</v>
      </c>
      <c r="C54" s="6">
        <v>2</v>
      </c>
      <c r="D54" s="6">
        <v>1</v>
      </c>
      <c r="E54" s="6">
        <v>2</v>
      </c>
      <c r="F54" s="6">
        <v>1</v>
      </c>
      <c r="G54" s="6">
        <v>2</v>
      </c>
      <c r="H54" s="6">
        <f t="shared" si="2"/>
        <v>8</v>
      </c>
      <c r="I54" s="9">
        <f t="shared" si="3"/>
        <v>4</v>
      </c>
    </row>
    <row r="55" spans="1:9" ht="15" customHeight="1" x14ac:dyDescent="0.35">
      <c r="A55" s="6" t="s">
        <v>771</v>
      </c>
      <c r="B55" s="3" t="s">
        <v>772</v>
      </c>
      <c r="C55" s="6">
        <v>2</v>
      </c>
      <c r="D55" s="6">
        <v>1</v>
      </c>
      <c r="E55" s="6">
        <v>2</v>
      </c>
      <c r="F55" s="6">
        <v>1</v>
      </c>
      <c r="G55" s="6">
        <v>2</v>
      </c>
      <c r="H55" s="6">
        <f t="shared" si="2"/>
        <v>8</v>
      </c>
      <c r="I55" s="9">
        <f t="shared" si="3"/>
        <v>4</v>
      </c>
    </row>
    <row r="56" spans="1:9" ht="15" customHeight="1" x14ac:dyDescent="0.35">
      <c r="A56" s="6" t="s">
        <v>783</v>
      </c>
      <c r="B56" s="3" t="s">
        <v>784</v>
      </c>
      <c r="C56" s="6">
        <v>2</v>
      </c>
      <c r="D56" s="6">
        <v>1</v>
      </c>
      <c r="E56" s="6">
        <v>2</v>
      </c>
      <c r="F56" s="6">
        <v>1</v>
      </c>
      <c r="G56" s="6">
        <v>2</v>
      </c>
      <c r="H56" s="6">
        <f t="shared" si="2"/>
        <v>8</v>
      </c>
      <c r="I56" s="9">
        <f t="shared" si="3"/>
        <v>4</v>
      </c>
    </row>
    <row r="57" spans="1:9" ht="15" customHeight="1" x14ac:dyDescent="0.35">
      <c r="A57" s="6" t="s">
        <v>795</v>
      </c>
      <c r="B57" s="3" t="s">
        <v>796</v>
      </c>
      <c r="C57" s="6">
        <v>1</v>
      </c>
      <c r="D57" s="6">
        <v>1</v>
      </c>
      <c r="E57" s="6">
        <v>1</v>
      </c>
      <c r="F57" s="6">
        <v>1</v>
      </c>
      <c r="G57" s="6">
        <v>2</v>
      </c>
      <c r="H57" s="6">
        <f t="shared" si="2"/>
        <v>6</v>
      </c>
      <c r="I57" s="9">
        <f t="shared" si="3"/>
        <v>3</v>
      </c>
    </row>
    <row r="58" spans="1:9" ht="15" customHeight="1" x14ac:dyDescent="0.35">
      <c r="A58" s="6" t="s">
        <v>805</v>
      </c>
      <c r="B58" s="3" t="s">
        <v>806</v>
      </c>
      <c r="C58" s="6">
        <v>2</v>
      </c>
      <c r="D58" s="6">
        <v>2</v>
      </c>
      <c r="E58" s="6">
        <v>2</v>
      </c>
      <c r="F58" s="6">
        <v>2</v>
      </c>
      <c r="G58" s="6">
        <v>2</v>
      </c>
      <c r="H58" s="6">
        <f t="shared" si="2"/>
        <v>10</v>
      </c>
      <c r="I58" s="9">
        <f t="shared" si="3"/>
        <v>5</v>
      </c>
    </row>
    <row r="59" spans="1:9" ht="15" customHeight="1" x14ac:dyDescent="0.35">
      <c r="A59" s="6" t="s">
        <v>818</v>
      </c>
      <c r="B59" s="3" t="s">
        <v>819</v>
      </c>
      <c r="C59" s="6">
        <v>2</v>
      </c>
      <c r="D59" s="6">
        <v>1</v>
      </c>
      <c r="E59" s="6">
        <v>1</v>
      </c>
      <c r="F59" s="6">
        <v>1</v>
      </c>
      <c r="G59" s="6">
        <v>1</v>
      </c>
      <c r="H59" s="6">
        <f t="shared" si="2"/>
        <v>6</v>
      </c>
      <c r="I59" s="9">
        <f t="shared" si="3"/>
        <v>3</v>
      </c>
    </row>
    <row r="60" spans="1:9" ht="15" customHeight="1" x14ac:dyDescent="0.35">
      <c r="A60" s="6" t="s">
        <v>827</v>
      </c>
      <c r="B60" s="3" t="s">
        <v>828</v>
      </c>
      <c r="C60" s="6">
        <v>2</v>
      </c>
      <c r="D60" s="6">
        <v>1</v>
      </c>
      <c r="E60" s="6">
        <v>1</v>
      </c>
      <c r="F60" s="6">
        <v>1</v>
      </c>
      <c r="G60" s="6">
        <v>1</v>
      </c>
      <c r="H60" s="6">
        <f t="shared" si="2"/>
        <v>6</v>
      </c>
      <c r="I60" s="9">
        <f t="shared" si="3"/>
        <v>3</v>
      </c>
    </row>
    <row r="61" spans="1:9" ht="15" customHeight="1" x14ac:dyDescent="0.35">
      <c r="A61" s="6" t="s">
        <v>834</v>
      </c>
      <c r="B61" s="3" t="s">
        <v>835</v>
      </c>
      <c r="C61" s="6">
        <v>1</v>
      </c>
      <c r="D61" s="6">
        <v>2</v>
      </c>
      <c r="E61" s="6">
        <v>1</v>
      </c>
      <c r="F61" s="6">
        <v>1</v>
      </c>
      <c r="G61" s="6">
        <v>1</v>
      </c>
      <c r="H61" s="6">
        <f t="shared" si="2"/>
        <v>6</v>
      </c>
      <c r="I61" s="9">
        <f t="shared" si="3"/>
        <v>3</v>
      </c>
    </row>
    <row r="62" spans="1:9" ht="15" customHeight="1" x14ac:dyDescent="0.35">
      <c r="A62" s="6" t="s">
        <v>845</v>
      </c>
      <c r="B62" s="3" t="s">
        <v>846</v>
      </c>
      <c r="C62" s="6">
        <v>1</v>
      </c>
      <c r="D62" s="6">
        <v>1</v>
      </c>
      <c r="E62" s="6">
        <v>2</v>
      </c>
      <c r="F62" s="6">
        <v>1</v>
      </c>
      <c r="G62" s="6">
        <v>1</v>
      </c>
      <c r="H62" s="6">
        <f t="shared" si="2"/>
        <v>6</v>
      </c>
      <c r="I62" s="9">
        <f t="shared" si="3"/>
        <v>3</v>
      </c>
    </row>
    <row r="63" spans="1:9" ht="15" customHeight="1" x14ac:dyDescent="0.35">
      <c r="A63" s="6" t="s">
        <v>854</v>
      </c>
      <c r="B63" s="3" t="s">
        <v>855</v>
      </c>
      <c r="C63" s="6">
        <v>1</v>
      </c>
      <c r="D63" s="6">
        <v>2</v>
      </c>
      <c r="E63" s="6">
        <v>1</v>
      </c>
      <c r="F63" s="6">
        <v>1</v>
      </c>
      <c r="G63" s="6">
        <v>1</v>
      </c>
      <c r="H63" s="6">
        <f t="shared" si="2"/>
        <v>6</v>
      </c>
      <c r="I63" s="9">
        <f t="shared" si="3"/>
        <v>3</v>
      </c>
    </row>
    <row r="64" spans="1:9" ht="15" customHeight="1" x14ac:dyDescent="0.35">
      <c r="A64" s="6" t="s">
        <v>865</v>
      </c>
      <c r="B64" s="3" t="s">
        <v>866</v>
      </c>
      <c r="C64" s="6">
        <v>1</v>
      </c>
      <c r="D64" s="6">
        <v>2</v>
      </c>
      <c r="E64" s="6">
        <v>1</v>
      </c>
      <c r="F64" s="6">
        <v>1</v>
      </c>
      <c r="G64" s="6">
        <v>1</v>
      </c>
      <c r="H64" s="6">
        <f t="shared" si="2"/>
        <v>6</v>
      </c>
      <c r="I64" s="9">
        <f t="shared" si="3"/>
        <v>3</v>
      </c>
    </row>
    <row r="65" spans="1:9" ht="15" customHeight="1" x14ac:dyDescent="0.35">
      <c r="A65" s="6" t="s">
        <v>874</v>
      </c>
      <c r="B65" s="3" t="s">
        <v>875</v>
      </c>
      <c r="C65" s="6">
        <v>2</v>
      </c>
      <c r="D65" s="6">
        <v>1</v>
      </c>
      <c r="E65" s="6">
        <v>1</v>
      </c>
      <c r="F65" s="6">
        <v>1</v>
      </c>
      <c r="G65" s="6">
        <v>1</v>
      </c>
      <c r="H65" s="6">
        <f t="shared" si="2"/>
        <v>6</v>
      </c>
      <c r="I65" s="9">
        <f t="shared" si="3"/>
        <v>3</v>
      </c>
    </row>
    <row r="66" spans="1:9" ht="15" customHeight="1" x14ac:dyDescent="0.35">
      <c r="A66" s="6" t="s">
        <v>885</v>
      </c>
      <c r="B66" s="3" t="s">
        <v>886</v>
      </c>
      <c r="C66" s="6">
        <v>2</v>
      </c>
      <c r="D66" s="6">
        <v>1</v>
      </c>
      <c r="E66" s="6">
        <v>1</v>
      </c>
      <c r="F66" s="6">
        <v>1</v>
      </c>
      <c r="G66" s="6">
        <v>1</v>
      </c>
      <c r="H66" s="6">
        <f t="shared" si="2"/>
        <v>6</v>
      </c>
      <c r="I66" s="9">
        <f t="shared" si="3"/>
        <v>3</v>
      </c>
    </row>
    <row r="67" spans="1:9" ht="15" customHeight="1" x14ac:dyDescent="0.35">
      <c r="A67" s="6" t="s">
        <v>894</v>
      </c>
      <c r="B67" s="3" t="s">
        <v>895</v>
      </c>
      <c r="C67" s="6">
        <v>1</v>
      </c>
      <c r="D67" s="6">
        <v>2</v>
      </c>
      <c r="E67" s="6">
        <v>2</v>
      </c>
      <c r="F67" s="6">
        <v>2</v>
      </c>
      <c r="G67" s="6">
        <v>1</v>
      </c>
      <c r="H67" s="6">
        <f t="shared" si="2"/>
        <v>8</v>
      </c>
      <c r="I67" s="9">
        <f t="shared" si="3"/>
        <v>4</v>
      </c>
    </row>
    <row r="68" spans="1:9" ht="15" customHeight="1" x14ac:dyDescent="0.35">
      <c r="A68" s="6" t="s">
        <v>905</v>
      </c>
      <c r="B68" s="3" t="s">
        <v>906</v>
      </c>
      <c r="C68" s="6">
        <v>1</v>
      </c>
      <c r="D68" s="6">
        <v>2</v>
      </c>
      <c r="E68" s="6">
        <v>1</v>
      </c>
      <c r="F68" s="6">
        <v>2</v>
      </c>
      <c r="G68" s="6">
        <v>2</v>
      </c>
      <c r="H68" s="6">
        <f t="shared" ref="H68:H99" si="4">SUM(C68:G68)</f>
        <v>8</v>
      </c>
      <c r="I68" s="9">
        <f t="shared" ref="I68:I99" si="5">H68/2</f>
        <v>4</v>
      </c>
    </row>
    <row r="69" spans="1:9" ht="15" customHeight="1" x14ac:dyDescent="0.35">
      <c r="A69" s="6" t="s">
        <v>918</v>
      </c>
      <c r="B69" s="3" t="s">
        <v>919</v>
      </c>
      <c r="C69" s="6">
        <v>1</v>
      </c>
      <c r="D69" s="6">
        <v>2</v>
      </c>
      <c r="E69" s="6">
        <v>2</v>
      </c>
      <c r="F69" s="6">
        <v>1</v>
      </c>
      <c r="G69" s="6">
        <v>2</v>
      </c>
      <c r="H69" s="6">
        <f t="shared" si="4"/>
        <v>8</v>
      </c>
      <c r="I69" s="9">
        <f t="shared" si="5"/>
        <v>4</v>
      </c>
    </row>
    <row r="70" spans="1:9" ht="15" customHeight="1" x14ac:dyDescent="0.35">
      <c r="A70" s="6" t="s">
        <v>930</v>
      </c>
      <c r="B70" s="3" t="s">
        <v>931</v>
      </c>
      <c r="C70" s="6">
        <v>1</v>
      </c>
      <c r="D70" s="6">
        <v>1</v>
      </c>
      <c r="E70" s="6">
        <v>2</v>
      </c>
      <c r="F70" s="6">
        <v>1</v>
      </c>
      <c r="G70" s="6">
        <v>1</v>
      </c>
      <c r="H70" s="6">
        <f t="shared" si="4"/>
        <v>6</v>
      </c>
      <c r="I70" s="9">
        <f t="shared" si="5"/>
        <v>3</v>
      </c>
    </row>
    <row r="71" spans="1:9" ht="15" customHeight="1" x14ac:dyDescent="0.35">
      <c r="A71" s="6" t="s">
        <v>940</v>
      </c>
      <c r="B71" s="3" t="s">
        <v>941</v>
      </c>
      <c r="C71" s="6">
        <v>1</v>
      </c>
      <c r="D71" s="6">
        <v>1</v>
      </c>
      <c r="E71" s="6">
        <v>2</v>
      </c>
      <c r="F71" s="6">
        <v>2</v>
      </c>
      <c r="G71" s="6">
        <v>2</v>
      </c>
      <c r="H71" s="6">
        <f t="shared" si="4"/>
        <v>8</v>
      </c>
      <c r="I71" s="9">
        <f t="shared" si="5"/>
        <v>4</v>
      </c>
    </row>
    <row r="72" spans="1:9" ht="15" customHeight="1" x14ac:dyDescent="0.35">
      <c r="A72" s="6" t="s">
        <v>952</v>
      </c>
      <c r="B72" s="3" t="s">
        <v>953</v>
      </c>
      <c r="C72" s="6">
        <v>1</v>
      </c>
      <c r="D72" s="6">
        <v>2</v>
      </c>
      <c r="E72" s="6">
        <v>2</v>
      </c>
      <c r="F72" s="6">
        <v>2</v>
      </c>
      <c r="G72" s="6">
        <v>1</v>
      </c>
      <c r="H72" s="6">
        <f t="shared" si="4"/>
        <v>8</v>
      </c>
      <c r="I72" s="9">
        <f t="shared" si="5"/>
        <v>4</v>
      </c>
    </row>
    <row r="73" spans="1:9" ht="15" customHeight="1" x14ac:dyDescent="0.35">
      <c r="A73" s="6" t="s">
        <v>962</v>
      </c>
      <c r="B73" s="3" t="s">
        <v>963</v>
      </c>
      <c r="C73" s="6">
        <v>2</v>
      </c>
      <c r="D73" s="6">
        <v>2</v>
      </c>
      <c r="E73" s="6">
        <v>2</v>
      </c>
      <c r="F73" s="6">
        <v>1</v>
      </c>
      <c r="G73" s="6">
        <v>1</v>
      </c>
      <c r="H73" s="6">
        <f t="shared" si="4"/>
        <v>8</v>
      </c>
      <c r="I73" s="9">
        <f t="shared" si="5"/>
        <v>4</v>
      </c>
    </row>
    <row r="74" spans="1:9" ht="15" customHeight="1" x14ac:dyDescent="0.35">
      <c r="A74" s="6" t="s">
        <v>975</v>
      </c>
      <c r="B74" s="3" t="s">
        <v>976</v>
      </c>
      <c r="C74" s="6">
        <v>1</v>
      </c>
      <c r="D74" s="6">
        <v>1</v>
      </c>
      <c r="E74" s="6">
        <v>2</v>
      </c>
      <c r="F74" s="6">
        <v>1</v>
      </c>
      <c r="G74" s="6">
        <v>1</v>
      </c>
      <c r="H74" s="6">
        <f t="shared" si="4"/>
        <v>6</v>
      </c>
      <c r="I74" s="9">
        <f t="shared" si="5"/>
        <v>3</v>
      </c>
    </row>
    <row r="75" spans="1:9" ht="15" customHeight="1" x14ac:dyDescent="0.35">
      <c r="A75" s="6" t="s">
        <v>983</v>
      </c>
      <c r="B75" s="3" t="s">
        <v>984</v>
      </c>
      <c r="C75" s="6">
        <v>2</v>
      </c>
      <c r="D75" s="6">
        <v>1</v>
      </c>
      <c r="E75" s="6">
        <v>1</v>
      </c>
      <c r="F75" s="6">
        <v>1</v>
      </c>
      <c r="G75" s="6">
        <v>1</v>
      </c>
      <c r="H75" s="6">
        <f t="shared" si="4"/>
        <v>6</v>
      </c>
      <c r="I75" s="9">
        <f t="shared" si="5"/>
        <v>3</v>
      </c>
    </row>
    <row r="76" spans="1:9" ht="15" customHeight="1" x14ac:dyDescent="0.35">
      <c r="A76" s="6" t="s">
        <v>992</v>
      </c>
      <c r="B76" s="3" t="s">
        <v>993</v>
      </c>
      <c r="C76" s="6">
        <v>1</v>
      </c>
      <c r="D76" s="6">
        <v>1</v>
      </c>
      <c r="E76" s="6">
        <v>1</v>
      </c>
      <c r="F76" s="6">
        <v>2</v>
      </c>
      <c r="G76" s="6">
        <v>1</v>
      </c>
      <c r="H76" s="6">
        <f t="shared" si="4"/>
        <v>6</v>
      </c>
      <c r="I76" s="9">
        <f t="shared" si="5"/>
        <v>3</v>
      </c>
    </row>
    <row r="77" spans="1:9" ht="23.25" customHeight="1" x14ac:dyDescent="0.35">
      <c r="A77" s="6" t="s">
        <v>1001</v>
      </c>
      <c r="B77" s="3" t="s">
        <v>1002</v>
      </c>
      <c r="C77" s="6">
        <v>1</v>
      </c>
      <c r="D77" s="6">
        <v>2</v>
      </c>
      <c r="E77" s="6">
        <v>1</v>
      </c>
      <c r="F77" s="6">
        <v>1</v>
      </c>
      <c r="G77" s="6">
        <v>1</v>
      </c>
      <c r="H77" s="6">
        <f t="shared" si="4"/>
        <v>6</v>
      </c>
      <c r="I77" s="9">
        <f t="shared" si="5"/>
        <v>3</v>
      </c>
    </row>
    <row r="78" spans="1:9" ht="15" customHeight="1" x14ac:dyDescent="0.35">
      <c r="A78" s="6" t="s">
        <v>1009</v>
      </c>
      <c r="B78" s="3" t="s">
        <v>1010</v>
      </c>
      <c r="C78" s="6">
        <v>1</v>
      </c>
      <c r="D78" s="6">
        <v>1</v>
      </c>
      <c r="E78" s="6">
        <v>1</v>
      </c>
      <c r="F78" s="6">
        <v>1</v>
      </c>
      <c r="G78" s="6">
        <v>2</v>
      </c>
      <c r="H78" s="6">
        <f t="shared" si="4"/>
        <v>6</v>
      </c>
      <c r="I78" s="9">
        <f t="shared" si="5"/>
        <v>3</v>
      </c>
    </row>
    <row r="79" spans="1:9" ht="15" customHeight="1" x14ac:dyDescent="0.35">
      <c r="A79" s="6" t="s">
        <v>1017</v>
      </c>
      <c r="B79" s="3" t="s">
        <v>1018</v>
      </c>
      <c r="C79" s="6">
        <v>2</v>
      </c>
      <c r="D79" s="6">
        <v>2</v>
      </c>
      <c r="E79" s="6">
        <v>1</v>
      </c>
      <c r="F79" s="6">
        <v>2</v>
      </c>
      <c r="G79" s="6">
        <v>1</v>
      </c>
      <c r="H79" s="6">
        <f t="shared" si="4"/>
        <v>8</v>
      </c>
      <c r="I79" s="9">
        <f t="shared" si="5"/>
        <v>4</v>
      </c>
    </row>
    <row r="80" spans="1:9" ht="15" customHeight="1" x14ac:dyDescent="0.35">
      <c r="A80" s="6" t="s">
        <v>1025</v>
      </c>
      <c r="B80" s="3" t="s">
        <v>1026</v>
      </c>
      <c r="C80" s="6">
        <v>1</v>
      </c>
      <c r="D80" s="6">
        <v>2</v>
      </c>
      <c r="E80" s="6">
        <v>1</v>
      </c>
      <c r="F80" s="6">
        <v>1</v>
      </c>
      <c r="G80" s="6">
        <v>1</v>
      </c>
      <c r="H80" s="6">
        <f t="shared" si="4"/>
        <v>6</v>
      </c>
      <c r="I80" s="9">
        <f t="shared" si="5"/>
        <v>3</v>
      </c>
    </row>
    <row r="81" spans="1:9" ht="15" customHeight="1" x14ac:dyDescent="0.35">
      <c r="A81" s="6" t="s">
        <v>1034</v>
      </c>
      <c r="B81" s="3" t="s">
        <v>1035</v>
      </c>
      <c r="C81" s="6">
        <v>2</v>
      </c>
      <c r="D81" s="6">
        <v>2</v>
      </c>
      <c r="E81" s="6">
        <v>2</v>
      </c>
      <c r="F81" s="6">
        <v>1</v>
      </c>
      <c r="G81" s="6">
        <v>1</v>
      </c>
      <c r="H81" s="6">
        <f t="shared" si="4"/>
        <v>8</v>
      </c>
      <c r="I81" s="9">
        <f t="shared" si="5"/>
        <v>4</v>
      </c>
    </row>
    <row r="82" spans="1:9" ht="15" customHeight="1" x14ac:dyDescent="0.35">
      <c r="A82" s="6" t="s">
        <v>1045</v>
      </c>
      <c r="B82" s="3" t="s">
        <v>1046</v>
      </c>
      <c r="C82" s="6">
        <v>1</v>
      </c>
      <c r="D82" s="6">
        <v>1</v>
      </c>
      <c r="E82" s="6">
        <v>1</v>
      </c>
      <c r="F82" s="6">
        <v>1</v>
      </c>
      <c r="G82" s="6">
        <v>2</v>
      </c>
      <c r="H82" s="6">
        <f t="shared" si="4"/>
        <v>6</v>
      </c>
      <c r="I82" s="9">
        <f t="shared" si="5"/>
        <v>3</v>
      </c>
    </row>
    <row r="83" spans="1:9" ht="15" customHeight="1" x14ac:dyDescent="0.35">
      <c r="A83" s="6" t="s">
        <v>1054</v>
      </c>
      <c r="B83" s="3" t="s">
        <v>1055</v>
      </c>
      <c r="C83" s="6">
        <v>1</v>
      </c>
      <c r="D83" s="6">
        <v>1</v>
      </c>
      <c r="E83" s="6">
        <v>1</v>
      </c>
      <c r="F83" s="6">
        <v>1</v>
      </c>
      <c r="G83" s="6">
        <v>2</v>
      </c>
      <c r="H83" s="6">
        <f t="shared" si="4"/>
        <v>6</v>
      </c>
      <c r="I83" s="9">
        <f t="shared" si="5"/>
        <v>3</v>
      </c>
    </row>
    <row r="84" spans="1:9" ht="15" customHeight="1" x14ac:dyDescent="0.35">
      <c r="A84" s="6" t="s">
        <v>1062</v>
      </c>
      <c r="B84" s="3" t="s">
        <v>1063</v>
      </c>
      <c r="C84" s="6">
        <v>2</v>
      </c>
      <c r="D84" s="6">
        <v>1</v>
      </c>
      <c r="E84" s="6">
        <v>1</v>
      </c>
      <c r="F84" s="6">
        <v>1</v>
      </c>
      <c r="G84" s="6">
        <v>1</v>
      </c>
      <c r="H84" s="6">
        <f t="shared" si="4"/>
        <v>6</v>
      </c>
      <c r="I84" s="9">
        <f t="shared" si="5"/>
        <v>3</v>
      </c>
    </row>
    <row r="85" spans="1:9" ht="15" customHeight="1" x14ac:dyDescent="0.35">
      <c r="A85" s="6" t="s">
        <v>1070</v>
      </c>
      <c r="B85" s="3" t="s">
        <v>1071</v>
      </c>
      <c r="C85" s="6">
        <v>2</v>
      </c>
      <c r="D85" s="6">
        <v>2</v>
      </c>
      <c r="E85" s="6">
        <v>1</v>
      </c>
      <c r="F85" s="6">
        <v>2</v>
      </c>
      <c r="G85" s="6">
        <v>1</v>
      </c>
      <c r="H85" s="6">
        <f t="shared" si="4"/>
        <v>8</v>
      </c>
      <c r="I85" s="9">
        <f t="shared" si="5"/>
        <v>4</v>
      </c>
    </row>
    <row r="86" spans="1:9" ht="15" customHeight="1" x14ac:dyDescent="0.35">
      <c r="A86" s="6" t="s">
        <v>1080</v>
      </c>
      <c r="B86" s="3" t="s">
        <v>1081</v>
      </c>
      <c r="C86" s="6">
        <v>1</v>
      </c>
      <c r="D86" s="6">
        <v>2</v>
      </c>
      <c r="E86" s="6">
        <v>1</v>
      </c>
      <c r="F86" s="6">
        <v>1</v>
      </c>
      <c r="G86" s="6">
        <v>1</v>
      </c>
      <c r="H86" s="6">
        <f t="shared" si="4"/>
        <v>6</v>
      </c>
      <c r="I86" s="9">
        <f t="shared" si="5"/>
        <v>3</v>
      </c>
    </row>
    <row r="87" spans="1:9" ht="15" customHeight="1" x14ac:dyDescent="0.35">
      <c r="A87" s="6" t="s">
        <v>1089</v>
      </c>
      <c r="B87" s="3" t="s">
        <v>1090</v>
      </c>
      <c r="C87" s="6">
        <v>1</v>
      </c>
      <c r="D87" s="6">
        <v>1</v>
      </c>
      <c r="E87" s="6">
        <v>1</v>
      </c>
      <c r="F87" s="6">
        <v>1</v>
      </c>
      <c r="G87" s="6">
        <v>2</v>
      </c>
      <c r="H87" s="6">
        <f t="shared" si="4"/>
        <v>6</v>
      </c>
      <c r="I87" s="9">
        <f t="shared" si="5"/>
        <v>3</v>
      </c>
    </row>
    <row r="88" spans="1:9" ht="15" customHeight="1" x14ac:dyDescent="0.35">
      <c r="A88" s="6" t="s">
        <v>1099</v>
      </c>
      <c r="B88" s="3" t="s">
        <v>1100</v>
      </c>
      <c r="C88" s="6">
        <v>1</v>
      </c>
      <c r="D88" s="6">
        <v>2</v>
      </c>
      <c r="E88" s="6">
        <v>2</v>
      </c>
      <c r="F88" s="6">
        <v>2</v>
      </c>
      <c r="G88" s="6">
        <v>1</v>
      </c>
      <c r="H88" s="6">
        <f t="shared" si="4"/>
        <v>8</v>
      </c>
      <c r="I88" s="9">
        <f t="shared" si="5"/>
        <v>4</v>
      </c>
    </row>
    <row r="89" spans="1:9" ht="15" customHeight="1" x14ac:dyDescent="0.35">
      <c r="A89" s="6" t="s">
        <v>1107</v>
      </c>
      <c r="B89" s="3" t="s">
        <v>1108</v>
      </c>
      <c r="C89" s="6">
        <v>2</v>
      </c>
      <c r="D89" s="6">
        <v>2</v>
      </c>
      <c r="E89" s="6">
        <v>1</v>
      </c>
      <c r="F89" s="6">
        <v>1</v>
      </c>
      <c r="G89" s="6">
        <v>2</v>
      </c>
      <c r="H89" s="6">
        <f t="shared" si="4"/>
        <v>8</v>
      </c>
      <c r="I89" s="9">
        <f t="shared" si="5"/>
        <v>4</v>
      </c>
    </row>
    <row r="90" spans="1:9" ht="15" customHeight="1" x14ac:dyDescent="0.35">
      <c r="A90" s="6" t="s">
        <v>1117</v>
      </c>
      <c r="B90" s="3" t="s">
        <v>1118</v>
      </c>
      <c r="C90" s="6">
        <v>1</v>
      </c>
      <c r="D90" s="6">
        <v>1</v>
      </c>
      <c r="E90" s="6">
        <v>2</v>
      </c>
      <c r="F90" s="6">
        <v>1</v>
      </c>
      <c r="G90" s="6">
        <v>1</v>
      </c>
      <c r="H90" s="6">
        <f t="shared" si="4"/>
        <v>6</v>
      </c>
      <c r="I90" s="9">
        <f t="shared" si="5"/>
        <v>3</v>
      </c>
    </row>
    <row r="91" spans="1:9" ht="23.25" customHeight="1" x14ac:dyDescent="0.35">
      <c r="A91" s="6" t="s">
        <v>1124</v>
      </c>
      <c r="B91" s="3" t="s">
        <v>1125</v>
      </c>
      <c r="C91" s="6">
        <v>1</v>
      </c>
      <c r="D91" s="6">
        <v>2</v>
      </c>
      <c r="E91" s="6">
        <v>1</v>
      </c>
      <c r="F91" s="6">
        <v>1</v>
      </c>
      <c r="G91" s="6">
        <v>1</v>
      </c>
      <c r="H91" s="6">
        <f t="shared" si="4"/>
        <v>6</v>
      </c>
      <c r="I91" s="9">
        <f t="shared" si="5"/>
        <v>3</v>
      </c>
    </row>
    <row r="92" spans="1:9" ht="15" customHeight="1" x14ac:dyDescent="0.35">
      <c r="A92" s="6" t="s">
        <v>1132</v>
      </c>
      <c r="B92" s="3" t="s">
        <v>1133</v>
      </c>
      <c r="C92" s="6">
        <v>2</v>
      </c>
      <c r="D92" s="6">
        <v>1</v>
      </c>
      <c r="E92" s="6">
        <v>2</v>
      </c>
      <c r="F92" s="6">
        <v>1</v>
      </c>
      <c r="G92" s="6">
        <v>2</v>
      </c>
      <c r="H92" s="6">
        <f t="shared" si="4"/>
        <v>8</v>
      </c>
      <c r="I92" s="9">
        <f t="shared" si="5"/>
        <v>4</v>
      </c>
    </row>
    <row r="93" spans="1:9" ht="15" customHeight="1" x14ac:dyDescent="0.35">
      <c r="A93" s="6" t="s">
        <v>1141</v>
      </c>
      <c r="B93" s="3" t="s">
        <v>1142</v>
      </c>
      <c r="C93" s="6">
        <v>2</v>
      </c>
      <c r="D93" s="6">
        <v>1</v>
      </c>
      <c r="E93" s="6">
        <v>2</v>
      </c>
      <c r="F93" s="6">
        <v>1</v>
      </c>
      <c r="G93" s="6">
        <v>2</v>
      </c>
      <c r="H93" s="6">
        <f t="shared" si="4"/>
        <v>8</v>
      </c>
      <c r="I93" s="9">
        <f t="shared" si="5"/>
        <v>4</v>
      </c>
    </row>
    <row r="94" spans="1:9" ht="15" customHeight="1" x14ac:dyDescent="0.35">
      <c r="A94" s="6" t="s">
        <v>1151</v>
      </c>
      <c r="B94" s="3" t="s">
        <v>1152</v>
      </c>
      <c r="C94" s="6">
        <v>1</v>
      </c>
      <c r="D94" s="6">
        <v>1</v>
      </c>
      <c r="E94" s="6">
        <v>1</v>
      </c>
      <c r="F94" s="6">
        <v>1</v>
      </c>
      <c r="G94" s="6">
        <v>2</v>
      </c>
      <c r="H94" s="6">
        <f t="shared" si="4"/>
        <v>6</v>
      </c>
      <c r="I94" s="9">
        <f t="shared" si="5"/>
        <v>3</v>
      </c>
    </row>
    <row r="95" spans="1:9" ht="15" customHeight="1" x14ac:dyDescent="0.35">
      <c r="A95" s="6" t="s">
        <v>1161</v>
      </c>
      <c r="B95" s="3" t="s">
        <v>1162</v>
      </c>
      <c r="C95" s="6">
        <v>1</v>
      </c>
      <c r="D95" s="6">
        <v>2</v>
      </c>
      <c r="E95" s="6">
        <v>1</v>
      </c>
      <c r="F95" s="6">
        <v>1</v>
      </c>
      <c r="G95" s="6">
        <v>1</v>
      </c>
      <c r="H95" s="6">
        <f t="shared" si="4"/>
        <v>6</v>
      </c>
      <c r="I95" s="9">
        <f t="shared" si="5"/>
        <v>3</v>
      </c>
    </row>
    <row r="96" spans="1:9" ht="15" customHeight="1" x14ac:dyDescent="0.35">
      <c r="A96" s="6" t="s">
        <v>1169</v>
      </c>
      <c r="B96" s="3" t="s">
        <v>1170</v>
      </c>
      <c r="C96" s="6">
        <v>1</v>
      </c>
      <c r="D96" s="6">
        <v>1</v>
      </c>
      <c r="E96" s="6">
        <v>1</v>
      </c>
      <c r="F96" s="6">
        <v>2</v>
      </c>
      <c r="G96" s="6">
        <v>1</v>
      </c>
      <c r="H96" s="6">
        <f t="shared" si="4"/>
        <v>6</v>
      </c>
      <c r="I96" s="9">
        <f t="shared" si="5"/>
        <v>3</v>
      </c>
    </row>
    <row r="97" spans="1:9" ht="15" customHeight="1" x14ac:dyDescent="0.35">
      <c r="A97" s="6" t="s">
        <v>1180</v>
      </c>
      <c r="B97" s="3" t="s">
        <v>1181</v>
      </c>
      <c r="C97" s="6">
        <v>2</v>
      </c>
      <c r="D97" s="6">
        <v>1</v>
      </c>
      <c r="E97" s="6">
        <v>1</v>
      </c>
      <c r="F97" s="6">
        <v>1</v>
      </c>
      <c r="G97" s="6">
        <v>1</v>
      </c>
      <c r="H97" s="6">
        <f t="shared" si="4"/>
        <v>6</v>
      </c>
      <c r="I97" s="9">
        <f t="shared" si="5"/>
        <v>3</v>
      </c>
    </row>
    <row r="98" spans="1:9" ht="15" customHeight="1" x14ac:dyDescent="0.35">
      <c r="A98" s="6" t="s">
        <v>1193</v>
      </c>
      <c r="B98" s="3" t="s">
        <v>1194</v>
      </c>
      <c r="C98" s="6">
        <v>1</v>
      </c>
      <c r="D98" s="6">
        <v>1</v>
      </c>
      <c r="E98" s="6">
        <v>1</v>
      </c>
      <c r="F98" s="6">
        <v>1</v>
      </c>
      <c r="G98" s="6">
        <v>2</v>
      </c>
      <c r="H98" s="6">
        <f t="shared" si="4"/>
        <v>6</v>
      </c>
      <c r="I98" s="9">
        <f t="shared" si="5"/>
        <v>3</v>
      </c>
    </row>
    <row r="99" spans="1:9" ht="15" customHeight="1" x14ac:dyDescent="0.35">
      <c r="A99" s="6" t="s">
        <v>1201</v>
      </c>
      <c r="B99" s="3" t="s">
        <v>1202</v>
      </c>
      <c r="C99" s="6">
        <v>1</v>
      </c>
      <c r="D99" s="6">
        <v>1</v>
      </c>
      <c r="E99" s="6">
        <v>1</v>
      </c>
      <c r="F99" s="6">
        <v>1</v>
      </c>
      <c r="G99" s="6">
        <v>2</v>
      </c>
      <c r="H99" s="6">
        <f t="shared" si="4"/>
        <v>6</v>
      </c>
      <c r="I99" s="9">
        <f t="shared" si="5"/>
        <v>3</v>
      </c>
    </row>
    <row r="100" spans="1:9" ht="15" customHeight="1" x14ac:dyDescent="0.35">
      <c r="A100" s="6" t="s">
        <v>1211</v>
      </c>
      <c r="B100" s="3" t="s">
        <v>1212</v>
      </c>
      <c r="C100" s="6">
        <v>1</v>
      </c>
      <c r="D100" s="6">
        <v>2</v>
      </c>
      <c r="E100" s="6">
        <v>1</v>
      </c>
      <c r="F100" s="6">
        <v>1</v>
      </c>
      <c r="G100" s="6">
        <v>1</v>
      </c>
      <c r="H100" s="6">
        <f t="shared" ref="H100:H131" si="6">SUM(C100:G100)</f>
        <v>6</v>
      </c>
      <c r="I100" s="9">
        <f t="shared" ref="I100:I131" si="7">H100/2</f>
        <v>3</v>
      </c>
    </row>
    <row r="101" spans="1:9" ht="15" customHeight="1" x14ac:dyDescent="0.35">
      <c r="A101" s="6" t="s">
        <v>1221</v>
      </c>
      <c r="B101" s="3" t="s">
        <v>1222</v>
      </c>
      <c r="C101" s="6">
        <v>2</v>
      </c>
      <c r="D101" s="6">
        <v>1</v>
      </c>
      <c r="E101" s="6">
        <v>1</v>
      </c>
      <c r="F101" s="6">
        <v>1</v>
      </c>
      <c r="G101" s="6">
        <v>1</v>
      </c>
      <c r="H101" s="6">
        <f t="shared" si="6"/>
        <v>6</v>
      </c>
      <c r="I101" s="9">
        <f t="shared" si="7"/>
        <v>3</v>
      </c>
    </row>
    <row r="102" spans="1:9" ht="15" customHeight="1" x14ac:dyDescent="0.35">
      <c r="A102" s="6" t="s">
        <v>1230</v>
      </c>
      <c r="B102" s="3" t="s">
        <v>1231</v>
      </c>
      <c r="C102" s="6">
        <v>1</v>
      </c>
      <c r="D102" s="6">
        <v>2</v>
      </c>
      <c r="E102" s="6">
        <v>1</v>
      </c>
      <c r="F102" s="6">
        <v>1</v>
      </c>
      <c r="G102" s="6">
        <v>1</v>
      </c>
      <c r="H102" s="6">
        <f t="shared" si="6"/>
        <v>6</v>
      </c>
      <c r="I102" s="9">
        <f t="shared" si="7"/>
        <v>3</v>
      </c>
    </row>
    <row r="103" spans="1:9" ht="15" customHeight="1" x14ac:dyDescent="0.35">
      <c r="A103" s="6" t="s">
        <v>1240</v>
      </c>
      <c r="B103" s="3" t="s">
        <v>1241</v>
      </c>
      <c r="C103" s="6">
        <v>1</v>
      </c>
      <c r="D103" s="6">
        <v>1</v>
      </c>
      <c r="E103" s="6">
        <v>1</v>
      </c>
      <c r="F103" s="6">
        <v>1</v>
      </c>
      <c r="G103" s="6">
        <v>2</v>
      </c>
      <c r="H103" s="6">
        <f t="shared" si="6"/>
        <v>6</v>
      </c>
      <c r="I103" s="9">
        <f t="shared" si="7"/>
        <v>3</v>
      </c>
    </row>
    <row r="104" spans="1:9" ht="15" customHeight="1" x14ac:dyDescent="0.35">
      <c r="A104" s="6" t="s">
        <v>1248</v>
      </c>
      <c r="B104" s="3" t="s">
        <v>1249</v>
      </c>
      <c r="C104" s="6">
        <v>2</v>
      </c>
      <c r="D104" s="6">
        <v>1</v>
      </c>
      <c r="E104" s="6">
        <v>2</v>
      </c>
      <c r="F104" s="6">
        <v>2</v>
      </c>
      <c r="G104" s="6">
        <v>1</v>
      </c>
      <c r="H104" s="6">
        <f t="shared" si="6"/>
        <v>8</v>
      </c>
      <c r="I104" s="9">
        <f t="shared" si="7"/>
        <v>4</v>
      </c>
    </row>
    <row r="105" spans="1:9" ht="15" customHeight="1" x14ac:dyDescent="0.35">
      <c r="A105" s="6" t="s">
        <v>1256</v>
      </c>
      <c r="B105" s="3" t="s">
        <v>1257</v>
      </c>
      <c r="C105" s="6">
        <v>2</v>
      </c>
      <c r="D105" s="6">
        <v>1</v>
      </c>
      <c r="E105" s="6">
        <v>2</v>
      </c>
      <c r="F105" s="6">
        <v>1</v>
      </c>
      <c r="G105" s="6">
        <v>2</v>
      </c>
      <c r="H105" s="6">
        <f t="shared" si="6"/>
        <v>8</v>
      </c>
      <c r="I105" s="9">
        <f t="shared" si="7"/>
        <v>4</v>
      </c>
    </row>
    <row r="106" spans="1:9" ht="15" customHeight="1" x14ac:dyDescent="0.35">
      <c r="A106" s="6" t="s">
        <v>1264</v>
      </c>
      <c r="B106" s="3" t="s">
        <v>1265</v>
      </c>
      <c r="C106" s="6">
        <v>2</v>
      </c>
      <c r="D106" s="6">
        <v>1</v>
      </c>
      <c r="E106" s="6">
        <v>1</v>
      </c>
      <c r="F106" s="6">
        <v>2</v>
      </c>
      <c r="G106" s="6">
        <v>2</v>
      </c>
      <c r="H106" s="6">
        <f t="shared" si="6"/>
        <v>8</v>
      </c>
      <c r="I106" s="9">
        <f t="shared" si="7"/>
        <v>4</v>
      </c>
    </row>
    <row r="107" spans="1:9" ht="15" customHeight="1" x14ac:dyDescent="0.35">
      <c r="A107" s="6" t="s">
        <v>1274</v>
      </c>
      <c r="B107" s="3" t="s">
        <v>1275</v>
      </c>
      <c r="C107" s="6">
        <v>2</v>
      </c>
      <c r="D107" s="6">
        <v>2</v>
      </c>
      <c r="E107" s="6">
        <v>2</v>
      </c>
      <c r="F107" s="6">
        <v>2</v>
      </c>
      <c r="G107" s="6">
        <v>2</v>
      </c>
      <c r="H107" s="6">
        <f t="shared" si="6"/>
        <v>10</v>
      </c>
      <c r="I107" s="9">
        <f t="shared" si="7"/>
        <v>5</v>
      </c>
    </row>
    <row r="108" spans="1:9" ht="15" customHeight="1" x14ac:dyDescent="0.35">
      <c r="A108" s="6" t="s">
        <v>1282</v>
      </c>
      <c r="B108" s="3" t="s">
        <v>1283</v>
      </c>
      <c r="C108" s="6">
        <v>2</v>
      </c>
      <c r="D108" s="6">
        <v>2</v>
      </c>
      <c r="E108" s="6">
        <v>2</v>
      </c>
      <c r="F108" s="6">
        <v>1</v>
      </c>
      <c r="G108" s="6">
        <v>1</v>
      </c>
      <c r="H108" s="6">
        <f t="shared" si="6"/>
        <v>8</v>
      </c>
      <c r="I108" s="9">
        <f t="shared" si="7"/>
        <v>4</v>
      </c>
    </row>
    <row r="109" spans="1:9" ht="15" customHeight="1" x14ac:dyDescent="0.35">
      <c r="A109" s="6" t="s">
        <v>1292</v>
      </c>
      <c r="B109" s="3" t="s">
        <v>1293</v>
      </c>
      <c r="C109" s="6">
        <v>1</v>
      </c>
      <c r="D109" s="6">
        <v>2</v>
      </c>
      <c r="E109" s="6">
        <v>1</v>
      </c>
      <c r="F109" s="6">
        <v>1</v>
      </c>
      <c r="G109" s="6">
        <v>1</v>
      </c>
      <c r="H109" s="6">
        <f t="shared" si="6"/>
        <v>6</v>
      </c>
      <c r="I109" s="9">
        <f t="shared" si="7"/>
        <v>3</v>
      </c>
    </row>
    <row r="110" spans="1:9" ht="15" customHeight="1" x14ac:dyDescent="0.35">
      <c r="A110" s="6" t="s">
        <v>1303</v>
      </c>
      <c r="B110" s="3" t="s">
        <v>1304</v>
      </c>
      <c r="C110" s="6">
        <v>2</v>
      </c>
      <c r="D110" s="6">
        <v>2</v>
      </c>
      <c r="E110" s="6">
        <v>2</v>
      </c>
      <c r="F110" s="6">
        <v>2</v>
      </c>
      <c r="G110" s="6">
        <v>2</v>
      </c>
      <c r="H110" s="6">
        <f t="shared" si="6"/>
        <v>10</v>
      </c>
      <c r="I110" s="9">
        <f t="shared" si="7"/>
        <v>5</v>
      </c>
    </row>
    <row r="111" spans="1:9" ht="15" customHeight="1" x14ac:dyDescent="0.35">
      <c r="A111" s="6" t="s">
        <v>1316</v>
      </c>
      <c r="B111" s="3" t="s">
        <v>1317</v>
      </c>
      <c r="C111" s="6">
        <v>2</v>
      </c>
      <c r="D111" s="6">
        <v>1</v>
      </c>
      <c r="E111" s="6">
        <v>2</v>
      </c>
      <c r="F111" s="6">
        <v>2</v>
      </c>
      <c r="G111" s="6">
        <v>1</v>
      </c>
      <c r="H111" s="6">
        <f t="shared" si="6"/>
        <v>8</v>
      </c>
      <c r="I111" s="9">
        <f t="shared" si="7"/>
        <v>4</v>
      </c>
    </row>
    <row r="112" spans="1:9" ht="15" customHeight="1" x14ac:dyDescent="0.35">
      <c r="A112" s="6" t="s">
        <v>1325</v>
      </c>
      <c r="B112" s="3" t="s">
        <v>1326</v>
      </c>
      <c r="C112" s="6">
        <v>2</v>
      </c>
      <c r="D112" s="6">
        <v>2</v>
      </c>
      <c r="E112" s="6">
        <v>2</v>
      </c>
      <c r="F112" s="6">
        <v>2</v>
      </c>
      <c r="G112" s="6">
        <v>2</v>
      </c>
      <c r="H112" s="6">
        <f t="shared" si="6"/>
        <v>10</v>
      </c>
      <c r="I112" s="9">
        <f t="shared" si="7"/>
        <v>5</v>
      </c>
    </row>
    <row r="113" spans="1:9" ht="15" customHeight="1" x14ac:dyDescent="0.35">
      <c r="A113" s="6" t="s">
        <v>1332</v>
      </c>
      <c r="B113" s="3" t="s">
        <v>1333</v>
      </c>
      <c r="C113" s="6">
        <v>2</v>
      </c>
      <c r="D113" s="6">
        <v>2</v>
      </c>
      <c r="E113" s="6">
        <v>2</v>
      </c>
      <c r="F113" s="6">
        <v>2</v>
      </c>
      <c r="G113" s="6">
        <v>2</v>
      </c>
      <c r="H113" s="6">
        <f t="shared" si="6"/>
        <v>10</v>
      </c>
      <c r="I113" s="9">
        <f t="shared" si="7"/>
        <v>5</v>
      </c>
    </row>
    <row r="114" spans="1:9" ht="15" customHeight="1" x14ac:dyDescent="0.35">
      <c r="A114" s="6" t="s">
        <v>1341</v>
      </c>
      <c r="B114" s="3" t="s">
        <v>1342</v>
      </c>
      <c r="C114" s="6">
        <v>2</v>
      </c>
      <c r="D114" s="6">
        <v>2</v>
      </c>
      <c r="E114" s="6">
        <v>2</v>
      </c>
      <c r="F114" s="6">
        <v>2</v>
      </c>
      <c r="G114" s="6">
        <v>2</v>
      </c>
      <c r="H114" s="6">
        <f t="shared" si="6"/>
        <v>10</v>
      </c>
      <c r="I114" s="9">
        <f t="shared" si="7"/>
        <v>5</v>
      </c>
    </row>
    <row r="115" spans="1:9" ht="15" customHeight="1" x14ac:dyDescent="0.35">
      <c r="A115" s="6" t="s">
        <v>1351</v>
      </c>
      <c r="B115" s="3" t="s">
        <v>1352</v>
      </c>
      <c r="C115" s="6">
        <v>2</v>
      </c>
      <c r="D115" s="6">
        <v>2</v>
      </c>
      <c r="E115" s="6">
        <v>2</v>
      </c>
      <c r="F115" s="6">
        <v>2</v>
      </c>
      <c r="G115" s="6">
        <v>2</v>
      </c>
      <c r="H115" s="6">
        <f t="shared" si="6"/>
        <v>10</v>
      </c>
      <c r="I115" s="9">
        <f t="shared" si="7"/>
        <v>5</v>
      </c>
    </row>
    <row r="116" spans="1:9" ht="15" customHeight="1" x14ac:dyDescent="0.35">
      <c r="A116" s="6" t="s">
        <v>1359</v>
      </c>
      <c r="B116" s="3" t="s">
        <v>1360</v>
      </c>
      <c r="C116" s="6">
        <v>1</v>
      </c>
      <c r="D116" s="6">
        <v>2</v>
      </c>
      <c r="E116" s="6">
        <v>2</v>
      </c>
      <c r="F116" s="6">
        <v>1</v>
      </c>
      <c r="G116" s="6">
        <v>2</v>
      </c>
      <c r="H116" s="6">
        <f t="shared" si="6"/>
        <v>8</v>
      </c>
      <c r="I116" s="9">
        <f t="shared" si="7"/>
        <v>4</v>
      </c>
    </row>
    <row r="117" spans="1:9" ht="15" customHeight="1" x14ac:dyDescent="0.35">
      <c r="A117" s="6" t="s">
        <v>1367</v>
      </c>
      <c r="B117" s="3" t="s">
        <v>1368</v>
      </c>
      <c r="C117" s="6">
        <v>1</v>
      </c>
      <c r="D117" s="6">
        <v>2</v>
      </c>
      <c r="E117" s="6">
        <v>2</v>
      </c>
      <c r="F117" s="6">
        <v>1</v>
      </c>
      <c r="G117" s="6">
        <v>2</v>
      </c>
      <c r="H117" s="6">
        <f t="shared" si="6"/>
        <v>8</v>
      </c>
      <c r="I117" s="9">
        <f t="shared" si="7"/>
        <v>4</v>
      </c>
    </row>
    <row r="118" spans="1:9" ht="15" customHeight="1" x14ac:dyDescent="0.35">
      <c r="A118" s="6" t="s">
        <v>1376</v>
      </c>
      <c r="B118" s="3" t="s">
        <v>1377</v>
      </c>
      <c r="C118" s="6">
        <v>2</v>
      </c>
      <c r="D118" s="6">
        <v>2</v>
      </c>
      <c r="E118" s="6">
        <v>2</v>
      </c>
      <c r="F118" s="6">
        <v>2</v>
      </c>
      <c r="G118" s="6">
        <v>2</v>
      </c>
      <c r="H118" s="6">
        <f t="shared" si="6"/>
        <v>10</v>
      </c>
      <c r="I118" s="9">
        <f t="shared" si="7"/>
        <v>5</v>
      </c>
    </row>
    <row r="119" spans="1:9" ht="15" customHeight="1" x14ac:dyDescent="0.35">
      <c r="A119" s="6" t="s">
        <v>1385</v>
      </c>
      <c r="B119" s="3" t="s">
        <v>1386</v>
      </c>
      <c r="C119" s="6">
        <v>1</v>
      </c>
      <c r="D119" s="6">
        <v>1</v>
      </c>
      <c r="E119" s="6">
        <v>1</v>
      </c>
      <c r="F119" s="6">
        <v>2</v>
      </c>
      <c r="G119" s="6">
        <v>1</v>
      </c>
      <c r="H119" s="6">
        <f t="shared" si="6"/>
        <v>6</v>
      </c>
      <c r="I119" s="9">
        <f t="shared" si="7"/>
        <v>3</v>
      </c>
    </row>
    <row r="120" spans="1:9" ht="15" customHeight="1" x14ac:dyDescent="0.35">
      <c r="A120" s="6" t="s">
        <v>1397</v>
      </c>
      <c r="B120" s="3" t="s">
        <v>1398</v>
      </c>
      <c r="C120" s="6">
        <v>2</v>
      </c>
      <c r="D120" s="6">
        <v>2</v>
      </c>
      <c r="E120" s="6">
        <v>2</v>
      </c>
      <c r="F120" s="6">
        <v>2</v>
      </c>
      <c r="G120" s="6">
        <v>2</v>
      </c>
      <c r="H120" s="6">
        <f t="shared" si="6"/>
        <v>10</v>
      </c>
      <c r="I120" s="9">
        <f t="shared" si="7"/>
        <v>5</v>
      </c>
    </row>
    <row r="121" spans="1:9" ht="15" customHeight="1" x14ac:dyDescent="0.35">
      <c r="A121" s="6" t="s">
        <v>1408</v>
      </c>
      <c r="B121" s="3" t="s">
        <v>1409</v>
      </c>
      <c r="C121" s="6">
        <v>1</v>
      </c>
      <c r="D121" s="6">
        <v>2</v>
      </c>
      <c r="E121" s="6">
        <v>1</v>
      </c>
      <c r="F121" s="6">
        <v>2</v>
      </c>
      <c r="G121" s="6">
        <v>2</v>
      </c>
      <c r="H121" s="6">
        <f t="shared" si="6"/>
        <v>8</v>
      </c>
      <c r="I121" s="9">
        <f t="shared" si="7"/>
        <v>4</v>
      </c>
    </row>
    <row r="122" spans="1:9" ht="15" customHeight="1" x14ac:dyDescent="0.35">
      <c r="A122" s="6" t="s">
        <v>1417</v>
      </c>
      <c r="B122" s="3" t="s">
        <v>1418</v>
      </c>
      <c r="C122" s="6">
        <v>2</v>
      </c>
      <c r="D122" s="6">
        <v>2</v>
      </c>
      <c r="E122" s="6">
        <v>2</v>
      </c>
      <c r="F122" s="6">
        <v>2</v>
      </c>
      <c r="G122" s="6">
        <v>2</v>
      </c>
      <c r="H122" s="6">
        <f t="shared" si="6"/>
        <v>10</v>
      </c>
      <c r="I122" s="9">
        <f t="shared" si="7"/>
        <v>5</v>
      </c>
    </row>
    <row r="123" spans="1:9" ht="23.25" customHeight="1" x14ac:dyDescent="0.35">
      <c r="A123" s="6" t="s">
        <v>1425</v>
      </c>
      <c r="B123" s="3" t="s">
        <v>1426</v>
      </c>
      <c r="C123" s="6">
        <v>2</v>
      </c>
      <c r="D123" s="6">
        <v>1</v>
      </c>
      <c r="E123" s="6">
        <v>2</v>
      </c>
      <c r="F123" s="6">
        <v>2</v>
      </c>
      <c r="G123" s="6">
        <v>1</v>
      </c>
      <c r="H123" s="6">
        <f t="shared" si="6"/>
        <v>8</v>
      </c>
      <c r="I123" s="9">
        <f t="shared" si="7"/>
        <v>4</v>
      </c>
    </row>
    <row r="124" spans="1:9" ht="15" customHeight="1" x14ac:dyDescent="0.35">
      <c r="A124" s="6" t="s">
        <v>1433</v>
      </c>
      <c r="B124" s="3" t="s">
        <v>1434</v>
      </c>
      <c r="C124" s="6">
        <v>2</v>
      </c>
      <c r="D124" s="6">
        <v>2</v>
      </c>
      <c r="E124" s="6">
        <v>2</v>
      </c>
      <c r="F124" s="6">
        <v>2</v>
      </c>
      <c r="G124" s="6">
        <v>2</v>
      </c>
      <c r="H124" s="6">
        <f t="shared" si="6"/>
        <v>10</v>
      </c>
      <c r="I124" s="9">
        <f t="shared" si="7"/>
        <v>5</v>
      </c>
    </row>
    <row r="125" spans="1:9" ht="15" customHeight="1" x14ac:dyDescent="0.35">
      <c r="A125" s="6" t="s">
        <v>1443</v>
      </c>
      <c r="B125" s="3" t="s">
        <v>1444</v>
      </c>
      <c r="C125" s="6">
        <v>2</v>
      </c>
      <c r="D125" s="6">
        <v>1</v>
      </c>
      <c r="E125" s="6">
        <v>2</v>
      </c>
      <c r="F125" s="6">
        <v>1</v>
      </c>
      <c r="G125" s="6">
        <v>2</v>
      </c>
      <c r="H125" s="6">
        <f t="shared" si="6"/>
        <v>8</v>
      </c>
      <c r="I125" s="9">
        <f t="shared" si="7"/>
        <v>4</v>
      </c>
    </row>
    <row r="126" spans="1:9" ht="15" customHeight="1" x14ac:dyDescent="0.35">
      <c r="A126" s="6" t="s">
        <v>1449</v>
      </c>
      <c r="B126" s="3" t="s">
        <v>1450</v>
      </c>
      <c r="C126" s="6">
        <v>2</v>
      </c>
      <c r="D126" s="6">
        <v>2</v>
      </c>
      <c r="E126" s="6">
        <v>2</v>
      </c>
      <c r="F126" s="6">
        <v>2</v>
      </c>
      <c r="G126" s="6">
        <v>2</v>
      </c>
      <c r="H126" s="6">
        <f t="shared" si="6"/>
        <v>10</v>
      </c>
      <c r="I126" s="9">
        <f t="shared" si="7"/>
        <v>5</v>
      </c>
    </row>
    <row r="127" spans="1:9" ht="15" customHeight="1" x14ac:dyDescent="0.35">
      <c r="A127" s="6" t="s">
        <v>1457</v>
      </c>
      <c r="B127" s="3" t="s">
        <v>1458</v>
      </c>
      <c r="C127" s="6">
        <v>2</v>
      </c>
      <c r="D127" s="6">
        <v>2</v>
      </c>
      <c r="E127" s="6">
        <v>2</v>
      </c>
      <c r="F127" s="6">
        <v>2</v>
      </c>
      <c r="G127" s="6">
        <v>2</v>
      </c>
      <c r="H127" s="6">
        <f t="shared" si="6"/>
        <v>10</v>
      </c>
      <c r="I127" s="9">
        <f t="shared" si="7"/>
        <v>5</v>
      </c>
    </row>
    <row r="128" spans="1:9" ht="15" customHeight="1" x14ac:dyDescent="0.35">
      <c r="A128" s="6" t="s">
        <v>1465</v>
      </c>
      <c r="B128" s="3" t="s">
        <v>1466</v>
      </c>
      <c r="C128" s="6">
        <v>2</v>
      </c>
      <c r="D128" s="6">
        <v>2</v>
      </c>
      <c r="E128" s="6">
        <v>2</v>
      </c>
      <c r="F128" s="6">
        <v>2</v>
      </c>
      <c r="G128" s="6">
        <v>2</v>
      </c>
      <c r="H128" s="6">
        <f t="shared" si="6"/>
        <v>10</v>
      </c>
      <c r="I128" s="9">
        <f t="shared" si="7"/>
        <v>5</v>
      </c>
    </row>
    <row r="129" spans="1:9" ht="15" customHeight="1" x14ac:dyDescent="0.35">
      <c r="A129" s="6" t="s">
        <v>1472</v>
      </c>
      <c r="B129" s="3" t="s">
        <v>1473</v>
      </c>
      <c r="C129" s="6">
        <v>2</v>
      </c>
      <c r="D129" s="6">
        <v>2</v>
      </c>
      <c r="E129" s="6">
        <v>2</v>
      </c>
      <c r="F129" s="6">
        <v>2</v>
      </c>
      <c r="G129" s="6">
        <v>2</v>
      </c>
      <c r="H129" s="6">
        <f t="shared" si="6"/>
        <v>10</v>
      </c>
      <c r="I129" s="9">
        <f t="shared" si="7"/>
        <v>5</v>
      </c>
    </row>
    <row r="130" spans="1:9" ht="15" customHeight="1" x14ac:dyDescent="0.35">
      <c r="A130" s="6" t="s">
        <v>1481</v>
      </c>
      <c r="B130" s="3" t="s">
        <v>1482</v>
      </c>
      <c r="C130" s="6">
        <v>2</v>
      </c>
      <c r="D130" s="6">
        <v>2</v>
      </c>
      <c r="E130" s="6">
        <v>2</v>
      </c>
      <c r="F130" s="6">
        <v>2</v>
      </c>
      <c r="G130" s="6">
        <v>2</v>
      </c>
      <c r="H130" s="6">
        <f t="shared" si="6"/>
        <v>10</v>
      </c>
      <c r="I130" s="9">
        <f t="shared" si="7"/>
        <v>5</v>
      </c>
    </row>
    <row r="131" spans="1:9" ht="15" customHeight="1" x14ac:dyDescent="0.35">
      <c r="A131" s="6" t="s">
        <v>1487</v>
      </c>
      <c r="B131" s="3" t="s">
        <v>1488</v>
      </c>
      <c r="C131" s="6">
        <v>2</v>
      </c>
      <c r="D131" s="6">
        <v>2</v>
      </c>
      <c r="E131" s="6">
        <v>1</v>
      </c>
      <c r="F131" s="6">
        <v>2</v>
      </c>
      <c r="G131" s="6">
        <v>1</v>
      </c>
      <c r="H131" s="6">
        <f t="shared" si="6"/>
        <v>8</v>
      </c>
      <c r="I131" s="9">
        <f t="shared" si="7"/>
        <v>4</v>
      </c>
    </row>
    <row r="132" spans="1:9" ht="15" customHeight="1" x14ac:dyDescent="0.35">
      <c r="A132" s="6" t="s">
        <v>1493</v>
      </c>
      <c r="B132" s="3" t="s">
        <v>1494</v>
      </c>
      <c r="C132" s="6">
        <v>2</v>
      </c>
      <c r="D132" s="6">
        <v>2</v>
      </c>
      <c r="E132" s="6">
        <v>2</v>
      </c>
      <c r="F132" s="6">
        <v>2</v>
      </c>
      <c r="G132" s="6">
        <v>2</v>
      </c>
      <c r="H132" s="6">
        <f t="shared" ref="H132:H141" si="8">SUM(C132:G132)</f>
        <v>10</v>
      </c>
      <c r="I132" s="9">
        <f t="shared" ref="I132:I141" si="9">H132/2</f>
        <v>5</v>
      </c>
    </row>
    <row r="133" spans="1:9" ht="15" customHeight="1" x14ac:dyDescent="0.35">
      <c r="A133" s="6" t="s">
        <v>1500</v>
      </c>
      <c r="B133" s="3" t="s">
        <v>1501</v>
      </c>
      <c r="C133" s="6">
        <v>2</v>
      </c>
      <c r="D133" s="6">
        <v>2</v>
      </c>
      <c r="E133" s="6">
        <v>2</v>
      </c>
      <c r="F133" s="6">
        <v>2</v>
      </c>
      <c r="G133" s="6">
        <v>2</v>
      </c>
      <c r="H133" s="6">
        <f t="shared" si="8"/>
        <v>10</v>
      </c>
      <c r="I133" s="9">
        <f t="shared" si="9"/>
        <v>5</v>
      </c>
    </row>
    <row r="134" spans="1:9" ht="15" customHeight="1" x14ac:dyDescent="0.35">
      <c r="A134" s="6" t="s">
        <v>1508</v>
      </c>
      <c r="B134" s="3" t="s">
        <v>1509</v>
      </c>
      <c r="C134" s="6">
        <v>2</v>
      </c>
      <c r="D134" s="6">
        <v>2</v>
      </c>
      <c r="E134" s="6">
        <v>2</v>
      </c>
      <c r="F134" s="6">
        <v>2</v>
      </c>
      <c r="G134" s="6">
        <v>2</v>
      </c>
      <c r="H134" s="6">
        <f t="shared" si="8"/>
        <v>10</v>
      </c>
      <c r="I134" s="9">
        <f t="shared" si="9"/>
        <v>5</v>
      </c>
    </row>
    <row r="135" spans="1:9" ht="15" customHeight="1" x14ac:dyDescent="0.35">
      <c r="A135" s="6" t="s">
        <v>1513</v>
      </c>
      <c r="B135" s="3" t="s">
        <v>1514</v>
      </c>
      <c r="C135" s="6">
        <v>2</v>
      </c>
      <c r="D135" s="6">
        <v>2</v>
      </c>
      <c r="E135" s="6">
        <v>2</v>
      </c>
      <c r="F135" s="6">
        <v>2</v>
      </c>
      <c r="G135" s="6">
        <v>2</v>
      </c>
      <c r="H135" s="6">
        <f t="shared" si="8"/>
        <v>10</v>
      </c>
      <c r="I135" s="9">
        <f t="shared" si="9"/>
        <v>5</v>
      </c>
    </row>
    <row r="136" spans="1:9" ht="15" customHeight="1" x14ac:dyDescent="0.35">
      <c r="A136" s="6" t="s">
        <v>1521</v>
      </c>
      <c r="B136" s="3" t="s">
        <v>1522</v>
      </c>
      <c r="C136" s="6">
        <v>2</v>
      </c>
      <c r="D136" s="6">
        <v>2</v>
      </c>
      <c r="E136" s="6">
        <v>2</v>
      </c>
      <c r="F136" s="6">
        <v>2</v>
      </c>
      <c r="G136" s="6">
        <v>2</v>
      </c>
      <c r="H136" s="6">
        <f t="shared" si="8"/>
        <v>10</v>
      </c>
      <c r="I136" s="9">
        <f t="shared" si="9"/>
        <v>5</v>
      </c>
    </row>
    <row r="137" spans="1:9" ht="15" customHeight="1" x14ac:dyDescent="0.35">
      <c r="A137" s="6" t="s">
        <v>1527</v>
      </c>
      <c r="B137" s="3" t="s">
        <v>1528</v>
      </c>
      <c r="C137" s="6">
        <v>2</v>
      </c>
      <c r="D137" s="6">
        <v>2</v>
      </c>
      <c r="E137" s="6">
        <v>2</v>
      </c>
      <c r="F137" s="6">
        <v>2</v>
      </c>
      <c r="G137" s="6">
        <v>2</v>
      </c>
      <c r="H137" s="6">
        <f t="shared" si="8"/>
        <v>10</v>
      </c>
      <c r="I137" s="9">
        <f t="shared" si="9"/>
        <v>5</v>
      </c>
    </row>
    <row r="138" spans="1:9" ht="15" customHeight="1" x14ac:dyDescent="0.35">
      <c r="A138" s="6" t="s">
        <v>1535</v>
      </c>
      <c r="B138" s="3" t="s">
        <v>1536</v>
      </c>
      <c r="C138" s="6">
        <v>2</v>
      </c>
      <c r="D138" s="6">
        <v>2</v>
      </c>
      <c r="E138" s="6">
        <v>2</v>
      </c>
      <c r="F138" s="6">
        <v>2</v>
      </c>
      <c r="G138" s="6">
        <v>2</v>
      </c>
      <c r="H138" s="6">
        <f t="shared" si="8"/>
        <v>10</v>
      </c>
      <c r="I138" s="9">
        <f t="shared" si="9"/>
        <v>5</v>
      </c>
    </row>
    <row r="139" spans="1:9" ht="23.25" customHeight="1" x14ac:dyDescent="0.35">
      <c r="A139" s="6" t="s">
        <v>1544</v>
      </c>
      <c r="B139" s="3" t="s">
        <v>1545</v>
      </c>
      <c r="C139" s="6">
        <v>1</v>
      </c>
      <c r="D139" s="6">
        <v>2</v>
      </c>
      <c r="E139" s="6">
        <v>2</v>
      </c>
      <c r="F139" s="6">
        <v>1</v>
      </c>
      <c r="G139" s="6">
        <v>2</v>
      </c>
      <c r="H139" s="6">
        <f t="shared" si="8"/>
        <v>8</v>
      </c>
      <c r="I139" s="9">
        <f t="shared" si="9"/>
        <v>4</v>
      </c>
    </row>
    <row r="140" spans="1:9" ht="15" customHeight="1" x14ac:dyDescent="0.35">
      <c r="A140" s="6" t="s">
        <v>1554</v>
      </c>
      <c r="B140" s="3" t="s">
        <v>1555</v>
      </c>
      <c r="C140" s="6">
        <v>1</v>
      </c>
      <c r="D140" s="6">
        <v>2</v>
      </c>
      <c r="E140" s="6">
        <v>1</v>
      </c>
      <c r="F140" s="6">
        <v>1</v>
      </c>
      <c r="G140" s="6">
        <v>1</v>
      </c>
      <c r="H140" s="6">
        <f t="shared" si="8"/>
        <v>6</v>
      </c>
      <c r="I140" s="9">
        <f t="shared" si="9"/>
        <v>3</v>
      </c>
    </row>
    <row r="141" spans="1:9" ht="15" customHeight="1" x14ac:dyDescent="0.35">
      <c r="A141" s="6" t="s">
        <v>1563</v>
      </c>
      <c r="B141" s="3" t="s">
        <v>1564</v>
      </c>
      <c r="C141" s="6">
        <v>1</v>
      </c>
      <c r="D141" s="6">
        <v>1</v>
      </c>
      <c r="E141" s="6">
        <v>2</v>
      </c>
      <c r="F141" s="6">
        <v>1</v>
      </c>
      <c r="G141" s="6">
        <v>1</v>
      </c>
      <c r="H141" s="6">
        <f t="shared" si="8"/>
        <v>6</v>
      </c>
      <c r="I141" s="9">
        <f t="shared" si="9"/>
        <v>3</v>
      </c>
    </row>
    <row r="144" spans="1:9" ht="15" customHeight="1" x14ac:dyDescent="0.35">
      <c r="A144" s="14" t="s">
        <v>1612</v>
      </c>
      <c r="B144" s="14"/>
      <c r="C144" s="14"/>
      <c r="D144" s="14"/>
      <c r="E144" s="14"/>
      <c r="F144" s="14"/>
      <c r="G144" s="14"/>
      <c r="H144" s="14"/>
      <c r="I144" s="14"/>
    </row>
    <row r="146" spans="1:2" ht="15" customHeight="1" x14ac:dyDescent="0.35">
      <c r="A146" t="s">
        <v>1613</v>
      </c>
      <c r="B146" s="10">
        <f>AVERAGE(I4:I141)</f>
        <v>3.8333333333333335</v>
      </c>
    </row>
    <row r="147" spans="1:2" ht="15" customHeight="1" x14ac:dyDescent="0.35">
      <c r="A147" t="s">
        <v>1614</v>
      </c>
      <c r="B147" s="10">
        <f>MEDIAN(I4:I141)</f>
        <v>4</v>
      </c>
    </row>
    <row r="148" spans="1:2" ht="15" customHeight="1" x14ac:dyDescent="0.35">
      <c r="A148" t="s">
        <v>1615</v>
      </c>
      <c r="B148">
        <f>COUNTIF(I4:I141,"&gt;=4")</f>
        <v>82</v>
      </c>
    </row>
    <row r="149" spans="1:2" ht="15" customHeight="1" x14ac:dyDescent="0.35">
      <c r="A149" t="s">
        <v>1616</v>
      </c>
      <c r="B149">
        <f>COUNTIF(I4:I141,"&lt;=2")</f>
        <v>1</v>
      </c>
    </row>
    <row r="150" spans="1:2" ht="15" customHeight="1" x14ac:dyDescent="0.35">
      <c r="A150" t="s">
        <v>1617</v>
      </c>
      <c r="B150">
        <v>0.78</v>
      </c>
    </row>
  </sheetData>
  <mergeCells count="2">
    <mergeCell ref="A1:I1"/>
    <mergeCell ref="A144:I144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1"/>
  <sheetViews>
    <sheetView zoomScaleNormal="100" workbookViewId="0"/>
  </sheetViews>
  <sheetFormatPr defaultColWidth="8.6328125" defaultRowHeight="14.5" x14ac:dyDescent="0.35"/>
  <cols>
    <col min="1" max="1" width="28" customWidth="1"/>
    <col min="2" max="4" width="13" customWidth="1"/>
    <col min="5" max="5" width="17" customWidth="1"/>
    <col min="6" max="6" width="13" customWidth="1"/>
  </cols>
  <sheetData>
    <row r="1" spans="1:9" ht="24" customHeight="1" x14ac:dyDescent="0.45">
      <c r="A1" s="11" t="s">
        <v>1618</v>
      </c>
      <c r="B1" s="11"/>
      <c r="C1" s="11"/>
      <c r="D1" s="11"/>
      <c r="E1" s="11"/>
      <c r="F1" s="11"/>
      <c r="G1" s="11"/>
      <c r="H1" s="11"/>
      <c r="I1" s="11"/>
    </row>
    <row r="3" spans="1:9" ht="15" customHeight="1" x14ac:dyDescent="0.35">
      <c r="A3" s="14" t="s">
        <v>1619</v>
      </c>
      <c r="B3" s="14"/>
      <c r="C3" s="14"/>
      <c r="D3" s="14"/>
      <c r="E3" s="14"/>
      <c r="F3" s="14"/>
    </row>
    <row r="5" spans="1:9" ht="37.5" customHeight="1" x14ac:dyDescent="0.35">
      <c r="A5" s="2" t="s">
        <v>1620</v>
      </c>
      <c r="B5" s="2" t="s">
        <v>190</v>
      </c>
      <c r="C5" s="2" t="s">
        <v>209</v>
      </c>
      <c r="D5" s="2" t="s">
        <v>1308</v>
      </c>
      <c r="E5" s="2" t="s">
        <v>1621</v>
      </c>
      <c r="F5" s="2" t="s">
        <v>1593</v>
      </c>
    </row>
    <row r="6" spans="1:9" ht="15" customHeight="1" x14ac:dyDescent="0.35">
      <c r="A6" s="3" t="s">
        <v>287</v>
      </c>
      <c r="B6" s="6">
        <f>COUNTIFS('Extraction table'!D4:D141,"Africa",'Extraction table'!G4:G141,"Single")</f>
        <v>5</v>
      </c>
      <c r="C6" s="6">
        <f>COUNTIFS('Extraction table'!D4:D141,"Africa",'Extraction table'!G4:G141,"Dual")</f>
        <v>6</v>
      </c>
      <c r="D6" s="6">
        <f>COUNTIFS('Extraction table'!D4:D141,"Africa",'Extraction table'!G4:G141,"Tri")</f>
        <v>0</v>
      </c>
      <c r="E6" s="6">
        <f>COUNTIFS('Extraction table'!D4:D141,"Africa",'Extraction table'!G4:G141,"Tri+Digital")</f>
        <v>0</v>
      </c>
      <c r="F6" s="6">
        <f t="shared" ref="F6:F12" si="0">SUM(B6:E6)</f>
        <v>11</v>
      </c>
    </row>
    <row r="7" spans="1:9" ht="15" customHeight="1" x14ac:dyDescent="0.35">
      <c r="A7" s="3" t="s">
        <v>273</v>
      </c>
      <c r="B7" s="6">
        <f>COUNTIFS('Extraction table'!D4:D141,"Asia",'Extraction table'!G4:G141,"Single")</f>
        <v>12</v>
      </c>
      <c r="C7" s="6">
        <f>COUNTIFS('Extraction table'!D4:D141,"Asia",'Extraction table'!G4:G141,"Dual")</f>
        <v>9</v>
      </c>
      <c r="D7" s="6">
        <f>COUNTIFS('Extraction table'!D4:D141,"Asia",'Extraction table'!G4:G141,"Tri")</f>
        <v>0</v>
      </c>
      <c r="E7" s="6">
        <f>COUNTIFS('Extraction table'!D4:D141,"Asia",'Extraction table'!G4:G141,"Tri+Digital")</f>
        <v>0</v>
      </c>
      <c r="F7" s="6">
        <f t="shared" si="0"/>
        <v>21</v>
      </c>
    </row>
    <row r="8" spans="1:9" ht="15" customHeight="1" x14ac:dyDescent="0.35">
      <c r="A8" s="3" t="s">
        <v>235</v>
      </c>
      <c r="B8" s="6">
        <f>COUNTIFS('Extraction table'!D4:D141,"Europe",'Extraction table'!G4:G141,"Single")</f>
        <v>11</v>
      </c>
      <c r="C8" s="6">
        <f>COUNTIFS('Extraction table'!D4:D141,"Europe",'Extraction table'!G4:G141,"Dual")</f>
        <v>10</v>
      </c>
      <c r="D8" s="6">
        <f>COUNTIFS('Extraction table'!D4:D141,"Europe",'Extraction table'!G4:G141,"Tri")</f>
        <v>0</v>
      </c>
      <c r="E8" s="6">
        <f>COUNTIFS('Extraction table'!D4:D141,"Europe",'Extraction table'!G4:G141,"Tri+Digital")</f>
        <v>0</v>
      </c>
      <c r="F8" s="6">
        <f t="shared" si="0"/>
        <v>21</v>
      </c>
    </row>
    <row r="9" spans="1:9" ht="15" customHeight="1" x14ac:dyDescent="0.35">
      <c r="A9" s="3" t="s">
        <v>187</v>
      </c>
      <c r="B9" s="6">
        <f>COUNTIFS('Extraction table'!D4:D141,"North America",'Extraction table'!G4:G141,"Single")</f>
        <v>2</v>
      </c>
      <c r="C9" s="6">
        <f>COUNTIFS('Extraction table'!D4:D141,"North America",'Extraction table'!G4:G141,"Dual")</f>
        <v>1</v>
      </c>
      <c r="D9" s="6">
        <f>COUNTIFS('Extraction table'!D4:D141,"North America",'Extraction table'!G4:G141,"Tri")</f>
        <v>0</v>
      </c>
      <c r="E9" s="6">
        <f>COUNTIFS('Extraction table'!D4:D141,"North America",'Extraction table'!G4:G141,"Tri+Digital")</f>
        <v>0</v>
      </c>
      <c r="F9" s="6">
        <f t="shared" si="0"/>
        <v>3</v>
      </c>
    </row>
    <row r="10" spans="1:9" ht="15" customHeight="1" x14ac:dyDescent="0.35">
      <c r="A10" s="3" t="s">
        <v>261</v>
      </c>
      <c r="B10" s="6">
        <f>COUNTIFS('Extraction table'!D4:D141,"Latin America",'Extraction table'!G4:G141,"Single")</f>
        <v>1</v>
      </c>
      <c r="C10" s="6">
        <f>COUNTIFS('Extraction table'!D4:D141,"Latin America",'Extraction table'!G4:G141,"Dual")</f>
        <v>2</v>
      </c>
      <c r="D10" s="6">
        <f>COUNTIFS('Extraction table'!D4:D141,"Latin America",'Extraction table'!G4:G141,"Tri")</f>
        <v>0</v>
      </c>
      <c r="E10" s="6">
        <f>COUNTIFS('Extraction table'!D4:D141,"Latin America",'Extraction table'!G4:G141,"Tri+Digital")</f>
        <v>0</v>
      </c>
      <c r="F10" s="6">
        <f t="shared" si="0"/>
        <v>3</v>
      </c>
    </row>
    <row r="11" spans="1:9" ht="15" customHeight="1" x14ac:dyDescent="0.35">
      <c r="A11" s="3" t="s">
        <v>456</v>
      </c>
      <c r="B11" s="6">
        <f>COUNTIFS('Extraction table'!D4:D141,"Oceania",'Extraction table'!G4:G141,"Single")</f>
        <v>0</v>
      </c>
      <c r="C11" s="6">
        <f>COUNTIFS('Extraction table'!D4:D141,"Oceania",'Extraction table'!G4:G141,"Dual")</f>
        <v>2</v>
      </c>
      <c r="D11" s="6">
        <f>COUNTIFS('Extraction table'!D4:D141,"Oceania",'Extraction table'!G4:G141,"Tri")</f>
        <v>0</v>
      </c>
      <c r="E11" s="6">
        <f>COUNTIFS('Extraction table'!D4:D141,"Oceania",'Extraction table'!G4:G141,"Tri+Digital")</f>
        <v>0</v>
      </c>
      <c r="F11" s="6">
        <f t="shared" si="0"/>
        <v>2</v>
      </c>
    </row>
    <row r="12" spans="1:9" ht="15" customHeight="1" x14ac:dyDescent="0.35">
      <c r="A12" s="3" t="s">
        <v>206</v>
      </c>
      <c r="B12" s="6">
        <f>COUNTIFS('Extraction table'!D4:D141,"Global",'Extraction table'!G4:G141,"Single")</f>
        <v>47</v>
      </c>
      <c r="C12" s="6">
        <f>COUNTIFS('Extraction table'!D4:D141,"Global",'Extraction table'!G4:G141,"Dual")</f>
        <v>26</v>
      </c>
      <c r="D12" s="6">
        <f>COUNTIFS('Extraction table'!D4:D141,"Global",'Extraction table'!G4:G141,"Tri")</f>
        <v>4</v>
      </c>
      <c r="E12" s="6">
        <f>COUNTIFS('Extraction table'!D4:D141,"Global",'Extraction table'!G4:G141,"Tri+Digital")</f>
        <v>0</v>
      </c>
      <c r="F12" s="6">
        <f t="shared" si="0"/>
        <v>77</v>
      </c>
    </row>
    <row r="13" spans="1:9" ht="15" customHeight="1" x14ac:dyDescent="0.35">
      <c r="A13" s="3" t="s">
        <v>1593</v>
      </c>
      <c r="B13" s="6">
        <f>SUM(B6:B12)</f>
        <v>78</v>
      </c>
      <c r="C13" s="6">
        <f>SUM(C6:C12)</f>
        <v>56</v>
      </c>
      <c r="D13" s="6">
        <f>SUM(D6:D12)</f>
        <v>4</v>
      </c>
      <c r="E13" s="6">
        <f>SUM(E6:E12)</f>
        <v>0</v>
      </c>
      <c r="F13" s="6">
        <f>SUM(F6:F12)</f>
        <v>138</v>
      </c>
    </row>
    <row r="16" spans="1:9" ht="15" customHeight="1" x14ac:dyDescent="0.35">
      <c r="A16" s="14" t="s">
        <v>1622</v>
      </c>
      <c r="B16" s="14"/>
      <c r="C16" s="14"/>
      <c r="D16" s="14"/>
      <c r="E16" s="14"/>
      <c r="F16" s="14"/>
    </row>
    <row r="18" spans="1:6" ht="37.5" customHeight="1" x14ac:dyDescent="0.35">
      <c r="A18" s="2" t="s">
        <v>60</v>
      </c>
      <c r="B18" s="2" t="s">
        <v>190</v>
      </c>
      <c r="C18" s="2" t="s">
        <v>209</v>
      </c>
      <c r="D18" s="2" t="s">
        <v>1308</v>
      </c>
      <c r="E18" s="2" t="s">
        <v>1621</v>
      </c>
      <c r="F18" s="2" t="s">
        <v>1593</v>
      </c>
    </row>
    <row r="19" spans="1:6" ht="15" customHeight="1" x14ac:dyDescent="0.35">
      <c r="A19" s="3" t="s">
        <v>377</v>
      </c>
      <c r="B19" s="6">
        <f>SUMPRODUCT((ISNUMBER(SEARCH("Forestry",'Extraction table'!E4:E141)))*('Extraction table'!G4:G141="Single"))</f>
        <v>3</v>
      </c>
      <c r="C19" s="6">
        <f>SUMPRODUCT((ISNUMBER(SEARCH("Forestry",'Extraction table'!E4:E141)))*('Extraction table'!G4:G141="Dual"))</f>
        <v>12</v>
      </c>
      <c r="D19" s="6">
        <f>SUMPRODUCT((ISNUMBER(SEARCH("Forestry",'Extraction table'!E4:E141)))*('Extraction table'!G4:G141="Tri"))</f>
        <v>3</v>
      </c>
      <c r="E19" s="6">
        <f>SUMPRODUCT((ISNUMBER(SEARCH("Forestry",'Extraction table'!E4:E141)))*('Extraction table'!G4:G141="Tri+Digital"))</f>
        <v>0</v>
      </c>
      <c r="F19" s="6">
        <f t="shared" ref="F19:F28" si="1">SUM(B19:E19)</f>
        <v>18</v>
      </c>
    </row>
    <row r="20" spans="1:6" ht="15" customHeight="1" x14ac:dyDescent="0.35">
      <c r="A20" s="3" t="s">
        <v>491</v>
      </c>
      <c r="B20" s="6">
        <f>SUMPRODUCT((ISNUMBER(SEARCH("Fisheries",'Extraction table'!E4:E141)))*('Extraction table'!G4:G141="Single"))</f>
        <v>7</v>
      </c>
      <c r="C20" s="6">
        <f>SUMPRODUCT((ISNUMBER(SEARCH("Fisheries",'Extraction table'!E4:E141)))*('Extraction table'!G4:G141="Dual"))</f>
        <v>6</v>
      </c>
      <c r="D20" s="6">
        <f>SUMPRODUCT((ISNUMBER(SEARCH("Fisheries",'Extraction table'!E4:E141)))*('Extraction table'!G4:G141="Tri"))</f>
        <v>0</v>
      </c>
      <c r="E20" s="6">
        <f>SUMPRODUCT((ISNUMBER(SEARCH("Fisheries",'Extraction table'!E4:E141)))*('Extraction table'!G4:G141="Tri+Digital"))</f>
        <v>0</v>
      </c>
      <c r="F20" s="6">
        <f t="shared" si="1"/>
        <v>13</v>
      </c>
    </row>
    <row r="21" spans="1:6" ht="15" customHeight="1" x14ac:dyDescent="0.35">
      <c r="A21" s="3" t="s">
        <v>413</v>
      </c>
      <c r="B21" s="6">
        <f>SUMPRODUCT((ISNUMBER(SEARCH("Water",'Extraction table'!E4:E141)))*('Extraction table'!G4:G141="Single"))</f>
        <v>12</v>
      </c>
      <c r="C21" s="6">
        <f>SUMPRODUCT((ISNUMBER(SEARCH("Water",'Extraction table'!E4:E141)))*('Extraction table'!G4:G141="Dual"))</f>
        <v>11</v>
      </c>
      <c r="D21" s="6">
        <f>SUMPRODUCT((ISNUMBER(SEARCH("Water",'Extraction table'!E4:E141)))*('Extraction table'!G4:G141="Tri"))</f>
        <v>0</v>
      </c>
      <c r="E21" s="6">
        <f>SUMPRODUCT((ISNUMBER(SEARCH("Water",'Extraction table'!E4:E141)))*('Extraction table'!G4:G141="Tri+Digital"))</f>
        <v>0</v>
      </c>
      <c r="F21" s="6">
        <f t="shared" si="1"/>
        <v>23</v>
      </c>
    </row>
    <row r="22" spans="1:6" ht="15" customHeight="1" x14ac:dyDescent="0.35">
      <c r="A22" s="3" t="s">
        <v>558</v>
      </c>
      <c r="B22" s="6">
        <f>SUMPRODUCT((ISNUMBER(SEARCH("Mining",'Extraction table'!E4:E141)))*('Extraction table'!G4:G141="Single"))</f>
        <v>8</v>
      </c>
      <c r="C22" s="6">
        <f>SUMPRODUCT((ISNUMBER(SEARCH("Mining",'Extraction table'!E4:E141)))*('Extraction table'!G4:G141="Dual"))</f>
        <v>5</v>
      </c>
      <c r="D22" s="6">
        <f>SUMPRODUCT((ISNUMBER(SEARCH("Mining",'Extraction table'!E4:E141)))*('Extraction table'!G4:G141="Tri"))</f>
        <v>0</v>
      </c>
      <c r="E22" s="6">
        <f>SUMPRODUCT((ISNUMBER(SEARCH("Mining",'Extraction table'!E4:E141)))*('Extraction table'!G4:G141="Tri+Digital"))</f>
        <v>0</v>
      </c>
      <c r="F22" s="6">
        <f t="shared" si="1"/>
        <v>13</v>
      </c>
    </row>
    <row r="23" spans="1:6" ht="15" customHeight="1" x14ac:dyDescent="0.35">
      <c r="A23" s="3" t="s">
        <v>1091</v>
      </c>
      <c r="B23" s="6">
        <f>SUMPRODUCT((ISNUMBER(SEARCH("Agriculture",'Extraction table'!E4:E141)))*('Extraction table'!G4:G141="Single"))</f>
        <v>4</v>
      </c>
      <c r="C23" s="6">
        <f>SUMPRODUCT((ISNUMBER(SEARCH("Agriculture",'Extraction table'!E4:E141)))*('Extraction table'!G4:G141="Dual"))</f>
        <v>2</v>
      </c>
      <c r="D23" s="6">
        <f>SUMPRODUCT((ISNUMBER(SEARCH("Agriculture",'Extraction table'!E4:E141)))*('Extraction table'!G4:G141="Tri"))</f>
        <v>2</v>
      </c>
      <c r="E23" s="6">
        <f>SUMPRODUCT((ISNUMBER(SEARCH("Agriculture",'Extraction table'!E4:E141)))*('Extraction table'!G4:G141="Tri+Digital"))</f>
        <v>0</v>
      </c>
      <c r="F23" s="6">
        <f t="shared" si="1"/>
        <v>8</v>
      </c>
    </row>
    <row r="24" spans="1:6" ht="15" customHeight="1" x14ac:dyDescent="0.35">
      <c r="A24" s="3" t="s">
        <v>325</v>
      </c>
      <c r="B24" s="6">
        <f>SUMPRODUCT((ISNUMBER(SEARCH("Wildlife",'Extraction table'!E4:E141)))*('Extraction table'!G4:G141="Single"))</f>
        <v>2</v>
      </c>
      <c r="C24" s="6">
        <f>SUMPRODUCT((ISNUMBER(SEARCH("Wildlife",'Extraction table'!E4:E141)))*('Extraction table'!G4:G141="Dual"))</f>
        <v>1</v>
      </c>
      <c r="D24" s="6">
        <f>SUMPRODUCT((ISNUMBER(SEARCH("Wildlife",'Extraction table'!E4:E141)))*('Extraction table'!G4:G141="Tri"))</f>
        <v>0</v>
      </c>
      <c r="E24" s="6">
        <f>SUMPRODUCT((ISNUMBER(SEARCH("Wildlife",'Extraction table'!E4:E141)))*('Extraction table'!G4:G141="Tri+Digital"))</f>
        <v>0</v>
      </c>
      <c r="F24" s="6">
        <f t="shared" si="1"/>
        <v>3</v>
      </c>
    </row>
    <row r="25" spans="1:6" ht="15" customHeight="1" x14ac:dyDescent="0.35">
      <c r="A25" s="3" t="s">
        <v>236</v>
      </c>
      <c r="B25" s="6">
        <f>SUMPRODUCT((ISNUMBER(SEARCH("Protected area",'Extraction table'!E4:E141)))*('Extraction table'!G4:G141="Single"))</f>
        <v>3</v>
      </c>
      <c r="C25" s="6">
        <f>SUMPRODUCT((ISNUMBER(SEARCH("Protected area",'Extraction table'!E4:E141)))*('Extraction table'!G4:G141="Dual"))</f>
        <v>7</v>
      </c>
      <c r="D25" s="6">
        <f>SUMPRODUCT((ISNUMBER(SEARCH("Protected area",'Extraction table'!E4:E141)))*('Extraction table'!G4:G141="Tri"))</f>
        <v>0</v>
      </c>
      <c r="E25" s="6">
        <f>SUMPRODUCT((ISNUMBER(SEARCH("Protected area",'Extraction table'!E4:E141)))*('Extraction table'!G4:G141="Tri+Digital"))</f>
        <v>0</v>
      </c>
      <c r="F25" s="6">
        <f t="shared" si="1"/>
        <v>10</v>
      </c>
    </row>
    <row r="26" spans="1:6" ht="15" customHeight="1" x14ac:dyDescent="0.35">
      <c r="A26" s="3" t="s">
        <v>644</v>
      </c>
      <c r="B26" s="6">
        <f>SUMPRODUCT((ISNUMBER(SEARCH("Waste",'Extraction table'!E4:E141)))*('Extraction table'!G4:G141="Single"))</f>
        <v>4</v>
      </c>
      <c r="C26" s="6">
        <f>SUMPRODUCT((ISNUMBER(SEARCH("Waste",'Extraction table'!E4:E141)))*('Extraction table'!G4:G141="Dual"))</f>
        <v>2</v>
      </c>
      <c r="D26" s="6">
        <f>SUMPRODUCT((ISNUMBER(SEARCH("Waste",'Extraction table'!E4:E141)))*('Extraction table'!G4:G141="Tri"))</f>
        <v>0</v>
      </c>
      <c r="E26" s="6">
        <f>SUMPRODUCT((ISNUMBER(SEARCH("Waste",'Extraction table'!E4:E141)))*('Extraction table'!G4:G141="Tri+Digital"))</f>
        <v>0</v>
      </c>
      <c r="F26" s="6">
        <f t="shared" si="1"/>
        <v>6</v>
      </c>
    </row>
    <row r="27" spans="1:6" ht="15" customHeight="1" x14ac:dyDescent="0.35">
      <c r="A27" s="3" t="s">
        <v>1600</v>
      </c>
      <c r="B27" s="6">
        <f>SUMPRODUCT((ISNUMBER(SEARCH("Energy",'Extraction table'!E4:E141)))*('Extraction table'!G4:G141="Single"))</f>
        <v>5</v>
      </c>
      <c r="C27" s="6">
        <f>SUMPRODUCT((ISNUMBER(SEARCH("Energy",'Extraction table'!E4:E141)))*('Extraction table'!G4:G141="Dual"))</f>
        <v>4</v>
      </c>
      <c r="D27" s="6">
        <f>SUMPRODUCT((ISNUMBER(SEARCH("Energy",'Extraction table'!E4:E141)))*('Extraction table'!G4:G141="Tri"))</f>
        <v>0</v>
      </c>
      <c r="E27" s="6">
        <f>SUMPRODUCT((ISNUMBER(SEARCH("Energy",'Extraction table'!E4:E141)))*('Extraction table'!G4:G141="Tri+Digital"))</f>
        <v>0</v>
      </c>
      <c r="F27" s="6">
        <f t="shared" si="1"/>
        <v>9</v>
      </c>
    </row>
    <row r="28" spans="1:6" ht="15" customHeight="1" x14ac:dyDescent="0.35">
      <c r="A28" s="3" t="s">
        <v>351</v>
      </c>
      <c r="B28" s="6">
        <f>SUMPRODUCT((ISNUMBER(SEARCH("Multi-sector",'Extraction table'!E4:E141)))*('Extraction table'!G4:G141="Single"))</f>
        <v>40</v>
      </c>
      <c r="C28" s="6">
        <f>SUMPRODUCT((ISNUMBER(SEARCH("Multi-sector",'Extraction table'!E4:E141)))*('Extraction table'!G4:G141="Dual"))</f>
        <v>22</v>
      </c>
      <c r="D28" s="6">
        <f>SUMPRODUCT((ISNUMBER(SEARCH("Multi-sector",'Extraction table'!E4:E141)))*('Extraction table'!G4:G141="Tri"))</f>
        <v>1</v>
      </c>
      <c r="E28" s="6">
        <f>SUMPRODUCT((ISNUMBER(SEARCH("Multi-sector",'Extraction table'!E4:E141)))*('Extraction table'!G4:G141="Tri+Digital"))</f>
        <v>0</v>
      </c>
      <c r="F28" s="6">
        <f t="shared" si="1"/>
        <v>63</v>
      </c>
    </row>
    <row r="32" spans="1:6" ht="15" customHeight="1" x14ac:dyDescent="0.35">
      <c r="A32" s="14" t="s">
        <v>1623</v>
      </c>
      <c r="B32" s="14"/>
      <c r="C32" s="14"/>
      <c r="D32" s="14"/>
      <c r="E32" s="14"/>
      <c r="F32" s="14"/>
    </row>
    <row r="34" spans="1:6" ht="37.5" customHeight="1" x14ac:dyDescent="0.35">
      <c r="A34" s="2" t="s">
        <v>1624</v>
      </c>
      <c r="B34" s="2" t="s">
        <v>1625</v>
      </c>
      <c r="C34" s="17" t="s">
        <v>1626</v>
      </c>
      <c r="D34" s="17"/>
      <c r="E34" s="17"/>
      <c r="F34" s="17"/>
    </row>
    <row r="35" spans="1:6" ht="147" customHeight="1" x14ac:dyDescent="0.35">
      <c r="A35" s="3" t="s">
        <v>1627</v>
      </c>
      <c r="B35" s="3" t="s">
        <v>1628</v>
      </c>
      <c r="C35" s="18" t="s">
        <v>1629</v>
      </c>
      <c r="D35" s="18"/>
      <c r="E35" s="18"/>
      <c r="F35" s="18"/>
    </row>
    <row r="36" spans="1:6" ht="57" customHeight="1" x14ac:dyDescent="0.35">
      <c r="A36" s="3" t="s">
        <v>1630</v>
      </c>
      <c r="B36" s="3" t="s">
        <v>1631</v>
      </c>
      <c r="C36" s="18" t="s">
        <v>1632</v>
      </c>
      <c r="D36" s="18"/>
      <c r="E36" s="18"/>
      <c r="F36" s="18"/>
    </row>
    <row r="37" spans="1:6" ht="90.75" customHeight="1" x14ac:dyDescent="0.35">
      <c r="A37" s="3" t="s">
        <v>1633</v>
      </c>
      <c r="B37" s="3" t="s">
        <v>1634</v>
      </c>
      <c r="C37" s="18" t="s">
        <v>1635</v>
      </c>
      <c r="D37" s="18"/>
      <c r="E37" s="18"/>
      <c r="F37" s="18"/>
    </row>
    <row r="38" spans="1:6" ht="102" customHeight="1" x14ac:dyDescent="0.35">
      <c r="A38" s="3" t="s">
        <v>1636</v>
      </c>
      <c r="B38" s="3" t="s">
        <v>1637</v>
      </c>
      <c r="C38" s="18" t="s">
        <v>1638</v>
      </c>
      <c r="D38" s="18"/>
      <c r="E38" s="18"/>
      <c r="F38" s="18"/>
    </row>
    <row r="39" spans="1:6" ht="68.25" customHeight="1" x14ac:dyDescent="0.35">
      <c r="A39" s="3" t="s">
        <v>1639</v>
      </c>
      <c r="B39" s="3" t="s">
        <v>1640</v>
      </c>
      <c r="C39" s="18" t="s">
        <v>1641</v>
      </c>
      <c r="D39" s="18"/>
      <c r="E39" s="18"/>
      <c r="F39" s="18"/>
    </row>
    <row r="40" spans="1:6" ht="90.75" customHeight="1" x14ac:dyDescent="0.35">
      <c r="A40" s="3" t="s">
        <v>1642</v>
      </c>
      <c r="B40" s="3" t="s">
        <v>1643</v>
      </c>
      <c r="C40" s="18" t="s">
        <v>1644</v>
      </c>
      <c r="D40" s="18"/>
      <c r="E40" s="18"/>
      <c r="F40" s="18"/>
    </row>
    <row r="41" spans="1:6" ht="90.75" customHeight="1" x14ac:dyDescent="0.35">
      <c r="A41" s="3" t="s">
        <v>1645</v>
      </c>
      <c r="B41" s="3" t="s">
        <v>1646</v>
      </c>
      <c r="C41" s="18" t="s">
        <v>1647</v>
      </c>
      <c r="D41" s="18"/>
      <c r="E41" s="18"/>
      <c r="F41" s="18"/>
    </row>
  </sheetData>
  <mergeCells count="12">
    <mergeCell ref="C40:F40"/>
    <mergeCell ref="C41:F41"/>
    <mergeCell ref="C35:F35"/>
    <mergeCell ref="C36:F36"/>
    <mergeCell ref="C37:F37"/>
    <mergeCell ref="C38:F38"/>
    <mergeCell ref="C39:F39"/>
    <mergeCell ref="A1:I1"/>
    <mergeCell ref="A3:F3"/>
    <mergeCell ref="A16:F16"/>
    <mergeCell ref="A32:F32"/>
    <mergeCell ref="C34:F34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</vt:lpstr>
      <vt:lpstr>Codebook</vt:lpstr>
      <vt:lpstr>PRISMA flow</vt:lpstr>
      <vt:lpstr>Extraction table</vt:lpstr>
      <vt:lpstr>Summary by domain</vt:lpstr>
      <vt:lpstr>Quality appraisal</vt:lpstr>
      <vt:lpstr>Gap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Mozumder Mohammad</cp:lastModifiedBy>
  <cp:revision>0</cp:revision>
  <dcterms:created xsi:type="dcterms:W3CDTF">2026-04-19T09:23:00Z</dcterms:created>
  <dcterms:modified xsi:type="dcterms:W3CDTF">2026-07-21T21:47:39Z</dcterms:modified>
  <dc:language>en-US</dc:language>
</cp:coreProperties>
</file>