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date1904="1" showInkAnnotation="0" autoCompressPictures="0"/>
  <bookViews>
    <workbookView xWindow="-5760" yWindow="-17060" windowWidth="25600" windowHeight="14900" tabRatio="1000"/>
  </bookViews>
  <sheets>
    <sheet name="Fig 1 c-e (IP OTA)" sheetId="20" r:id="rId1"/>
    <sheet name="Fig 1 g-i (NAc AP OTA)" sheetId="2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7" i="21" l="1"/>
  <c r="H37" i="21"/>
  <c r="I37" i="20"/>
  <c r="H37" i="20"/>
  <c r="D15" i="20"/>
  <c r="D28" i="20"/>
  <c r="E15" i="20"/>
  <c r="E28" i="20"/>
  <c r="F15" i="20"/>
  <c r="F28" i="20"/>
  <c r="G15" i="20"/>
  <c r="G28" i="20"/>
  <c r="H15" i="20"/>
  <c r="H28" i="20"/>
  <c r="I15" i="20"/>
  <c r="I28" i="20"/>
  <c r="J15" i="20"/>
  <c r="J28" i="20"/>
  <c r="K15" i="20"/>
  <c r="K28" i="20"/>
  <c r="L15" i="20"/>
  <c r="L28" i="20"/>
  <c r="M15" i="20"/>
  <c r="M28" i="20"/>
  <c r="N15" i="20"/>
  <c r="N28" i="20"/>
  <c r="O15" i="20"/>
  <c r="O28" i="20"/>
  <c r="P15" i="20"/>
  <c r="P28" i="20"/>
  <c r="Q15" i="20"/>
  <c r="Q28" i="20"/>
  <c r="R15" i="20"/>
  <c r="R28" i="20"/>
  <c r="S15" i="20"/>
  <c r="S28" i="20"/>
  <c r="T15" i="20"/>
  <c r="T28" i="20"/>
  <c r="W28" i="20"/>
  <c r="X28" i="20"/>
  <c r="Y28" i="20"/>
  <c r="Z28" i="20"/>
  <c r="AA28" i="20"/>
  <c r="AB28" i="20"/>
  <c r="AC28" i="20"/>
  <c r="AD28" i="20"/>
  <c r="AE28" i="20"/>
  <c r="AF28" i="20"/>
  <c r="AG28" i="20"/>
  <c r="AH28" i="20"/>
  <c r="AI28" i="20"/>
  <c r="AJ28" i="20"/>
  <c r="AK28" i="20"/>
  <c r="D19" i="20"/>
  <c r="D29" i="20"/>
  <c r="E19" i="20"/>
  <c r="E29" i="20"/>
  <c r="F19" i="20"/>
  <c r="F29" i="20"/>
  <c r="G19" i="20"/>
  <c r="G29" i="20"/>
  <c r="H19" i="20"/>
  <c r="H29" i="20"/>
  <c r="I19" i="20"/>
  <c r="I29" i="20"/>
  <c r="J19" i="20"/>
  <c r="J29" i="20"/>
  <c r="K19" i="20"/>
  <c r="K29" i="20"/>
  <c r="L19" i="20"/>
  <c r="L29" i="20"/>
  <c r="M19" i="20"/>
  <c r="M29" i="20"/>
  <c r="N19" i="20"/>
  <c r="N29" i="20"/>
  <c r="O19" i="20"/>
  <c r="O29" i="20"/>
  <c r="P19" i="20"/>
  <c r="P29" i="20"/>
  <c r="Q19" i="20"/>
  <c r="Q29" i="20"/>
  <c r="R19" i="20"/>
  <c r="R29" i="20"/>
  <c r="S19" i="20"/>
  <c r="S29" i="20"/>
  <c r="T19" i="20"/>
  <c r="T29" i="20"/>
  <c r="W29" i="20"/>
  <c r="X29" i="20"/>
  <c r="Y29" i="20"/>
  <c r="Z29" i="20"/>
  <c r="AA29" i="20"/>
  <c r="AB29" i="20"/>
  <c r="AC29" i="20"/>
  <c r="AD29" i="20"/>
  <c r="AE29" i="20"/>
  <c r="AF29" i="20"/>
  <c r="AG29" i="20"/>
  <c r="AH29" i="20"/>
  <c r="AI29" i="20"/>
  <c r="AJ29" i="20"/>
  <c r="AK29" i="20"/>
  <c r="D30" i="20"/>
  <c r="E30" i="20"/>
  <c r="F30" i="20"/>
  <c r="G30" i="20"/>
  <c r="H30" i="20"/>
  <c r="I30" i="20"/>
  <c r="J30" i="20"/>
  <c r="K30" i="20"/>
  <c r="L30" i="20"/>
  <c r="M30" i="20"/>
  <c r="N30" i="20"/>
  <c r="O30" i="20"/>
  <c r="P30" i="20"/>
  <c r="Q30" i="20"/>
  <c r="R30" i="20"/>
  <c r="S30" i="20"/>
  <c r="T30" i="20"/>
  <c r="W30" i="20"/>
  <c r="X30" i="20"/>
  <c r="Y30" i="20"/>
  <c r="Z30" i="20"/>
  <c r="AA30" i="20"/>
  <c r="AB30" i="20"/>
  <c r="AC30" i="20"/>
  <c r="AD30" i="20"/>
  <c r="AE30" i="20"/>
  <c r="AF30" i="20"/>
  <c r="AG30" i="20"/>
  <c r="AH30" i="20"/>
  <c r="AI30" i="20"/>
  <c r="AJ30" i="20"/>
  <c r="AK30" i="20"/>
  <c r="C19" i="20"/>
  <c r="C15" i="20"/>
  <c r="C30" i="20"/>
  <c r="C29" i="20"/>
  <c r="C28" i="20"/>
  <c r="C31" i="20"/>
  <c r="D31" i="20"/>
  <c r="E31" i="20"/>
  <c r="F31" i="20"/>
  <c r="G31" i="20"/>
  <c r="H31" i="20"/>
  <c r="I31" i="20"/>
  <c r="J31" i="20"/>
  <c r="K31" i="20"/>
  <c r="L31" i="20"/>
  <c r="M31" i="20"/>
  <c r="N31" i="20"/>
  <c r="O31" i="20"/>
  <c r="P31" i="20"/>
  <c r="Q31" i="20"/>
  <c r="R31" i="20"/>
  <c r="S31" i="20"/>
  <c r="T31" i="20"/>
  <c r="C37" i="20"/>
  <c r="C36" i="20"/>
  <c r="C12" i="20"/>
  <c r="C8" i="20"/>
  <c r="D11" i="20"/>
  <c r="D7" i="20"/>
  <c r="E12" i="20"/>
  <c r="E8" i="20"/>
  <c r="F11" i="20"/>
  <c r="F7" i="20"/>
  <c r="G12" i="20"/>
  <c r="G8" i="20"/>
  <c r="H11" i="20"/>
  <c r="H7" i="20"/>
  <c r="I12" i="20"/>
  <c r="I8" i="20"/>
  <c r="J11" i="20"/>
  <c r="J7" i="20"/>
  <c r="K11" i="20"/>
  <c r="K7" i="20"/>
  <c r="L12" i="20"/>
  <c r="L8" i="20"/>
  <c r="M11" i="20"/>
  <c r="M7" i="20"/>
  <c r="N12" i="20"/>
  <c r="N8" i="20"/>
  <c r="O11" i="20"/>
  <c r="O7" i="20"/>
  <c r="P12" i="20"/>
  <c r="P8" i="20"/>
  <c r="Q11" i="20"/>
  <c r="Q7" i="20"/>
  <c r="R12" i="20"/>
  <c r="R8" i="20"/>
  <c r="S12" i="20"/>
  <c r="S8" i="20"/>
  <c r="T12" i="20"/>
  <c r="T8" i="20"/>
  <c r="D28" i="21"/>
  <c r="E28" i="21"/>
  <c r="F28" i="21"/>
  <c r="G28" i="21"/>
  <c r="H28" i="21"/>
  <c r="I28" i="21"/>
  <c r="J28" i="21"/>
  <c r="K28" i="21"/>
  <c r="N15" i="21"/>
  <c r="N28" i="21"/>
  <c r="O15" i="21"/>
  <c r="O28" i="21"/>
  <c r="P15" i="21"/>
  <c r="P28" i="21"/>
  <c r="Q15" i="21"/>
  <c r="Q28" i="21"/>
  <c r="R15" i="21"/>
  <c r="R28" i="21"/>
  <c r="S15" i="21"/>
  <c r="S28" i="21"/>
  <c r="T15" i="21"/>
  <c r="T28" i="21"/>
  <c r="U15" i="21"/>
  <c r="U28" i="21"/>
  <c r="V15" i="21"/>
  <c r="V28" i="21"/>
  <c r="W15" i="21"/>
  <c r="W28" i="21"/>
  <c r="X15" i="21"/>
  <c r="X28" i="21"/>
  <c r="D29" i="21"/>
  <c r="E29" i="21"/>
  <c r="F29" i="21"/>
  <c r="G29" i="21"/>
  <c r="H29" i="21"/>
  <c r="I29" i="21"/>
  <c r="J29" i="21"/>
  <c r="K29" i="21"/>
  <c r="N19" i="21"/>
  <c r="N29" i="21"/>
  <c r="O19" i="21"/>
  <c r="O29" i="21"/>
  <c r="P19" i="21"/>
  <c r="P29" i="21"/>
  <c r="Q19" i="21"/>
  <c r="Q29" i="21"/>
  <c r="R19" i="21"/>
  <c r="R29" i="21"/>
  <c r="S19" i="21"/>
  <c r="S29" i="21"/>
  <c r="T19" i="21"/>
  <c r="T29" i="21"/>
  <c r="U19" i="21"/>
  <c r="U29" i="21"/>
  <c r="V19" i="21"/>
  <c r="V29" i="21"/>
  <c r="W19" i="21"/>
  <c r="W29" i="21"/>
  <c r="X19" i="21"/>
  <c r="X29" i="21"/>
  <c r="C29" i="21"/>
  <c r="C28" i="21"/>
  <c r="O30" i="21"/>
  <c r="P30" i="21"/>
  <c r="Q30" i="21"/>
  <c r="R30" i="21"/>
  <c r="S30" i="21"/>
  <c r="T30" i="21"/>
  <c r="U30" i="21"/>
  <c r="V30" i="21"/>
  <c r="W30" i="21"/>
  <c r="X30" i="21"/>
  <c r="N30" i="21"/>
  <c r="D19" i="21"/>
  <c r="D15" i="21"/>
  <c r="D30" i="21"/>
  <c r="E19" i="21"/>
  <c r="E15" i="21"/>
  <c r="E30" i="21"/>
  <c r="F12" i="21"/>
  <c r="F19" i="21"/>
  <c r="F15" i="21"/>
  <c r="F30" i="21"/>
  <c r="G12" i="21"/>
  <c r="G19" i="21"/>
  <c r="G15" i="21"/>
  <c r="G30" i="21"/>
  <c r="H19" i="21"/>
  <c r="H15" i="21"/>
  <c r="H30" i="21"/>
  <c r="I19" i="21"/>
  <c r="I15" i="21"/>
  <c r="I30" i="21"/>
  <c r="J19" i="21"/>
  <c r="J15" i="21"/>
  <c r="J30" i="21"/>
  <c r="K19" i="21"/>
  <c r="K15" i="21"/>
  <c r="K30" i="21"/>
  <c r="C19" i="21"/>
  <c r="C15" i="21"/>
  <c r="C30" i="21"/>
  <c r="D38" i="21"/>
  <c r="C38" i="21"/>
  <c r="C34" i="21"/>
  <c r="C31" i="21"/>
  <c r="D31" i="21"/>
  <c r="E31" i="21"/>
  <c r="F31" i="21"/>
  <c r="G31" i="21"/>
  <c r="H31" i="21"/>
  <c r="I31" i="21"/>
  <c r="J31" i="21"/>
  <c r="K31" i="21"/>
  <c r="E37" i="21"/>
  <c r="E36" i="21"/>
  <c r="C20" i="21"/>
  <c r="D20" i="21"/>
  <c r="E20" i="21"/>
  <c r="F11" i="21"/>
  <c r="F20" i="21"/>
  <c r="G11" i="21"/>
  <c r="G20" i="21"/>
  <c r="H20" i="21"/>
  <c r="I20" i="21"/>
  <c r="J20" i="21"/>
  <c r="K20" i="21"/>
  <c r="E35" i="21"/>
  <c r="C16" i="21"/>
  <c r="D16" i="21"/>
  <c r="E16" i="21"/>
  <c r="F16" i="21"/>
  <c r="G16" i="21"/>
  <c r="H16" i="21"/>
  <c r="I16" i="21"/>
  <c r="J16" i="21"/>
  <c r="K16" i="21"/>
  <c r="E34" i="21"/>
  <c r="D34" i="21"/>
  <c r="C37" i="21"/>
  <c r="C36" i="21"/>
  <c r="C35" i="21"/>
  <c r="W11" i="20"/>
  <c r="W19" i="20"/>
  <c r="W7" i="20"/>
  <c r="W15" i="20"/>
  <c r="W31" i="20"/>
  <c r="X12" i="20"/>
  <c r="X19" i="20"/>
  <c r="X8" i="20"/>
  <c r="X15" i="20"/>
  <c r="X31" i="20"/>
  <c r="Y11" i="20"/>
  <c r="Y19" i="20"/>
  <c r="Y7" i="20"/>
  <c r="Y15" i="20"/>
  <c r="Y31" i="20"/>
  <c r="Z11" i="20"/>
  <c r="Z19" i="20"/>
  <c r="Z7" i="20"/>
  <c r="Z15" i="20"/>
  <c r="Z31" i="20"/>
  <c r="AA12" i="20"/>
  <c r="AA19" i="20"/>
  <c r="AA8" i="20"/>
  <c r="AA15" i="20"/>
  <c r="AA31" i="20"/>
  <c r="AB11" i="20"/>
  <c r="AB19" i="20"/>
  <c r="AB7" i="20"/>
  <c r="AB15" i="20"/>
  <c r="AB31" i="20"/>
  <c r="AC12" i="20"/>
  <c r="AC19" i="20"/>
  <c r="AC8" i="20"/>
  <c r="AC15" i="20"/>
  <c r="AC31" i="20"/>
  <c r="AD11" i="20"/>
  <c r="AD19" i="20"/>
  <c r="AD7" i="20"/>
  <c r="AD15" i="20"/>
  <c r="AD31" i="20"/>
  <c r="AE19" i="20"/>
  <c r="AE15" i="20"/>
  <c r="AE31" i="20"/>
  <c r="AF19" i="20"/>
  <c r="AF15" i="20"/>
  <c r="AF31" i="20"/>
  <c r="AG19" i="20"/>
  <c r="AG15" i="20"/>
  <c r="AG31" i="20"/>
  <c r="AH19" i="20"/>
  <c r="AH15" i="20"/>
  <c r="AH31" i="20"/>
  <c r="AI11" i="20"/>
  <c r="AI19" i="20"/>
  <c r="AI15" i="20"/>
  <c r="AI31" i="20"/>
  <c r="AJ12" i="20"/>
  <c r="AJ19" i="20"/>
  <c r="AJ15" i="20"/>
  <c r="AJ31" i="20"/>
  <c r="AK12" i="20"/>
  <c r="AK19" i="20"/>
  <c r="AK15" i="20"/>
  <c r="AK31" i="20"/>
  <c r="D38" i="20"/>
  <c r="F37" i="20"/>
  <c r="F36" i="20"/>
  <c r="W12" i="20"/>
  <c r="W20" i="20"/>
  <c r="X11" i="20"/>
  <c r="X20" i="20"/>
  <c r="Y12" i="20"/>
  <c r="Y20" i="20"/>
  <c r="Z12" i="20"/>
  <c r="Z20" i="20"/>
  <c r="AA11" i="20"/>
  <c r="AA20" i="20"/>
  <c r="AB12" i="20"/>
  <c r="AB20" i="20"/>
  <c r="AC11" i="20"/>
  <c r="AC20" i="20"/>
  <c r="AD12" i="20"/>
  <c r="AD20" i="20"/>
  <c r="AE20" i="20"/>
  <c r="AF20" i="20"/>
  <c r="AG20" i="20"/>
  <c r="AH20" i="20"/>
  <c r="AI12" i="20"/>
  <c r="AI20" i="20"/>
  <c r="AJ11" i="20"/>
  <c r="AJ20" i="20"/>
  <c r="AK11" i="20"/>
  <c r="AK20" i="20"/>
  <c r="F35" i="20"/>
  <c r="W8" i="20"/>
  <c r="W16" i="20"/>
  <c r="X7" i="20"/>
  <c r="X16" i="20"/>
  <c r="Y8" i="20"/>
  <c r="Y16" i="20"/>
  <c r="Z8" i="20"/>
  <c r="Z16" i="20"/>
  <c r="AA7" i="20"/>
  <c r="AA16" i="20"/>
  <c r="AB8" i="20"/>
  <c r="AB16" i="20"/>
  <c r="AC7" i="20"/>
  <c r="AC16" i="20"/>
  <c r="AD8" i="20"/>
  <c r="AD16" i="20"/>
  <c r="AE16" i="20"/>
  <c r="AF16" i="20"/>
  <c r="AG16" i="20"/>
  <c r="AH16" i="20"/>
  <c r="AI16" i="20"/>
  <c r="AJ16" i="20"/>
  <c r="AK16" i="20"/>
  <c r="F34" i="20"/>
  <c r="D37" i="20"/>
  <c r="D36" i="20"/>
  <c r="D35" i="20"/>
  <c r="D34" i="20"/>
  <c r="C34" i="20"/>
  <c r="C38" i="20"/>
  <c r="E37" i="20"/>
  <c r="E36" i="20"/>
  <c r="C11" i="20"/>
  <c r="C20" i="20"/>
  <c r="D12" i="20"/>
  <c r="D20" i="20"/>
  <c r="E11" i="20"/>
  <c r="E20" i="20"/>
  <c r="F12" i="20"/>
  <c r="F20" i="20"/>
  <c r="G11" i="20"/>
  <c r="G20" i="20"/>
  <c r="H12" i="20"/>
  <c r="H20" i="20"/>
  <c r="I11" i="20"/>
  <c r="I20" i="20"/>
  <c r="J12" i="20"/>
  <c r="J20" i="20"/>
  <c r="K12" i="20"/>
  <c r="K20" i="20"/>
  <c r="L11" i="20"/>
  <c r="L20" i="20"/>
  <c r="M12" i="20"/>
  <c r="M20" i="20"/>
  <c r="N11" i="20"/>
  <c r="N20" i="20"/>
  <c r="O12" i="20"/>
  <c r="O20" i="20"/>
  <c r="P11" i="20"/>
  <c r="P20" i="20"/>
  <c r="Q12" i="20"/>
  <c r="Q20" i="20"/>
  <c r="R11" i="20"/>
  <c r="R20" i="20"/>
  <c r="S11" i="20"/>
  <c r="S20" i="20"/>
  <c r="T11" i="20"/>
  <c r="T20" i="20"/>
  <c r="E35" i="20"/>
  <c r="C7" i="20"/>
  <c r="C16" i="20"/>
  <c r="D8" i="20"/>
  <c r="D16" i="20"/>
  <c r="E7" i="20"/>
  <c r="E16" i="20"/>
  <c r="F8" i="20"/>
  <c r="F16" i="20"/>
  <c r="G7" i="20"/>
  <c r="G16" i="20"/>
  <c r="H8" i="20"/>
  <c r="H16" i="20"/>
  <c r="I7" i="20"/>
  <c r="I16" i="20"/>
  <c r="J8" i="20"/>
  <c r="J16" i="20"/>
  <c r="K8" i="20"/>
  <c r="K16" i="20"/>
  <c r="L7" i="20"/>
  <c r="L16" i="20"/>
  <c r="M8" i="20"/>
  <c r="M16" i="20"/>
  <c r="N7" i="20"/>
  <c r="N16" i="20"/>
  <c r="O8" i="20"/>
  <c r="O16" i="20"/>
  <c r="P7" i="20"/>
  <c r="P16" i="20"/>
  <c r="Q8" i="20"/>
  <c r="Q16" i="20"/>
  <c r="R7" i="20"/>
  <c r="R16" i="20"/>
  <c r="S7" i="20"/>
  <c r="S16" i="20"/>
  <c r="T7" i="20"/>
  <c r="T16" i="20"/>
  <c r="E34" i="20"/>
  <c r="C35" i="20"/>
  <c r="N31" i="21"/>
  <c r="O31" i="21"/>
  <c r="P31" i="21"/>
  <c r="Q31" i="21"/>
  <c r="R31" i="21"/>
  <c r="S31" i="21"/>
  <c r="T31" i="21"/>
  <c r="U31" i="21"/>
  <c r="V31" i="21"/>
  <c r="W31" i="21"/>
  <c r="X31" i="21"/>
  <c r="F37" i="21"/>
  <c r="F36" i="21"/>
  <c r="N20" i="21"/>
  <c r="O20" i="21"/>
  <c r="P20" i="21"/>
  <c r="Q20" i="21"/>
  <c r="R20" i="21"/>
  <c r="S20" i="21"/>
  <c r="T20" i="21"/>
  <c r="U20" i="21"/>
  <c r="V20" i="21"/>
  <c r="W20" i="21"/>
  <c r="X20" i="21"/>
  <c r="F35" i="21"/>
  <c r="N16" i="21"/>
  <c r="O16" i="21"/>
  <c r="P16" i="21"/>
  <c r="Q16" i="21"/>
  <c r="R16" i="21"/>
  <c r="S16" i="21"/>
  <c r="T16" i="21"/>
  <c r="U16" i="21"/>
  <c r="V16" i="21"/>
  <c r="W16" i="21"/>
  <c r="X16" i="21"/>
  <c r="F34" i="21"/>
  <c r="D37" i="21"/>
  <c r="D36" i="21"/>
  <c r="D35" i="21"/>
  <c r="T10" i="20"/>
  <c r="S10" i="20"/>
  <c r="R10" i="20"/>
  <c r="Q10" i="20"/>
  <c r="P10" i="20"/>
  <c r="J37" i="21"/>
  <c r="J39" i="21"/>
  <c r="J37" i="20"/>
  <c r="J39" i="20"/>
</calcChain>
</file>

<file path=xl/sharedStrings.xml><?xml version="1.0" encoding="utf-8"?>
<sst xmlns="http://schemas.openxmlformats.org/spreadsheetml/2006/main" count="401" uniqueCount="44">
  <si>
    <t>l</t>
  </si>
  <si>
    <t>r</t>
  </si>
  <si>
    <t>pre</t>
  </si>
  <si>
    <t>post</t>
  </si>
  <si>
    <t>asp</t>
  </si>
  <si>
    <t>solo</t>
  </si>
  <si>
    <t>social</t>
  </si>
  <si>
    <t>normalized</t>
  </si>
  <si>
    <t>ppr</t>
  </si>
  <si>
    <t>PRE</t>
  </si>
  <si>
    <t>POST</t>
  </si>
  <si>
    <t>ID</t>
  </si>
  <si>
    <t>pre:post soc</t>
  </si>
  <si>
    <t>PPR</t>
  </si>
  <si>
    <t>ASP</t>
  </si>
  <si>
    <t>a</t>
  </si>
  <si>
    <t>p</t>
  </si>
  <si>
    <t>n</t>
  </si>
  <si>
    <t>ap1(1328)</t>
  </si>
  <si>
    <t>ap3 (770)</t>
  </si>
  <si>
    <t>ap4 (1326)</t>
  </si>
  <si>
    <t>ap5 (771)</t>
  </si>
  <si>
    <t>ap2 (764)</t>
  </si>
  <si>
    <t>ap7 (1329)</t>
  </si>
  <si>
    <t>ap8 (1327)</t>
  </si>
  <si>
    <t>ap9 (425)</t>
  </si>
  <si>
    <t>error saline</t>
  </si>
  <si>
    <t>error ota</t>
  </si>
  <si>
    <t>ttest saline</t>
  </si>
  <si>
    <t>ttest ota</t>
  </si>
  <si>
    <t>ttest saline vs ota</t>
  </si>
  <si>
    <t>1/ 4" CC</t>
  </si>
  <si>
    <t>Condition</t>
  </si>
  <si>
    <t xml:space="preserve"> PRE</t>
  </si>
  <si>
    <t xml:space="preserve"> POST</t>
  </si>
  <si>
    <t>Subtracted</t>
  </si>
  <si>
    <t>Normalized</t>
  </si>
  <si>
    <t>I.P. SALINE</t>
  </si>
  <si>
    <t>subtracted</t>
  </si>
  <si>
    <t>A.P. SALINE</t>
  </si>
  <si>
    <t xml:space="preserve">A.P. OTA </t>
  </si>
  <si>
    <t>NAc A.P. SALINE</t>
  </si>
  <si>
    <t xml:space="preserve">NAc A.P. OTA </t>
  </si>
  <si>
    <t>I.P. 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</si>
</sst>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Helvetica"/>
    </font>
    <font>
      <i/>
      <sz val="10"/>
      <name val="Helvetica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sz val="10"/>
      <color theme="0" tint="-0.14999847407452621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i/>
      <sz val="12"/>
      <color rgb="FF000000"/>
      <name val="Calibri"/>
      <family val="2"/>
    </font>
    <font>
      <sz val="10"/>
      <color theme="0" tint="-0.249977111117893"/>
      <name val="Helvetica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857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5">
    <xf numFmtId="0" fontId="0" fillId="0" borderId="0" xfId="0"/>
    <xf numFmtId="164" fontId="0" fillId="0" borderId="0" xfId="0" applyNumberFormat="1" applyBorder="1"/>
    <xf numFmtId="0" fontId="0" fillId="0" borderId="0" xfId="0" applyFill="1"/>
    <xf numFmtId="0" fontId="1" fillId="0" borderId="0" xfId="0" applyNumberFormat="1" applyFont="1" applyBorder="1"/>
    <xf numFmtId="14" fontId="0" fillId="0" borderId="0" xfId="0" applyNumberFormat="1" applyBorder="1"/>
    <xf numFmtId="1" fontId="0" fillId="0" borderId="0" xfId="0" applyNumberFormat="1" applyBorder="1"/>
    <xf numFmtId="1" fontId="0" fillId="0" borderId="2" xfId="0" applyNumberFormat="1" applyBorder="1"/>
    <xf numFmtId="2" fontId="0" fillId="0" borderId="0" xfId="0" applyNumberFormat="1" applyFont="1" applyBorder="1"/>
    <xf numFmtId="0" fontId="0" fillId="0" borderId="0" xfId="0" applyBorder="1"/>
    <xf numFmtId="2" fontId="0" fillId="0" borderId="1" xfId="0" applyNumberFormat="1" applyFont="1" applyBorder="1"/>
    <xf numFmtId="2" fontId="0" fillId="0" borderId="2" xfId="0" applyNumberFormat="1" applyFont="1" applyBorder="1"/>
    <xf numFmtId="2" fontId="0" fillId="5" borderId="0" xfId="0" applyNumberFormat="1" applyFont="1" applyFill="1" applyBorder="1"/>
    <xf numFmtId="2" fontId="0" fillId="0" borderId="0" xfId="0" applyNumberFormat="1" applyFont="1" applyFill="1" applyBorder="1"/>
    <xf numFmtId="2" fontId="0" fillId="4" borderId="2" xfId="0" applyNumberFormat="1" applyFont="1" applyFill="1" applyBorder="1"/>
    <xf numFmtId="2" fontId="0" fillId="5" borderId="2" xfId="0" applyNumberFormat="1" applyFont="1" applyFill="1" applyBorder="1"/>
    <xf numFmtId="0" fontId="0" fillId="0" borderId="1" xfId="0" applyBorder="1"/>
    <xf numFmtId="0" fontId="0" fillId="0" borderId="2" xfId="0" applyBorder="1"/>
    <xf numFmtId="0" fontId="5" fillId="0" borderId="0" xfId="0" applyFont="1"/>
    <xf numFmtId="0" fontId="0" fillId="0" borderId="0" xfId="0" applyFont="1"/>
    <xf numFmtId="14" fontId="0" fillId="0" borderId="0" xfId="0" applyNumberFormat="1" applyFont="1" applyBorder="1"/>
    <xf numFmtId="1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/>
    <xf numFmtId="2" fontId="0" fillId="6" borderId="0" xfId="0" applyNumberFormat="1" applyFont="1" applyFill="1" applyBorder="1"/>
    <xf numFmtId="0" fontId="0" fillId="0" borderId="2" xfId="0" applyFont="1" applyBorder="1"/>
    <xf numFmtId="14" fontId="0" fillId="0" borderId="2" xfId="0" applyNumberFormat="1" applyFont="1" applyBorder="1"/>
    <xf numFmtId="0" fontId="0" fillId="4" borderId="0" xfId="0" applyFont="1" applyFill="1" applyBorder="1"/>
    <xf numFmtId="0" fontId="0" fillId="0" borderId="0" xfId="0" applyFont="1" applyFill="1" applyBorder="1"/>
    <xf numFmtId="0" fontId="0" fillId="8" borderId="0" xfId="0" applyFont="1" applyFill="1" applyBorder="1"/>
    <xf numFmtId="0" fontId="3" fillId="0" borderId="0" xfId="0" applyFont="1" applyBorder="1"/>
    <xf numFmtId="14" fontId="3" fillId="0" borderId="0" xfId="0" applyNumberFormat="1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0" fillId="0" borderId="1" xfId="0" applyNumberFormat="1" applyFont="1" applyFill="1" applyBorder="1"/>
    <xf numFmtId="2" fontId="0" fillId="3" borderId="0" xfId="0" applyNumberFormat="1" applyFont="1" applyFill="1" applyBorder="1"/>
    <xf numFmtId="0" fontId="3" fillId="0" borderId="6" xfId="0" applyFont="1" applyBorder="1"/>
    <xf numFmtId="0" fontId="3" fillId="0" borderId="7" xfId="0" applyFont="1" applyBorder="1"/>
    <xf numFmtId="2" fontId="0" fillId="3" borderId="2" xfId="0" applyNumberFormat="1" applyFont="1" applyFill="1" applyBorder="1"/>
    <xf numFmtId="0" fontId="3" fillId="10" borderId="0" xfId="0" applyFont="1" applyFill="1" applyBorder="1"/>
    <xf numFmtId="2" fontId="0" fillId="0" borderId="2" xfId="0" applyNumberFormat="1" applyFont="1" applyFill="1" applyBorder="1"/>
    <xf numFmtId="2" fontId="0" fillId="4" borderId="0" xfId="0" applyNumberFormat="1" applyFont="1" applyFill="1" applyBorder="1"/>
    <xf numFmtId="0" fontId="3" fillId="9" borderId="0" xfId="0" applyFont="1" applyFill="1" applyBorder="1"/>
    <xf numFmtId="0" fontId="5" fillId="0" borderId="0" xfId="0" applyFont="1" applyBorder="1"/>
    <xf numFmtId="0" fontId="0" fillId="0" borderId="0" xfId="0" applyFill="1" applyBorder="1"/>
    <xf numFmtId="164" fontId="0" fillId="0" borderId="0" xfId="0" applyNumberFormat="1" applyFill="1" applyBorder="1"/>
    <xf numFmtId="2" fontId="0" fillId="13" borderId="0" xfId="0" applyNumberFormat="1" applyFont="1" applyFill="1" applyBorder="1"/>
    <xf numFmtId="0" fontId="5" fillId="0" borderId="0" xfId="0" applyFont="1" applyFill="1"/>
    <xf numFmtId="14" fontId="5" fillId="0" borderId="0" xfId="0" applyNumberFormat="1" applyFont="1" applyFill="1"/>
    <xf numFmtId="0" fontId="5" fillId="0" borderId="6" xfId="0" applyFont="1" applyBorder="1"/>
    <xf numFmtId="14" fontId="5" fillId="0" borderId="0" xfId="0" applyNumberFormat="1" applyFont="1" applyBorder="1"/>
    <xf numFmtId="0" fontId="5" fillId="10" borderId="0" xfId="0" applyFont="1" applyFill="1" applyBorder="1"/>
    <xf numFmtId="1" fontId="0" fillId="3" borderId="0" xfId="0" applyNumberFormat="1" applyFont="1" applyFill="1" applyBorder="1"/>
    <xf numFmtId="1" fontId="0" fillId="5" borderId="0" xfId="0" applyNumberFormat="1" applyFont="1" applyFill="1" applyBorder="1"/>
    <xf numFmtId="1" fontId="0" fillId="4" borderId="0" xfId="0" applyNumberFormat="1" applyFont="1" applyFill="1" applyBorder="1"/>
    <xf numFmtId="0" fontId="0" fillId="11" borderId="2" xfId="0" applyFont="1" applyFill="1" applyBorder="1"/>
    <xf numFmtId="1" fontId="0" fillId="0" borderId="2" xfId="0" applyNumberFormat="1" applyFont="1" applyBorder="1"/>
    <xf numFmtId="2" fontId="6" fillId="0" borderId="0" xfId="0" applyNumberFormat="1" applyFont="1" applyFill="1" applyBorder="1"/>
    <xf numFmtId="164" fontId="0" fillId="0" borderId="0" xfId="0" applyNumberFormat="1" applyFont="1" applyFill="1" applyBorder="1"/>
    <xf numFmtId="164" fontId="0" fillId="2" borderId="0" xfId="0" applyNumberFormat="1" applyFont="1" applyFill="1" applyBorder="1"/>
    <xf numFmtId="164" fontId="0" fillId="2" borderId="0" xfId="0" applyNumberFormat="1" applyFill="1" applyBorder="1"/>
    <xf numFmtId="164" fontId="10" fillId="0" borderId="0" xfId="0" applyNumberFormat="1" applyFont="1" applyFill="1" applyBorder="1"/>
    <xf numFmtId="0" fontId="10" fillId="0" borderId="0" xfId="0" applyFont="1" applyFill="1" applyBorder="1"/>
    <xf numFmtId="0" fontId="1" fillId="0" borderId="0" xfId="0" applyFont="1" applyBorder="1"/>
    <xf numFmtId="0" fontId="3" fillId="12" borderId="0" xfId="0" applyFont="1" applyFill="1" applyBorder="1"/>
    <xf numFmtId="0" fontId="3" fillId="16" borderId="0" xfId="0" applyFont="1" applyFill="1" applyBorder="1"/>
    <xf numFmtId="0" fontId="3" fillId="14" borderId="0" xfId="0" applyFont="1" applyFill="1" applyBorder="1"/>
    <xf numFmtId="0" fontId="4" fillId="4" borderId="0" xfId="0" applyFont="1" applyFill="1" applyBorder="1"/>
    <xf numFmtId="2" fontId="6" fillId="0" borderId="0" xfId="0" applyNumberFormat="1" applyFont="1" applyBorder="1"/>
    <xf numFmtId="164" fontId="0" fillId="17" borderId="0" xfId="0" applyNumberFormat="1" applyFont="1" applyFill="1" applyBorder="1"/>
    <xf numFmtId="1" fontId="0" fillId="0" borderId="0" xfId="0" applyNumberFormat="1" applyFont="1" applyFill="1" applyBorder="1"/>
    <xf numFmtId="0" fontId="9" fillId="0" borderId="6" xfId="0" applyFont="1" applyBorder="1"/>
    <xf numFmtId="0" fontId="3" fillId="10" borderId="2" xfId="0" applyFont="1" applyFill="1" applyBorder="1"/>
    <xf numFmtId="2" fontId="0" fillId="0" borderId="3" xfId="0" applyNumberFormat="1" applyFont="1" applyFill="1" applyBorder="1"/>
    <xf numFmtId="2" fontId="0" fillId="0" borderId="4" xfId="0" applyNumberFormat="1" applyFont="1" applyFill="1" applyBorder="1"/>
    <xf numFmtId="2" fontId="0" fillId="0" borderId="5" xfId="0" applyNumberFormat="1" applyFont="1" applyFill="1" applyBorder="1"/>
    <xf numFmtId="0" fontId="3" fillId="16" borderId="2" xfId="0" applyFont="1" applyFill="1" applyBorder="1"/>
    <xf numFmtId="2" fontId="0" fillId="13" borderId="2" xfId="0" applyNumberFormat="1" applyFont="1" applyFill="1" applyBorder="1"/>
    <xf numFmtId="164" fontId="0" fillId="0" borderId="2" xfId="0" applyNumberFormat="1" applyFill="1" applyBorder="1"/>
    <xf numFmtId="1" fontId="0" fillId="13" borderId="0" xfId="0" applyNumberFormat="1" applyFont="1" applyFill="1" applyBorder="1"/>
    <xf numFmtId="1" fontId="0" fillId="4" borderId="2" xfId="0" applyNumberFormat="1" applyFont="1" applyFill="1" applyBorder="1"/>
    <xf numFmtId="1" fontId="0" fillId="13" borderId="2" xfId="0" applyNumberFormat="1" applyFont="1" applyFill="1" applyBorder="1"/>
    <xf numFmtId="1" fontId="0" fillId="0" borderId="2" xfId="0" applyNumberFormat="1" applyFont="1" applyFill="1" applyBorder="1"/>
    <xf numFmtId="0" fontId="1" fillId="0" borderId="8" xfId="0" applyNumberFormat="1" applyFont="1" applyBorder="1"/>
    <xf numFmtId="0" fontId="0" fillId="6" borderId="0" xfId="0" applyFont="1" applyFill="1" applyBorder="1"/>
    <xf numFmtId="0" fontId="0" fillId="7" borderId="0" xfId="0" applyFont="1" applyFill="1" applyBorder="1"/>
    <xf numFmtId="0" fontId="0" fillId="15" borderId="0" xfId="0" applyFont="1" applyFill="1" applyBorder="1"/>
    <xf numFmtId="0" fontId="5" fillId="11" borderId="0" xfId="0" applyFont="1" applyFill="1" applyBorder="1"/>
    <xf numFmtId="0" fontId="0" fillId="11" borderId="0" xfId="0" applyFont="1" applyFill="1" applyBorder="1"/>
    <xf numFmtId="0" fontId="0" fillId="0" borderId="6" xfId="0" applyFont="1" applyBorder="1"/>
    <xf numFmtId="0" fontId="0" fillId="0" borderId="7" xfId="0" applyFont="1" applyBorder="1"/>
    <xf numFmtId="0" fontId="0" fillId="4" borderId="2" xfId="0" applyFont="1" applyFill="1" applyBorder="1"/>
    <xf numFmtId="0" fontId="5" fillId="0" borderId="7" xfId="0" applyFont="1" applyBorder="1"/>
    <xf numFmtId="14" fontId="5" fillId="0" borderId="2" xfId="0" applyNumberFormat="1" applyFont="1" applyBorder="1"/>
    <xf numFmtId="0" fontId="5" fillId="0" borderId="2" xfId="0" applyFont="1" applyBorder="1"/>
    <xf numFmtId="0" fontId="5" fillId="11" borderId="2" xfId="0" applyFont="1" applyFill="1" applyBorder="1"/>
  </cellXfs>
  <cellStyles count="385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0" builtinId="9" hidden="1"/>
    <cellStyle name="Followed Hyperlink" xfId="1982" builtinId="9" hidden="1"/>
    <cellStyle name="Followed Hyperlink" xfId="1984" builtinId="9" hidden="1"/>
    <cellStyle name="Followed Hyperlink" xfId="1986" builtinId="9" hidden="1"/>
    <cellStyle name="Followed Hyperlink" xfId="1988" builtinId="9" hidden="1"/>
    <cellStyle name="Followed Hyperlink" xfId="1990" builtinId="9" hidden="1"/>
    <cellStyle name="Followed Hyperlink" xfId="1992" builtinId="9" hidden="1"/>
    <cellStyle name="Followed Hyperlink" xfId="1994" builtinId="9" hidden="1"/>
    <cellStyle name="Followed Hyperlink" xfId="1996" builtinId="9" hidden="1"/>
    <cellStyle name="Followed Hyperlink" xfId="1998" builtinId="9" hidden="1"/>
    <cellStyle name="Followed Hyperlink" xfId="2000" builtinId="9" hidden="1"/>
    <cellStyle name="Followed Hyperlink" xfId="2002" builtinId="9" hidden="1"/>
    <cellStyle name="Followed Hyperlink" xfId="2004" builtinId="9" hidden="1"/>
    <cellStyle name="Followed Hyperlink" xfId="2006" builtinId="9" hidden="1"/>
    <cellStyle name="Followed Hyperlink" xfId="2008" builtinId="9" hidden="1"/>
    <cellStyle name="Followed Hyperlink" xfId="2010" builtinId="9" hidden="1"/>
    <cellStyle name="Followed Hyperlink" xfId="2012" builtinId="9" hidden="1"/>
    <cellStyle name="Followed Hyperlink" xfId="2014" builtinId="9" hidden="1"/>
    <cellStyle name="Followed Hyperlink" xfId="2016" builtinId="9" hidden="1"/>
    <cellStyle name="Followed Hyperlink" xfId="2018" builtinId="9" hidden="1"/>
    <cellStyle name="Followed Hyperlink" xfId="2020" builtinId="9" hidden="1"/>
    <cellStyle name="Followed Hyperlink" xfId="2022" builtinId="9" hidden="1"/>
    <cellStyle name="Followed Hyperlink" xfId="2024" builtinId="9" hidden="1"/>
    <cellStyle name="Followed Hyperlink" xfId="2026" builtinId="9" hidden="1"/>
    <cellStyle name="Followed Hyperlink" xfId="2028" builtinId="9" hidden="1"/>
    <cellStyle name="Followed Hyperlink" xfId="2030" builtinId="9" hidden="1"/>
    <cellStyle name="Followed Hyperlink" xfId="2032" builtinId="9" hidden="1"/>
    <cellStyle name="Followed Hyperlink" xfId="2034" builtinId="9" hidden="1"/>
    <cellStyle name="Followed Hyperlink" xfId="2036" builtinId="9" hidden="1"/>
    <cellStyle name="Followed Hyperlink" xfId="2038" builtinId="9" hidden="1"/>
    <cellStyle name="Followed Hyperlink" xfId="2040" builtinId="9" hidden="1"/>
    <cellStyle name="Followed Hyperlink" xfId="2042" builtinId="9" hidden="1"/>
    <cellStyle name="Followed Hyperlink" xfId="2044" builtinId="9" hidden="1"/>
    <cellStyle name="Followed Hyperlink" xfId="2046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Followed Hyperlink" xfId="2880" builtinId="9" hidden="1"/>
    <cellStyle name="Followed Hyperlink" xfId="2882" builtinId="9" hidden="1"/>
    <cellStyle name="Followed Hyperlink" xfId="2884" builtinId="9" hidden="1"/>
    <cellStyle name="Followed Hyperlink" xfId="2886" builtinId="9" hidden="1"/>
    <cellStyle name="Followed Hyperlink" xfId="2888" builtinId="9" hidden="1"/>
    <cellStyle name="Followed Hyperlink" xfId="2890" builtinId="9" hidden="1"/>
    <cellStyle name="Followed Hyperlink" xfId="2892" builtinId="9" hidden="1"/>
    <cellStyle name="Followed Hyperlink" xfId="2894" builtinId="9" hidden="1"/>
    <cellStyle name="Followed Hyperlink" xfId="2896" builtinId="9" hidden="1"/>
    <cellStyle name="Followed Hyperlink" xfId="2898" builtinId="9" hidden="1"/>
    <cellStyle name="Followed Hyperlink" xfId="2900" builtinId="9" hidden="1"/>
    <cellStyle name="Followed Hyperlink" xfId="2902" builtinId="9" hidden="1"/>
    <cellStyle name="Followed Hyperlink" xfId="2904" builtinId="9" hidden="1"/>
    <cellStyle name="Followed Hyperlink" xfId="2906" builtinId="9" hidden="1"/>
    <cellStyle name="Followed Hyperlink" xfId="2908" builtinId="9" hidden="1"/>
    <cellStyle name="Followed Hyperlink" xfId="2910" builtinId="9" hidden="1"/>
    <cellStyle name="Followed Hyperlink" xfId="2912" builtinId="9" hidden="1"/>
    <cellStyle name="Followed Hyperlink" xfId="2914" builtinId="9" hidden="1"/>
    <cellStyle name="Followed Hyperlink" xfId="2916" builtinId="9" hidden="1"/>
    <cellStyle name="Followed Hyperlink" xfId="2918" builtinId="9" hidden="1"/>
    <cellStyle name="Followed Hyperlink" xfId="2920" builtinId="9" hidden="1"/>
    <cellStyle name="Followed Hyperlink" xfId="2922" builtinId="9" hidden="1"/>
    <cellStyle name="Followed Hyperlink" xfId="2924" builtinId="9" hidden="1"/>
    <cellStyle name="Followed Hyperlink" xfId="2926" builtinId="9" hidden="1"/>
    <cellStyle name="Followed Hyperlink" xfId="2928" builtinId="9" hidden="1"/>
    <cellStyle name="Followed Hyperlink" xfId="2930" builtinId="9" hidden="1"/>
    <cellStyle name="Followed Hyperlink" xfId="2932" builtinId="9" hidden="1"/>
    <cellStyle name="Followed Hyperlink" xfId="2934" builtinId="9" hidden="1"/>
    <cellStyle name="Followed Hyperlink" xfId="2936" builtinId="9" hidden="1"/>
    <cellStyle name="Followed Hyperlink" xfId="2938" builtinId="9" hidden="1"/>
    <cellStyle name="Followed Hyperlink" xfId="2940" builtinId="9" hidden="1"/>
    <cellStyle name="Followed Hyperlink" xfId="2942" builtinId="9" hidden="1"/>
    <cellStyle name="Followed Hyperlink" xfId="2944" builtinId="9" hidden="1"/>
    <cellStyle name="Followed Hyperlink" xfId="2946" builtinId="9" hidden="1"/>
    <cellStyle name="Followed Hyperlink" xfId="2948" builtinId="9" hidden="1"/>
    <cellStyle name="Followed Hyperlink" xfId="2950" builtinId="9" hidden="1"/>
    <cellStyle name="Followed Hyperlink" xfId="2952" builtinId="9" hidden="1"/>
    <cellStyle name="Followed Hyperlink" xfId="2954" builtinId="9" hidden="1"/>
    <cellStyle name="Followed Hyperlink" xfId="2956" builtinId="9" hidden="1"/>
    <cellStyle name="Followed Hyperlink" xfId="2958" builtinId="9" hidden="1"/>
    <cellStyle name="Followed Hyperlink" xfId="2960" builtinId="9" hidden="1"/>
    <cellStyle name="Followed Hyperlink" xfId="2962" builtinId="9" hidden="1"/>
    <cellStyle name="Followed Hyperlink" xfId="2964" builtinId="9" hidden="1"/>
    <cellStyle name="Followed Hyperlink" xfId="2966" builtinId="9" hidden="1"/>
    <cellStyle name="Followed Hyperlink" xfId="2968" builtinId="9" hidden="1"/>
    <cellStyle name="Followed Hyperlink" xfId="2970" builtinId="9" hidden="1"/>
    <cellStyle name="Followed Hyperlink" xfId="2972" builtinId="9" hidden="1"/>
    <cellStyle name="Followed Hyperlink" xfId="2974" builtinId="9" hidden="1"/>
    <cellStyle name="Followed Hyperlink" xfId="2976" builtinId="9" hidden="1"/>
    <cellStyle name="Followed Hyperlink" xfId="2978" builtinId="9" hidden="1"/>
    <cellStyle name="Followed Hyperlink" xfId="2980" builtinId="9" hidden="1"/>
    <cellStyle name="Followed Hyperlink" xfId="2982" builtinId="9" hidden="1"/>
    <cellStyle name="Followed Hyperlink" xfId="2984" builtinId="9" hidden="1"/>
    <cellStyle name="Followed Hyperlink" xfId="2986" builtinId="9" hidden="1"/>
    <cellStyle name="Followed Hyperlink" xfId="2988" builtinId="9" hidden="1"/>
    <cellStyle name="Followed Hyperlink" xfId="2990" builtinId="9" hidden="1"/>
    <cellStyle name="Followed Hyperlink" xfId="2992" builtinId="9" hidden="1"/>
    <cellStyle name="Followed Hyperlink" xfId="2994" builtinId="9" hidden="1"/>
    <cellStyle name="Followed Hyperlink" xfId="2996" builtinId="9" hidden="1"/>
    <cellStyle name="Followed Hyperlink" xfId="2998" builtinId="9" hidden="1"/>
    <cellStyle name="Followed Hyperlink" xfId="3000" builtinId="9" hidden="1"/>
    <cellStyle name="Followed Hyperlink" xfId="3002" builtinId="9" hidden="1"/>
    <cellStyle name="Followed Hyperlink" xfId="3004" builtinId="9" hidden="1"/>
    <cellStyle name="Followed Hyperlink" xfId="3006" builtinId="9" hidden="1"/>
    <cellStyle name="Followed Hyperlink" xfId="3008" builtinId="9" hidden="1"/>
    <cellStyle name="Followed Hyperlink" xfId="3010" builtinId="9" hidden="1"/>
    <cellStyle name="Followed Hyperlink" xfId="3012" builtinId="9" hidden="1"/>
    <cellStyle name="Followed Hyperlink" xfId="3014" builtinId="9" hidden="1"/>
    <cellStyle name="Followed Hyperlink" xfId="3016" builtinId="9" hidden="1"/>
    <cellStyle name="Followed Hyperlink" xfId="3018" builtinId="9" hidden="1"/>
    <cellStyle name="Followed Hyperlink" xfId="3020" builtinId="9" hidden="1"/>
    <cellStyle name="Followed Hyperlink" xfId="3022" builtinId="9" hidden="1"/>
    <cellStyle name="Followed Hyperlink" xfId="3024" builtinId="9" hidden="1"/>
    <cellStyle name="Followed Hyperlink" xfId="3026" builtinId="9" hidden="1"/>
    <cellStyle name="Followed Hyperlink" xfId="3028" builtinId="9" hidden="1"/>
    <cellStyle name="Followed Hyperlink" xfId="3030" builtinId="9" hidden="1"/>
    <cellStyle name="Followed Hyperlink" xfId="3032" builtinId="9" hidden="1"/>
    <cellStyle name="Followed Hyperlink" xfId="3034" builtinId="9" hidden="1"/>
    <cellStyle name="Followed Hyperlink" xfId="3036" builtinId="9" hidden="1"/>
    <cellStyle name="Followed Hyperlink" xfId="3038" builtinId="9" hidden="1"/>
    <cellStyle name="Followed Hyperlink" xfId="3040" builtinId="9" hidden="1"/>
    <cellStyle name="Followed Hyperlink" xfId="3042" builtinId="9" hidden="1"/>
    <cellStyle name="Followed Hyperlink" xfId="3044" builtinId="9" hidden="1"/>
    <cellStyle name="Followed Hyperlink" xfId="3046" builtinId="9" hidden="1"/>
    <cellStyle name="Followed Hyperlink" xfId="3048" builtinId="9" hidden="1"/>
    <cellStyle name="Followed Hyperlink" xfId="3050" builtinId="9" hidden="1"/>
    <cellStyle name="Followed Hyperlink" xfId="3052" builtinId="9" hidden="1"/>
    <cellStyle name="Followed Hyperlink" xfId="3054" builtinId="9" hidden="1"/>
    <cellStyle name="Followed Hyperlink" xfId="3056" builtinId="9" hidden="1"/>
    <cellStyle name="Followed Hyperlink" xfId="3058" builtinId="9" hidden="1"/>
    <cellStyle name="Followed Hyperlink" xfId="3060" builtinId="9" hidden="1"/>
    <cellStyle name="Followed Hyperlink" xfId="3062" builtinId="9" hidden="1"/>
    <cellStyle name="Followed Hyperlink" xfId="3064" builtinId="9" hidden="1"/>
    <cellStyle name="Followed Hyperlink" xfId="3066" builtinId="9" hidden="1"/>
    <cellStyle name="Followed Hyperlink" xfId="3068" builtinId="9" hidden="1"/>
    <cellStyle name="Followed Hyperlink" xfId="3070" builtinId="9" hidden="1"/>
    <cellStyle name="Followed Hyperlink" xfId="3072" builtinId="9" hidden="1"/>
    <cellStyle name="Followed Hyperlink" xfId="3074" builtinId="9" hidden="1"/>
    <cellStyle name="Followed Hyperlink" xfId="3076" builtinId="9" hidden="1"/>
    <cellStyle name="Followed Hyperlink" xfId="3078" builtinId="9" hidden="1"/>
    <cellStyle name="Followed Hyperlink" xfId="3080" builtinId="9" hidden="1"/>
    <cellStyle name="Followed Hyperlink" xfId="3082" builtinId="9" hidden="1"/>
    <cellStyle name="Followed Hyperlink" xfId="3084" builtinId="9" hidden="1"/>
    <cellStyle name="Followed Hyperlink" xfId="3086" builtinId="9" hidden="1"/>
    <cellStyle name="Followed Hyperlink" xfId="3088" builtinId="9" hidden="1"/>
    <cellStyle name="Followed Hyperlink" xfId="3090" builtinId="9" hidden="1"/>
    <cellStyle name="Followed Hyperlink" xfId="3092" builtinId="9" hidden="1"/>
    <cellStyle name="Followed Hyperlink" xfId="3094" builtinId="9" hidden="1"/>
    <cellStyle name="Followed Hyperlink" xfId="3096" builtinId="9" hidden="1"/>
    <cellStyle name="Followed Hyperlink" xfId="3098" builtinId="9" hidden="1"/>
    <cellStyle name="Followed Hyperlink" xfId="3100" builtinId="9" hidden="1"/>
    <cellStyle name="Followed Hyperlink" xfId="3102" builtinId="9" hidden="1"/>
    <cellStyle name="Followed Hyperlink" xfId="3104" builtinId="9" hidden="1"/>
    <cellStyle name="Followed Hyperlink" xfId="3106" builtinId="9" hidden="1"/>
    <cellStyle name="Followed Hyperlink" xfId="3108" builtinId="9" hidden="1"/>
    <cellStyle name="Followed Hyperlink" xfId="3110" builtinId="9" hidden="1"/>
    <cellStyle name="Followed Hyperlink" xfId="3112" builtinId="9" hidden="1"/>
    <cellStyle name="Followed Hyperlink" xfId="3114" builtinId="9" hidden="1"/>
    <cellStyle name="Followed Hyperlink" xfId="3116" builtinId="9" hidden="1"/>
    <cellStyle name="Followed Hyperlink" xfId="3118" builtinId="9" hidden="1"/>
    <cellStyle name="Followed Hyperlink" xfId="3120" builtinId="9" hidden="1"/>
    <cellStyle name="Followed Hyperlink" xfId="3122" builtinId="9" hidden="1"/>
    <cellStyle name="Followed Hyperlink" xfId="3124" builtinId="9" hidden="1"/>
    <cellStyle name="Followed Hyperlink" xfId="3126" builtinId="9" hidden="1"/>
    <cellStyle name="Followed Hyperlink" xfId="3128" builtinId="9" hidden="1"/>
    <cellStyle name="Followed Hyperlink" xfId="3130" builtinId="9" hidden="1"/>
    <cellStyle name="Followed Hyperlink" xfId="3132" builtinId="9" hidden="1"/>
    <cellStyle name="Followed Hyperlink" xfId="3134" builtinId="9" hidden="1"/>
    <cellStyle name="Followed Hyperlink" xfId="3136" builtinId="9" hidden="1"/>
    <cellStyle name="Followed Hyperlink" xfId="3138" builtinId="9" hidden="1"/>
    <cellStyle name="Followed Hyperlink" xfId="3140" builtinId="9" hidden="1"/>
    <cellStyle name="Followed Hyperlink" xfId="3142" builtinId="9" hidden="1"/>
    <cellStyle name="Followed Hyperlink" xfId="3144" builtinId="9" hidden="1"/>
    <cellStyle name="Followed Hyperlink" xfId="3146" builtinId="9" hidden="1"/>
    <cellStyle name="Followed Hyperlink" xfId="3148" builtinId="9" hidden="1"/>
    <cellStyle name="Followed Hyperlink" xfId="3150" builtinId="9" hidden="1"/>
    <cellStyle name="Followed Hyperlink" xfId="3152" builtinId="9" hidden="1"/>
    <cellStyle name="Followed Hyperlink" xfId="3154" builtinId="9" hidden="1"/>
    <cellStyle name="Followed Hyperlink" xfId="3156" builtinId="9" hidden="1"/>
    <cellStyle name="Followed Hyperlink" xfId="3158" builtinId="9" hidden="1"/>
    <cellStyle name="Followed Hyperlink" xfId="3160" builtinId="9" hidden="1"/>
    <cellStyle name="Followed Hyperlink" xfId="3162" builtinId="9" hidden="1"/>
    <cellStyle name="Followed Hyperlink" xfId="3164" builtinId="9" hidden="1"/>
    <cellStyle name="Followed Hyperlink" xfId="3166" builtinId="9" hidden="1"/>
    <cellStyle name="Followed Hyperlink" xfId="3168" builtinId="9" hidden="1"/>
    <cellStyle name="Followed Hyperlink" xfId="3170" builtinId="9" hidden="1"/>
    <cellStyle name="Followed Hyperlink" xfId="3172" builtinId="9" hidden="1"/>
    <cellStyle name="Followed Hyperlink" xfId="3174" builtinId="9" hidden="1"/>
    <cellStyle name="Followed Hyperlink" xfId="3176" builtinId="9" hidden="1"/>
    <cellStyle name="Followed Hyperlink" xfId="3178" builtinId="9" hidden="1"/>
    <cellStyle name="Followed Hyperlink" xfId="3180" builtinId="9" hidden="1"/>
    <cellStyle name="Followed Hyperlink" xfId="3182" builtinId="9" hidden="1"/>
    <cellStyle name="Followed Hyperlink" xfId="3184" builtinId="9" hidden="1"/>
    <cellStyle name="Followed Hyperlink" xfId="3186" builtinId="9" hidden="1"/>
    <cellStyle name="Followed Hyperlink" xfId="3188" builtinId="9" hidden="1"/>
    <cellStyle name="Followed Hyperlink" xfId="3190" builtinId="9" hidden="1"/>
    <cellStyle name="Followed Hyperlink" xfId="3192" builtinId="9" hidden="1"/>
    <cellStyle name="Followed Hyperlink" xfId="3194" builtinId="9" hidden="1"/>
    <cellStyle name="Followed Hyperlink" xfId="3196" builtinId="9" hidden="1"/>
    <cellStyle name="Followed Hyperlink" xfId="3198" builtinId="9" hidden="1"/>
    <cellStyle name="Followed Hyperlink" xfId="3200" builtinId="9" hidden="1"/>
    <cellStyle name="Followed Hyperlink" xfId="3202" builtinId="9" hidden="1"/>
    <cellStyle name="Followed Hyperlink" xfId="3204" builtinId="9" hidden="1"/>
    <cellStyle name="Followed Hyperlink" xfId="3206" builtinId="9" hidden="1"/>
    <cellStyle name="Followed Hyperlink" xfId="3208" builtinId="9" hidden="1"/>
    <cellStyle name="Followed Hyperlink" xfId="3210" builtinId="9" hidden="1"/>
    <cellStyle name="Followed Hyperlink" xfId="3212" builtinId="9" hidden="1"/>
    <cellStyle name="Followed Hyperlink" xfId="3214" builtinId="9" hidden="1"/>
    <cellStyle name="Followed Hyperlink" xfId="3216" builtinId="9" hidden="1"/>
    <cellStyle name="Followed Hyperlink" xfId="3218" builtinId="9" hidden="1"/>
    <cellStyle name="Followed Hyperlink" xfId="3220" builtinId="9" hidden="1"/>
    <cellStyle name="Followed Hyperlink" xfId="3222" builtinId="9" hidden="1"/>
    <cellStyle name="Followed Hyperlink" xfId="3224" builtinId="9" hidden="1"/>
    <cellStyle name="Followed Hyperlink" xfId="3226" builtinId="9" hidden="1"/>
    <cellStyle name="Followed Hyperlink" xfId="3228" builtinId="9" hidden="1"/>
    <cellStyle name="Followed Hyperlink" xfId="3230" builtinId="9" hidden="1"/>
    <cellStyle name="Followed Hyperlink" xfId="3232" builtinId="9" hidden="1"/>
    <cellStyle name="Followed Hyperlink" xfId="3234" builtinId="9" hidden="1"/>
    <cellStyle name="Followed Hyperlink" xfId="3236" builtinId="9" hidden="1"/>
    <cellStyle name="Followed Hyperlink" xfId="3238" builtinId="9" hidden="1"/>
    <cellStyle name="Followed Hyperlink" xfId="3240" builtinId="9" hidden="1"/>
    <cellStyle name="Followed Hyperlink" xfId="3242" builtinId="9" hidden="1"/>
    <cellStyle name="Followed Hyperlink" xfId="3244" builtinId="9" hidden="1"/>
    <cellStyle name="Followed Hyperlink" xfId="3246" builtinId="9" hidden="1"/>
    <cellStyle name="Followed Hyperlink" xfId="3248" builtinId="9" hidden="1"/>
    <cellStyle name="Followed Hyperlink" xfId="3250" builtinId="9" hidden="1"/>
    <cellStyle name="Followed Hyperlink" xfId="3252" builtinId="9" hidden="1"/>
    <cellStyle name="Followed Hyperlink" xfId="3254" builtinId="9" hidden="1"/>
    <cellStyle name="Followed Hyperlink" xfId="3256" builtinId="9" hidden="1"/>
    <cellStyle name="Followed Hyperlink" xfId="3258" builtinId="9" hidden="1"/>
    <cellStyle name="Followed Hyperlink" xfId="3260" builtinId="9" hidden="1"/>
    <cellStyle name="Followed Hyperlink" xfId="3262" builtinId="9" hidden="1"/>
    <cellStyle name="Followed Hyperlink" xfId="3264" builtinId="9" hidden="1"/>
    <cellStyle name="Followed Hyperlink" xfId="3266" builtinId="9" hidden="1"/>
    <cellStyle name="Followed Hyperlink" xfId="3268" builtinId="9" hidden="1"/>
    <cellStyle name="Followed Hyperlink" xfId="3270" builtinId="9" hidden="1"/>
    <cellStyle name="Followed Hyperlink" xfId="3272" builtinId="9" hidden="1"/>
    <cellStyle name="Followed Hyperlink" xfId="3274" builtinId="9" hidden="1"/>
    <cellStyle name="Followed Hyperlink" xfId="3276" builtinId="9" hidden="1"/>
    <cellStyle name="Followed Hyperlink" xfId="3278" builtinId="9" hidden="1"/>
    <cellStyle name="Followed Hyperlink" xfId="3280" builtinId="9" hidden="1"/>
    <cellStyle name="Followed Hyperlink" xfId="3282" builtinId="9" hidden="1"/>
    <cellStyle name="Followed Hyperlink" xfId="3284" builtinId="9" hidden="1"/>
    <cellStyle name="Followed Hyperlink" xfId="3286" builtinId="9" hidden="1"/>
    <cellStyle name="Followed Hyperlink" xfId="3288" builtinId="9" hidden="1"/>
    <cellStyle name="Followed Hyperlink" xfId="3290" builtinId="9" hidden="1"/>
    <cellStyle name="Followed Hyperlink" xfId="3292" builtinId="9" hidden="1"/>
    <cellStyle name="Followed Hyperlink" xfId="3294" builtinId="9" hidden="1"/>
    <cellStyle name="Followed Hyperlink" xfId="3296" builtinId="9" hidden="1"/>
    <cellStyle name="Followed Hyperlink" xfId="3298" builtinId="9" hidden="1"/>
    <cellStyle name="Followed Hyperlink" xfId="3300" builtinId="9" hidden="1"/>
    <cellStyle name="Followed Hyperlink" xfId="3302" builtinId="9" hidden="1"/>
    <cellStyle name="Followed Hyperlink" xfId="3304" builtinId="9" hidden="1"/>
    <cellStyle name="Followed Hyperlink" xfId="3306" builtinId="9" hidden="1"/>
    <cellStyle name="Followed Hyperlink" xfId="3308" builtinId="9" hidden="1"/>
    <cellStyle name="Followed Hyperlink" xfId="3310" builtinId="9" hidden="1"/>
    <cellStyle name="Followed Hyperlink" xfId="3312" builtinId="9" hidden="1"/>
    <cellStyle name="Followed Hyperlink" xfId="3314" builtinId="9" hidden="1"/>
    <cellStyle name="Followed Hyperlink" xfId="3316" builtinId="9" hidden="1"/>
    <cellStyle name="Followed Hyperlink" xfId="3318" builtinId="9" hidden="1"/>
    <cellStyle name="Followed Hyperlink" xfId="3320" builtinId="9" hidden="1"/>
    <cellStyle name="Followed Hyperlink" xfId="3322" builtinId="9" hidden="1"/>
    <cellStyle name="Followed Hyperlink" xfId="3324" builtinId="9" hidden="1"/>
    <cellStyle name="Followed Hyperlink" xfId="3326" builtinId="9" hidden="1"/>
    <cellStyle name="Followed Hyperlink" xfId="3328" builtinId="9" hidden="1"/>
    <cellStyle name="Followed Hyperlink" xfId="3330" builtinId="9" hidden="1"/>
    <cellStyle name="Followed Hyperlink" xfId="3332" builtinId="9" hidden="1"/>
    <cellStyle name="Followed Hyperlink" xfId="3334" builtinId="9" hidden="1"/>
    <cellStyle name="Followed Hyperlink" xfId="3336" builtinId="9" hidden="1"/>
    <cellStyle name="Followed Hyperlink" xfId="3338" builtinId="9" hidden="1"/>
    <cellStyle name="Followed Hyperlink" xfId="3340" builtinId="9" hidden="1"/>
    <cellStyle name="Followed Hyperlink" xfId="3342" builtinId="9" hidden="1"/>
    <cellStyle name="Followed Hyperlink" xfId="3344" builtinId="9" hidden="1"/>
    <cellStyle name="Followed Hyperlink" xfId="3346" builtinId="9" hidden="1"/>
    <cellStyle name="Followed Hyperlink" xfId="3348" builtinId="9" hidden="1"/>
    <cellStyle name="Followed Hyperlink" xfId="3350" builtinId="9" hidden="1"/>
    <cellStyle name="Followed Hyperlink" xfId="3352" builtinId="9" hidden="1"/>
    <cellStyle name="Followed Hyperlink" xfId="3354" builtinId="9" hidden="1"/>
    <cellStyle name="Followed Hyperlink" xfId="3356" builtinId="9" hidden="1"/>
    <cellStyle name="Followed Hyperlink" xfId="3358" builtinId="9" hidden="1"/>
    <cellStyle name="Followed Hyperlink" xfId="3360" builtinId="9" hidden="1"/>
    <cellStyle name="Followed Hyperlink" xfId="3362" builtinId="9" hidden="1"/>
    <cellStyle name="Followed Hyperlink" xfId="3364" builtinId="9" hidden="1"/>
    <cellStyle name="Followed Hyperlink" xfId="3366" builtinId="9" hidden="1"/>
    <cellStyle name="Followed Hyperlink" xfId="3368" builtinId="9" hidden="1"/>
    <cellStyle name="Followed Hyperlink" xfId="3370" builtinId="9" hidden="1"/>
    <cellStyle name="Followed Hyperlink" xfId="3372" builtinId="9" hidden="1"/>
    <cellStyle name="Followed Hyperlink" xfId="3374" builtinId="9" hidden="1"/>
    <cellStyle name="Followed Hyperlink" xfId="3376" builtinId="9" hidden="1"/>
    <cellStyle name="Followed Hyperlink" xfId="3378" builtinId="9" hidden="1"/>
    <cellStyle name="Followed Hyperlink" xfId="3380" builtinId="9" hidden="1"/>
    <cellStyle name="Followed Hyperlink" xfId="3382" builtinId="9" hidden="1"/>
    <cellStyle name="Followed Hyperlink" xfId="3384" builtinId="9" hidden="1"/>
    <cellStyle name="Followed Hyperlink" xfId="3386" builtinId="9" hidden="1"/>
    <cellStyle name="Followed Hyperlink" xfId="3388" builtinId="9" hidden="1"/>
    <cellStyle name="Followed Hyperlink" xfId="3390" builtinId="9" hidden="1"/>
    <cellStyle name="Followed Hyperlink" xfId="3392" builtinId="9" hidden="1"/>
    <cellStyle name="Followed Hyperlink" xfId="3394" builtinId="9" hidden="1"/>
    <cellStyle name="Followed Hyperlink" xfId="3396" builtinId="9" hidden="1"/>
    <cellStyle name="Followed Hyperlink" xfId="3398" builtinId="9" hidden="1"/>
    <cellStyle name="Followed Hyperlink" xfId="3400" builtinId="9" hidden="1"/>
    <cellStyle name="Followed Hyperlink" xfId="3402" builtinId="9" hidden="1"/>
    <cellStyle name="Followed Hyperlink" xfId="3404" builtinId="9" hidden="1"/>
    <cellStyle name="Followed Hyperlink" xfId="3406" builtinId="9" hidden="1"/>
    <cellStyle name="Followed Hyperlink" xfId="3408" builtinId="9" hidden="1"/>
    <cellStyle name="Followed Hyperlink" xfId="3410" builtinId="9" hidden="1"/>
    <cellStyle name="Followed Hyperlink" xfId="3412" builtinId="9" hidden="1"/>
    <cellStyle name="Followed Hyperlink" xfId="3414" builtinId="9" hidden="1"/>
    <cellStyle name="Followed Hyperlink" xfId="3416" builtinId="9" hidden="1"/>
    <cellStyle name="Followed Hyperlink" xfId="3418" builtinId="9" hidden="1"/>
    <cellStyle name="Followed Hyperlink" xfId="3420" builtinId="9" hidden="1"/>
    <cellStyle name="Followed Hyperlink" xfId="3422" builtinId="9" hidden="1"/>
    <cellStyle name="Followed Hyperlink" xfId="3424" builtinId="9" hidden="1"/>
    <cellStyle name="Followed Hyperlink" xfId="3426" builtinId="9" hidden="1"/>
    <cellStyle name="Followed Hyperlink" xfId="3428" builtinId="9" hidden="1"/>
    <cellStyle name="Followed Hyperlink" xfId="3430" builtinId="9" hidden="1"/>
    <cellStyle name="Followed Hyperlink" xfId="3432" builtinId="9" hidden="1"/>
    <cellStyle name="Followed Hyperlink" xfId="3434" builtinId="9" hidden="1"/>
    <cellStyle name="Followed Hyperlink" xfId="3436" builtinId="9" hidden="1"/>
    <cellStyle name="Followed Hyperlink" xfId="3438" builtinId="9" hidden="1"/>
    <cellStyle name="Followed Hyperlink" xfId="3440" builtinId="9" hidden="1"/>
    <cellStyle name="Followed Hyperlink" xfId="3442" builtinId="9" hidden="1"/>
    <cellStyle name="Followed Hyperlink" xfId="3444" builtinId="9" hidden="1"/>
    <cellStyle name="Followed Hyperlink" xfId="3446" builtinId="9" hidden="1"/>
    <cellStyle name="Followed Hyperlink" xfId="3448" builtinId="9" hidden="1"/>
    <cellStyle name="Followed Hyperlink" xfId="3450" builtinId="9" hidden="1"/>
    <cellStyle name="Followed Hyperlink" xfId="3452" builtinId="9" hidden="1"/>
    <cellStyle name="Followed Hyperlink" xfId="3454" builtinId="9" hidden="1"/>
    <cellStyle name="Followed Hyperlink" xfId="3456" builtinId="9" hidden="1"/>
    <cellStyle name="Followed Hyperlink" xfId="3458" builtinId="9" hidden="1"/>
    <cellStyle name="Followed Hyperlink" xfId="3460" builtinId="9" hidden="1"/>
    <cellStyle name="Followed Hyperlink" xfId="3462" builtinId="9" hidden="1"/>
    <cellStyle name="Followed Hyperlink" xfId="3464" builtinId="9" hidden="1"/>
    <cellStyle name="Followed Hyperlink" xfId="3466" builtinId="9" hidden="1"/>
    <cellStyle name="Followed Hyperlink" xfId="3468" builtinId="9" hidden="1"/>
    <cellStyle name="Followed Hyperlink" xfId="3470" builtinId="9" hidden="1"/>
    <cellStyle name="Followed Hyperlink" xfId="3472" builtinId="9" hidden="1"/>
    <cellStyle name="Followed Hyperlink" xfId="3474" builtinId="9" hidden="1"/>
    <cellStyle name="Followed Hyperlink" xfId="3476" builtinId="9" hidden="1"/>
    <cellStyle name="Followed Hyperlink" xfId="3478" builtinId="9" hidden="1"/>
    <cellStyle name="Followed Hyperlink" xfId="3480" builtinId="9" hidden="1"/>
    <cellStyle name="Followed Hyperlink" xfId="3482" builtinId="9" hidden="1"/>
    <cellStyle name="Followed Hyperlink" xfId="3484" builtinId="9" hidden="1"/>
    <cellStyle name="Followed Hyperlink" xfId="3486" builtinId="9" hidden="1"/>
    <cellStyle name="Followed Hyperlink" xfId="3488" builtinId="9" hidden="1"/>
    <cellStyle name="Followed Hyperlink" xfId="3490" builtinId="9" hidden="1"/>
    <cellStyle name="Followed Hyperlink" xfId="3492" builtinId="9" hidden="1"/>
    <cellStyle name="Followed Hyperlink" xfId="3494" builtinId="9" hidden="1"/>
    <cellStyle name="Followed Hyperlink" xfId="3496" builtinId="9" hidden="1"/>
    <cellStyle name="Followed Hyperlink" xfId="3498" builtinId="9" hidden="1"/>
    <cellStyle name="Followed Hyperlink" xfId="3500" builtinId="9" hidden="1"/>
    <cellStyle name="Followed Hyperlink" xfId="3502" builtinId="9" hidden="1"/>
    <cellStyle name="Followed Hyperlink" xfId="3504" builtinId="9" hidden="1"/>
    <cellStyle name="Followed Hyperlink" xfId="3506" builtinId="9" hidden="1"/>
    <cellStyle name="Followed Hyperlink" xfId="3508" builtinId="9" hidden="1"/>
    <cellStyle name="Followed Hyperlink" xfId="3510" builtinId="9" hidden="1"/>
    <cellStyle name="Followed Hyperlink" xfId="3512" builtinId="9" hidden="1"/>
    <cellStyle name="Followed Hyperlink" xfId="3514" builtinId="9" hidden="1"/>
    <cellStyle name="Followed Hyperlink" xfId="3516" builtinId="9" hidden="1"/>
    <cellStyle name="Followed Hyperlink" xfId="3518" builtinId="9" hidden="1"/>
    <cellStyle name="Followed Hyperlink" xfId="3520" builtinId="9" hidden="1"/>
    <cellStyle name="Followed Hyperlink" xfId="3522" builtinId="9" hidden="1"/>
    <cellStyle name="Followed Hyperlink" xfId="3524" builtinId="9" hidden="1"/>
    <cellStyle name="Followed Hyperlink" xfId="3526" builtinId="9" hidden="1"/>
    <cellStyle name="Followed Hyperlink" xfId="3528" builtinId="9" hidden="1"/>
    <cellStyle name="Followed Hyperlink" xfId="3530" builtinId="9" hidden="1"/>
    <cellStyle name="Followed Hyperlink" xfId="3532" builtinId="9" hidden="1"/>
    <cellStyle name="Followed Hyperlink" xfId="3534" builtinId="9" hidden="1"/>
    <cellStyle name="Followed Hyperlink" xfId="3536" builtinId="9" hidden="1"/>
    <cellStyle name="Followed Hyperlink" xfId="3538" builtinId="9" hidden="1"/>
    <cellStyle name="Followed Hyperlink" xfId="3540" builtinId="9" hidden="1"/>
    <cellStyle name="Followed Hyperlink" xfId="3542" builtinId="9" hidden="1"/>
    <cellStyle name="Followed Hyperlink" xfId="3544" builtinId="9" hidden="1"/>
    <cellStyle name="Followed Hyperlink" xfId="3546" builtinId="9" hidden="1"/>
    <cellStyle name="Followed Hyperlink" xfId="3548" builtinId="9" hidden="1"/>
    <cellStyle name="Followed Hyperlink" xfId="3550" builtinId="9" hidden="1"/>
    <cellStyle name="Followed Hyperlink" xfId="3552" builtinId="9" hidden="1"/>
    <cellStyle name="Followed Hyperlink" xfId="3554" builtinId="9" hidden="1"/>
    <cellStyle name="Followed Hyperlink" xfId="3556" builtinId="9" hidden="1"/>
    <cellStyle name="Followed Hyperlink" xfId="3558" builtinId="9" hidden="1"/>
    <cellStyle name="Followed Hyperlink" xfId="3560" builtinId="9" hidden="1"/>
    <cellStyle name="Followed Hyperlink" xfId="3562" builtinId="9" hidden="1"/>
    <cellStyle name="Followed Hyperlink" xfId="3564" builtinId="9" hidden="1"/>
    <cellStyle name="Followed Hyperlink" xfId="3566" builtinId="9" hidden="1"/>
    <cellStyle name="Followed Hyperlink" xfId="3568" builtinId="9" hidden="1"/>
    <cellStyle name="Followed Hyperlink" xfId="3570" builtinId="9" hidden="1"/>
    <cellStyle name="Followed Hyperlink" xfId="3572" builtinId="9" hidden="1"/>
    <cellStyle name="Followed Hyperlink" xfId="3574" builtinId="9" hidden="1"/>
    <cellStyle name="Followed Hyperlink" xfId="3576" builtinId="9" hidden="1"/>
    <cellStyle name="Followed Hyperlink" xfId="3578" builtinId="9" hidden="1"/>
    <cellStyle name="Followed Hyperlink" xfId="3580" builtinId="9" hidden="1"/>
    <cellStyle name="Followed Hyperlink" xfId="3582" builtinId="9" hidden="1"/>
    <cellStyle name="Followed Hyperlink" xfId="3584" builtinId="9" hidden="1"/>
    <cellStyle name="Followed Hyperlink" xfId="3586" builtinId="9" hidden="1"/>
    <cellStyle name="Followed Hyperlink" xfId="3588" builtinId="9" hidden="1"/>
    <cellStyle name="Followed Hyperlink" xfId="3590" builtinId="9" hidden="1"/>
    <cellStyle name="Followed Hyperlink" xfId="3592" builtinId="9" hidden="1"/>
    <cellStyle name="Followed Hyperlink" xfId="3594" builtinId="9" hidden="1"/>
    <cellStyle name="Followed Hyperlink" xfId="3596" builtinId="9" hidden="1"/>
    <cellStyle name="Followed Hyperlink" xfId="3598" builtinId="9" hidden="1"/>
    <cellStyle name="Followed Hyperlink" xfId="3600" builtinId="9" hidden="1"/>
    <cellStyle name="Followed Hyperlink" xfId="3602" builtinId="9" hidden="1"/>
    <cellStyle name="Followed Hyperlink" xfId="3604" builtinId="9" hidden="1"/>
    <cellStyle name="Followed Hyperlink" xfId="3606" builtinId="9" hidden="1"/>
    <cellStyle name="Followed Hyperlink" xfId="3608" builtinId="9" hidden="1"/>
    <cellStyle name="Followed Hyperlink" xfId="3610" builtinId="9" hidden="1"/>
    <cellStyle name="Followed Hyperlink" xfId="3612" builtinId="9" hidden="1"/>
    <cellStyle name="Followed Hyperlink" xfId="3614" builtinId="9" hidden="1"/>
    <cellStyle name="Followed Hyperlink" xfId="3616" builtinId="9" hidden="1"/>
    <cellStyle name="Followed Hyperlink" xfId="3618" builtinId="9" hidden="1"/>
    <cellStyle name="Followed Hyperlink" xfId="3620" builtinId="9" hidden="1"/>
    <cellStyle name="Followed Hyperlink" xfId="3622" builtinId="9" hidden="1"/>
    <cellStyle name="Followed Hyperlink" xfId="3624" builtinId="9" hidden="1"/>
    <cellStyle name="Followed Hyperlink" xfId="3626" builtinId="9" hidden="1"/>
    <cellStyle name="Followed Hyperlink" xfId="3628" builtinId="9" hidden="1"/>
    <cellStyle name="Followed Hyperlink" xfId="3630" builtinId="9" hidden="1"/>
    <cellStyle name="Followed Hyperlink" xfId="3632" builtinId="9" hidden="1"/>
    <cellStyle name="Followed Hyperlink" xfId="3634" builtinId="9" hidden="1"/>
    <cellStyle name="Followed Hyperlink" xfId="3636" builtinId="9" hidden="1"/>
    <cellStyle name="Followed Hyperlink" xfId="3638" builtinId="9" hidden="1"/>
    <cellStyle name="Followed Hyperlink" xfId="3640" builtinId="9" hidden="1"/>
    <cellStyle name="Followed Hyperlink" xfId="3642" builtinId="9" hidden="1"/>
    <cellStyle name="Followed Hyperlink" xfId="3644" builtinId="9" hidden="1"/>
    <cellStyle name="Followed Hyperlink" xfId="3646" builtinId="9" hidden="1"/>
    <cellStyle name="Followed Hyperlink" xfId="3648" builtinId="9" hidden="1"/>
    <cellStyle name="Followed Hyperlink" xfId="3650" builtinId="9" hidden="1"/>
    <cellStyle name="Followed Hyperlink" xfId="3652" builtinId="9" hidden="1"/>
    <cellStyle name="Followed Hyperlink" xfId="3654" builtinId="9" hidden="1"/>
    <cellStyle name="Followed Hyperlink" xfId="3656" builtinId="9" hidden="1"/>
    <cellStyle name="Followed Hyperlink" xfId="3658" builtinId="9" hidden="1"/>
    <cellStyle name="Followed Hyperlink" xfId="3660" builtinId="9" hidden="1"/>
    <cellStyle name="Followed Hyperlink" xfId="3662" builtinId="9" hidden="1"/>
    <cellStyle name="Followed Hyperlink" xfId="3664" builtinId="9" hidden="1"/>
    <cellStyle name="Followed Hyperlink" xfId="3666" builtinId="9" hidden="1"/>
    <cellStyle name="Followed Hyperlink" xfId="3668" builtinId="9" hidden="1"/>
    <cellStyle name="Followed Hyperlink" xfId="3670" builtinId="9" hidden="1"/>
    <cellStyle name="Followed Hyperlink" xfId="3672" builtinId="9" hidden="1"/>
    <cellStyle name="Followed Hyperlink" xfId="3674" builtinId="9" hidden="1"/>
    <cellStyle name="Followed Hyperlink" xfId="3676" builtinId="9" hidden="1"/>
    <cellStyle name="Followed Hyperlink" xfId="3678" builtinId="9" hidden="1"/>
    <cellStyle name="Followed Hyperlink" xfId="3680" builtinId="9" hidden="1"/>
    <cellStyle name="Followed Hyperlink" xfId="3682" builtinId="9" hidden="1"/>
    <cellStyle name="Followed Hyperlink" xfId="3684" builtinId="9" hidden="1"/>
    <cellStyle name="Followed Hyperlink" xfId="3686" builtinId="9" hidden="1"/>
    <cellStyle name="Followed Hyperlink" xfId="3688" builtinId="9" hidden="1"/>
    <cellStyle name="Followed Hyperlink" xfId="3690" builtinId="9" hidden="1"/>
    <cellStyle name="Followed Hyperlink" xfId="3692" builtinId="9" hidden="1"/>
    <cellStyle name="Followed Hyperlink" xfId="3694" builtinId="9" hidden="1"/>
    <cellStyle name="Followed Hyperlink" xfId="3696" builtinId="9" hidden="1"/>
    <cellStyle name="Followed Hyperlink" xfId="3698" builtinId="9" hidden="1"/>
    <cellStyle name="Followed Hyperlink" xfId="3700" builtinId="9" hidden="1"/>
    <cellStyle name="Followed Hyperlink" xfId="3702" builtinId="9" hidden="1"/>
    <cellStyle name="Followed Hyperlink" xfId="3704" builtinId="9" hidden="1"/>
    <cellStyle name="Followed Hyperlink" xfId="3706" builtinId="9" hidden="1"/>
    <cellStyle name="Followed Hyperlink" xfId="3708" builtinId="9" hidden="1"/>
    <cellStyle name="Followed Hyperlink" xfId="3710" builtinId="9" hidden="1"/>
    <cellStyle name="Followed Hyperlink" xfId="3712" builtinId="9" hidden="1"/>
    <cellStyle name="Followed Hyperlink" xfId="3714" builtinId="9" hidden="1"/>
    <cellStyle name="Followed Hyperlink" xfId="3716" builtinId="9" hidden="1"/>
    <cellStyle name="Followed Hyperlink" xfId="3718" builtinId="9" hidden="1"/>
    <cellStyle name="Followed Hyperlink" xfId="3720" builtinId="9" hidden="1"/>
    <cellStyle name="Followed Hyperlink" xfId="3722" builtinId="9" hidden="1"/>
    <cellStyle name="Followed Hyperlink" xfId="3724" builtinId="9" hidden="1"/>
    <cellStyle name="Followed Hyperlink" xfId="3726" builtinId="9" hidden="1"/>
    <cellStyle name="Followed Hyperlink" xfId="3728" builtinId="9" hidden="1"/>
    <cellStyle name="Followed Hyperlink" xfId="3730" builtinId="9" hidden="1"/>
    <cellStyle name="Followed Hyperlink" xfId="3732" builtinId="9" hidden="1"/>
    <cellStyle name="Followed Hyperlink" xfId="3734" builtinId="9" hidden="1"/>
    <cellStyle name="Followed Hyperlink" xfId="3736" builtinId="9" hidden="1"/>
    <cellStyle name="Followed Hyperlink" xfId="3738" builtinId="9" hidden="1"/>
    <cellStyle name="Followed Hyperlink" xfId="3740" builtinId="9" hidden="1"/>
    <cellStyle name="Followed Hyperlink" xfId="3742" builtinId="9" hidden="1"/>
    <cellStyle name="Followed Hyperlink" xfId="3744" builtinId="9" hidden="1"/>
    <cellStyle name="Followed Hyperlink" xfId="3746" builtinId="9" hidden="1"/>
    <cellStyle name="Followed Hyperlink" xfId="3748" builtinId="9" hidden="1"/>
    <cellStyle name="Followed Hyperlink" xfId="3750" builtinId="9" hidden="1"/>
    <cellStyle name="Followed Hyperlink" xfId="3752" builtinId="9" hidden="1"/>
    <cellStyle name="Followed Hyperlink" xfId="3754" builtinId="9" hidden="1"/>
    <cellStyle name="Followed Hyperlink" xfId="3756" builtinId="9" hidden="1"/>
    <cellStyle name="Followed Hyperlink" xfId="3758" builtinId="9" hidden="1"/>
    <cellStyle name="Followed Hyperlink" xfId="3760" builtinId="9" hidden="1"/>
    <cellStyle name="Followed Hyperlink" xfId="3762" builtinId="9" hidden="1"/>
    <cellStyle name="Followed Hyperlink" xfId="3764" builtinId="9" hidden="1"/>
    <cellStyle name="Followed Hyperlink" xfId="3766" builtinId="9" hidden="1"/>
    <cellStyle name="Followed Hyperlink" xfId="3768" builtinId="9" hidden="1"/>
    <cellStyle name="Followed Hyperlink" xfId="3770" builtinId="9" hidden="1"/>
    <cellStyle name="Followed Hyperlink" xfId="3772" builtinId="9" hidden="1"/>
    <cellStyle name="Followed Hyperlink" xfId="3774" builtinId="9" hidden="1"/>
    <cellStyle name="Followed Hyperlink" xfId="3776" builtinId="9" hidden="1"/>
    <cellStyle name="Followed Hyperlink" xfId="3778" builtinId="9" hidden="1"/>
    <cellStyle name="Followed Hyperlink" xfId="3780" builtinId="9" hidden="1"/>
    <cellStyle name="Followed Hyperlink" xfId="3782" builtinId="9" hidden="1"/>
    <cellStyle name="Followed Hyperlink" xfId="3784" builtinId="9" hidden="1"/>
    <cellStyle name="Followed Hyperlink" xfId="3786" builtinId="9" hidden="1"/>
    <cellStyle name="Followed Hyperlink" xfId="3788" builtinId="9" hidden="1"/>
    <cellStyle name="Followed Hyperlink" xfId="3790" builtinId="9" hidden="1"/>
    <cellStyle name="Followed Hyperlink" xfId="3792" builtinId="9" hidden="1"/>
    <cellStyle name="Followed Hyperlink" xfId="3794" builtinId="9" hidden="1"/>
    <cellStyle name="Followed Hyperlink" xfId="3796" builtinId="9" hidden="1"/>
    <cellStyle name="Followed Hyperlink" xfId="3798" builtinId="9" hidden="1"/>
    <cellStyle name="Followed Hyperlink" xfId="3800" builtinId="9" hidden="1"/>
    <cellStyle name="Followed Hyperlink" xfId="3802" builtinId="9" hidden="1"/>
    <cellStyle name="Followed Hyperlink" xfId="3804" builtinId="9" hidden="1"/>
    <cellStyle name="Followed Hyperlink" xfId="3806" builtinId="9" hidden="1"/>
    <cellStyle name="Followed Hyperlink" xfId="3808" builtinId="9" hidden="1"/>
    <cellStyle name="Followed Hyperlink" xfId="3810" builtinId="9" hidden="1"/>
    <cellStyle name="Followed Hyperlink" xfId="3812" builtinId="9" hidden="1"/>
    <cellStyle name="Followed Hyperlink" xfId="3814" builtinId="9" hidden="1"/>
    <cellStyle name="Followed Hyperlink" xfId="3816" builtinId="9" hidden="1"/>
    <cellStyle name="Followed Hyperlink" xfId="3818" builtinId="9" hidden="1"/>
    <cellStyle name="Followed Hyperlink" xfId="3820" builtinId="9" hidden="1"/>
    <cellStyle name="Followed Hyperlink" xfId="3822" builtinId="9" hidden="1"/>
    <cellStyle name="Followed Hyperlink" xfId="3824" builtinId="9" hidden="1"/>
    <cellStyle name="Followed Hyperlink" xfId="3826" builtinId="9" hidden="1"/>
    <cellStyle name="Followed Hyperlink" xfId="3828" builtinId="9" hidden="1"/>
    <cellStyle name="Followed Hyperlink" xfId="3830" builtinId="9" hidden="1"/>
    <cellStyle name="Followed Hyperlink" xfId="3832" builtinId="9" hidden="1"/>
    <cellStyle name="Followed Hyperlink" xfId="3834" builtinId="9" hidden="1"/>
    <cellStyle name="Followed Hyperlink" xfId="3836" builtinId="9" hidden="1"/>
    <cellStyle name="Followed Hyperlink" xfId="3838" builtinId="9" hidden="1"/>
    <cellStyle name="Followed Hyperlink" xfId="3840" builtinId="9" hidden="1"/>
    <cellStyle name="Followed Hyperlink" xfId="3842" builtinId="9" hidden="1"/>
    <cellStyle name="Followed Hyperlink" xfId="3844" builtinId="9" hidden="1"/>
    <cellStyle name="Followed Hyperlink" xfId="3846" builtinId="9" hidden="1"/>
    <cellStyle name="Followed Hyperlink" xfId="3848" builtinId="9" hidden="1"/>
    <cellStyle name="Followed Hyperlink" xfId="3850" builtinId="9" hidden="1"/>
    <cellStyle name="Followed Hyperlink" xfId="3852" builtinId="9" hidden="1"/>
    <cellStyle name="Followed Hyperlink" xfId="3854" builtinId="9" hidden="1"/>
    <cellStyle name="Followed Hyperlink" xfId="385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Hyperlink" xfId="2879" builtinId="8" hidden="1"/>
    <cellStyle name="Hyperlink" xfId="2881" builtinId="8" hidden="1"/>
    <cellStyle name="Hyperlink" xfId="2883" builtinId="8" hidden="1"/>
    <cellStyle name="Hyperlink" xfId="2885" builtinId="8" hidden="1"/>
    <cellStyle name="Hyperlink" xfId="2887" builtinId="8" hidden="1"/>
    <cellStyle name="Hyperlink" xfId="2889" builtinId="8" hidden="1"/>
    <cellStyle name="Hyperlink" xfId="2891" builtinId="8" hidden="1"/>
    <cellStyle name="Hyperlink" xfId="2893" builtinId="8" hidden="1"/>
    <cellStyle name="Hyperlink" xfId="2895" builtinId="8" hidden="1"/>
    <cellStyle name="Hyperlink" xfId="2897" builtinId="8" hidden="1"/>
    <cellStyle name="Hyperlink" xfId="2899" builtinId="8" hidden="1"/>
    <cellStyle name="Hyperlink" xfId="2901" builtinId="8" hidden="1"/>
    <cellStyle name="Hyperlink" xfId="2903" builtinId="8" hidden="1"/>
    <cellStyle name="Hyperlink" xfId="2905" builtinId="8" hidden="1"/>
    <cellStyle name="Hyperlink" xfId="2907" builtinId="8" hidden="1"/>
    <cellStyle name="Hyperlink" xfId="2909" builtinId="8" hidden="1"/>
    <cellStyle name="Hyperlink" xfId="2911" builtinId="8" hidden="1"/>
    <cellStyle name="Hyperlink" xfId="2913" builtinId="8" hidden="1"/>
    <cellStyle name="Hyperlink" xfId="2915" builtinId="8" hidden="1"/>
    <cellStyle name="Hyperlink" xfId="2917" builtinId="8" hidden="1"/>
    <cellStyle name="Hyperlink" xfId="2919" builtinId="8" hidden="1"/>
    <cellStyle name="Hyperlink" xfId="2921" builtinId="8" hidden="1"/>
    <cellStyle name="Hyperlink" xfId="2923" builtinId="8" hidden="1"/>
    <cellStyle name="Hyperlink" xfId="2925" builtinId="8" hidden="1"/>
    <cellStyle name="Hyperlink" xfId="2927" builtinId="8" hidden="1"/>
    <cellStyle name="Hyperlink" xfId="2929" builtinId="8" hidden="1"/>
    <cellStyle name="Hyperlink" xfId="2931" builtinId="8" hidden="1"/>
    <cellStyle name="Hyperlink" xfId="2933" builtinId="8" hidden="1"/>
    <cellStyle name="Hyperlink" xfId="2935" builtinId="8" hidden="1"/>
    <cellStyle name="Hyperlink" xfId="2937" builtinId="8" hidden="1"/>
    <cellStyle name="Hyperlink" xfId="2939" builtinId="8" hidden="1"/>
    <cellStyle name="Hyperlink" xfId="2941" builtinId="8" hidden="1"/>
    <cellStyle name="Hyperlink" xfId="2943" builtinId="8" hidden="1"/>
    <cellStyle name="Hyperlink" xfId="2945" builtinId="8" hidden="1"/>
    <cellStyle name="Hyperlink" xfId="2947" builtinId="8" hidden="1"/>
    <cellStyle name="Hyperlink" xfId="2949" builtinId="8" hidden="1"/>
    <cellStyle name="Hyperlink" xfId="2951" builtinId="8" hidden="1"/>
    <cellStyle name="Hyperlink" xfId="2953" builtinId="8" hidden="1"/>
    <cellStyle name="Hyperlink" xfId="2955" builtinId="8" hidden="1"/>
    <cellStyle name="Hyperlink" xfId="2957" builtinId="8" hidden="1"/>
    <cellStyle name="Hyperlink" xfId="2959" builtinId="8" hidden="1"/>
    <cellStyle name="Hyperlink" xfId="2961" builtinId="8" hidden="1"/>
    <cellStyle name="Hyperlink" xfId="2963" builtinId="8" hidden="1"/>
    <cellStyle name="Hyperlink" xfId="2965" builtinId="8" hidden="1"/>
    <cellStyle name="Hyperlink" xfId="2967" builtinId="8" hidden="1"/>
    <cellStyle name="Hyperlink" xfId="2969" builtinId="8" hidden="1"/>
    <cellStyle name="Hyperlink" xfId="2971" builtinId="8" hidden="1"/>
    <cellStyle name="Hyperlink" xfId="2973" builtinId="8" hidden="1"/>
    <cellStyle name="Hyperlink" xfId="2975" builtinId="8" hidden="1"/>
    <cellStyle name="Hyperlink" xfId="2977" builtinId="8" hidden="1"/>
    <cellStyle name="Hyperlink" xfId="2979" builtinId="8" hidden="1"/>
    <cellStyle name="Hyperlink" xfId="2981" builtinId="8" hidden="1"/>
    <cellStyle name="Hyperlink" xfId="2983" builtinId="8" hidden="1"/>
    <cellStyle name="Hyperlink" xfId="2985" builtinId="8" hidden="1"/>
    <cellStyle name="Hyperlink" xfId="2987" builtinId="8" hidden="1"/>
    <cellStyle name="Hyperlink" xfId="2989" builtinId="8" hidden="1"/>
    <cellStyle name="Hyperlink" xfId="2991" builtinId="8" hidden="1"/>
    <cellStyle name="Hyperlink" xfId="2993" builtinId="8" hidden="1"/>
    <cellStyle name="Hyperlink" xfId="2995" builtinId="8" hidden="1"/>
    <cellStyle name="Hyperlink" xfId="2997" builtinId="8" hidden="1"/>
    <cellStyle name="Hyperlink" xfId="2999" builtinId="8" hidden="1"/>
    <cellStyle name="Hyperlink" xfId="3001" builtinId="8" hidden="1"/>
    <cellStyle name="Hyperlink" xfId="3003" builtinId="8" hidden="1"/>
    <cellStyle name="Hyperlink" xfId="3005" builtinId="8" hidden="1"/>
    <cellStyle name="Hyperlink" xfId="3007" builtinId="8" hidden="1"/>
    <cellStyle name="Hyperlink" xfId="3009" builtinId="8" hidden="1"/>
    <cellStyle name="Hyperlink" xfId="3011" builtinId="8" hidden="1"/>
    <cellStyle name="Hyperlink" xfId="3013" builtinId="8" hidden="1"/>
    <cellStyle name="Hyperlink" xfId="3015" builtinId="8" hidden="1"/>
    <cellStyle name="Hyperlink" xfId="3017" builtinId="8" hidden="1"/>
    <cellStyle name="Hyperlink" xfId="3019" builtinId="8" hidden="1"/>
    <cellStyle name="Hyperlink" xfId="3021" builtinId="8" hidden="1"/>
    <cellStyle name="Hyperlink" xfId="3023" builtinId="8" hidden="1"/>
    <cellStyle name="Hyperlink" xfId="3025" builtinId="8" hidden="1"/>
    <cellStyle name="Hyperlink" xfId="3027" builtinId="8" hidden="1"/>
    <cellStyle name="Hyperlink" xfId="3029" builtinId="8" hidden="1"/>
    <cellStyle name="Hyperlink" xfId="3031" builtinId="8" hidden="1"/>
    <cellStyle name="Hyperlink" xfId="3033" builtinId="8" hidden="1"/>
    <cellStyle name="Hyperlink" xfId="3035" builtinId="8" hidden="1"/>
    <cellStyle name="Hyperlink" xfId="3037" builtinId="8" hidden="1"/>
    <cellStyle name="Hyperlink" xfId="3039" builtinId="8" hidden="1"/>
    <cellStyle name="Hyperlink" xfId="3041" builtinId="8" hidden="1"/>
    <cellStyle name="Hyperlink" xfId="3043" builtinId="8" hidden="1"/>
    <cellStyle name="Hyperlink" xfId="3045" builtinId="8" hidden="1"/>
    <cellStyle name="Hyperlink" xfId="3047" builtinId="8" hidden="1"/>
    <cellStyle name="Hyperlink" xfId="3049" builtinId="8" hidden="1"/>
    <cellStyle name="Hyperlink" xfId="3051" builtinId="8" hidden="1"/>
    <cellStyle name="Hyperlink" xfId="3053" builtinId="8" hidden="1"/>
    <cellStyle name="Hyperlink" xfId="3055" builtinId="8" hidden="1"/>
    <cellStyle name="Hyperlink" xfId="3057" builtinId="8" hidden="1"/>
    <cellStyle name="Hyperlink" xfId="3059" builtinId="8" hidden="1"/>
    <cellStyle name="Hyperlink" xfId="3061" builtinId="8" hidden="1"/>
    <cellStyle name="Hyperlink" xfId="3063" builtinId="8" hidden="1"/>
    <cellStyle name="Hyperlink" xfId="3065" builtinId="8" hidden="1"/>
    <cellStyle name="Hyperlink" xfId="3067" builtinId="8" hidden="1"/>
    <cellStyle name="Hyperlink" xfId="3069" builtinId="8" hidden="1"/>
    <cellStyle name="Hyperlink" xfId="3071" builtinId="8" hidden="1"/>
    <cellStyle name="Hyperlink" xfId="3073" builtinId="8" hidden="1"/>
    <cellStyle name="Hyperlink" xfId="3075" builtinId="8" hidden="1"/>
    <cellStyle name="Hyperlink" xfId="3077" builtinId="8" hidden="1"/>
    <cellStyle name="Hyperlink" xfId="3079" builtinId="8" hidden="1"/>
    <cellStyle name="Hyperlink" xfId="3081" builtinId="8" hidden="1"/>
    <cellStyle name="Hyperlink" xfId="3083" builtinId="8" hidden="1"/>
    <cellStyle name="Hyperlink" xfId="3085" builtinId="8" hidden="1"/>
    <cellStyle name="Hyperlink" xfId="3087" builtinId="8" hidden="1"/>
    <cellStyle name="Hyperlink" xfId="3089" builtinId="8" hidden="1"/>
    <cellStyle name="Hyperlink" xfId="3091" builtinId="8" hidden="1"/>
    <cellStyle name="Hyperlink" xfId="3093" builtinId="8" hidden="1"/>
    <cellStyle name="Hyperlink" xfId="3095" builtinId="8" hidden="1"/>
    <cellStyle name="Hyperlink" xfId="3097" builtinId="8" hidden="1"/>
    <cellStyle name="Hyperlink" xfId="3099" builtinId="8" hidden="1"/>
    <cellStyle name="Hyperlink" xfId="3101" builtinId="8" hidden="1"/>
    <cellStyle name="Hyperlink" xfId="3103" builtinId="8" hidden="1"/>
    <cellStyle name="Hyperlink" xfId="3105" builtinId="8" hidden="1"/>
    <cellStyle name="Hyperlink" xfId="3107" builtinId="8" hidden="1"/>
    <cellStyle name="Hyperlink" xfId="3109" builtinId="8" hidden="1"/>
    <cellStyle name="Hyperlink" xfId="3111" builtinId="8" hidden="1"/>
    <cellStyle name="Hyperlink" xfId="3113" builtinId="8" hidden="1"/>
    <cellStyle name="Hyperlink" xfId="3115" builtinId="8" hidden="1"/>
    <cellStyle name="Hyperlink" xfId="3117" builtinId="8" hidden="1"/>
    <cellStyle name="Hyperlink" xfId="3119" builtinId="8" hidden="1"/>
    <cellStyle name="Hyperlink" xfId="3121" builtinId="8" hidden="1"/>
    <cellStyle name="Hyperlink" xfId="3123" builtinId="8" hidden="1"/>
    <cellStyle name="Hyperlink" xfId="3125" builtinId="8" hidden="1"/>
    <cellStyle name="Hyperlink" xfId="3127" builtinId="8" hidden="1"/>
    <cellStyle name="Hyperlink" xfId="3129" builtinId="8" hidden="1"/>
    <cellStyle name="Hyperlink" xfId="3131" builtinId="8" hidden="1"/>
    <cellStyle name="Hyperlink" xfId="3133" builtinId="8" hidden="1"/>
    <cellStyle name="Hyperlink" xfId="3135" builtinId="8" hidden="1"/>
    <cellStyle name="Hyperlink" xfId="3137" builtinId="8" hidden="1"/>
    <cellStyle name="Hyperlink" xfId="3139" builtinId="8" hidden="1"/>
    <cellStyle name="Hyperlink" xfId="3141" builtinId="8" hidden="1"/>
    <cellStyle name="Hyperlink" xfId="3143" builtinId="8" hidden="1"/>
    <cellStyle name="Hyperlink" xfId="3145" builtinId="8" hidden="1"/>
    <cellStyle name="Hyperlink" xfId="3147" builtinId="8" hidden="1"/>
    <cellStyle name="Hyperlink" xfId="3149" builtinId="8" hidden="1"/>
    <cellStyle name="Hyperlink" xfId="3151" builtinId="8" hidden="1"/>
    <cellStyle name="Hyperlink" xfId="3153" builtinId="8" hidden="1"/>
    <cellStyle name="Hyperlink" xfId="3155" builtinId="8" hidden="1"/>
    <cellStyle name="Hyperlink" xfId="3157" builtinId="8" hidden="1"/>
    <cellStyle name="Hyperlink" xfId="3159" builtinId="8" hidden="1"/>
    <cellStyle name="Hyperlink" xfId="3161" builtinId="8" hidden="1"/>
    <cellStyle name="Hyperlink" xfId="3163" builtinId="8" hidden="1"/>
    <cellStyle name="Hyperlink" xfId="3165" builtinId="8" hidden="1"/>
    <cellStyle name="Hyperlink" xfId="3167" builtinId="8" hidden="1"/>
    <cellStyle name="Hyperlink" xfId="3169" builtinId="8" hidden="1"/>
    <cellStyle name="Hyperlink" xfId="3171" builtinId="8" hidden="1"/>
    <cellStyle name="Hyperlink" xfId="3173" builtinId="8" hidden="1"/>
    <cellStyle name="Hyperlink" xfId="3175" builtinId="8" hidden="1"/>
    <cellStyle name="Hyperlink" xfId="3177" builtinId="8" hidden="1"/>
    <cellStyle name="Hyperlink" xfId="3179" builtinId="8" hidden="1"/>
    <cellStyle name="Hyperlink" xfId="3181" builtinId="8" hidden="1"/>
    <cellStyle name="Hyperlink" xfId="3183" builtinId="8" hidden="1"/>
    <cellStyle name="Hyperlink" xfId="3185" builtinId="8" hidden="1"/>
    <cellStyle name="Hyperlink" xfId="3187" builtinId="8" hidden="1"/>
    <cellStyle name="Hyperlink" xfId="3189" builtinId="8" hidden="1"/>
    <cellStyle name="Hyperlink" xfId="3191" builtinId="8" hidden="1"/>
    <cellStyle name="Hyperlink" xfId="3193" builtinId="8" hidden="1"/>
    <cellStyle name="Hyperlink" xfId="3195" builtinId="8" hidden="1"/>
    <cellStyle name="Hyperlink" xfId="3197" builtinId="8" hidden="1"/>
    <cellStyle name="Hyperlink" xfId="3199" builtinId="8" hidden="1"/>
    <cellStyle name="Hyperlink" xfId="3201" builtinId="8" hidden="1"/>
    <cellStyle name="Hyperlink" xfId="3203" builtinId="8" hidden="1"/>
    <cellStyle name="Hyperlink" xfId="3205" builtinId="8" hidden="1"/>
    <cellStyle name="Hyperlink" xfId="3207" builtinId="8" hidden="1"/>
    <cellStyle name="Hyperlink" xfId="3209" builtinId="8" hidden="1"/>
    <cellStyle name="Hyperlink" xfId="3211" builtinId="8" hidden="1"/>
    <cellStyle name="Hyperlink" xfId="3213" builtinId="8" hidden="1"/>
    <cellStyle name="Hyperlink" xfId="3215" builtinId="8" hidden="1"/>
    <cellStyle name="Hyperlink" xfId="3217" builtinId="8" hidden="1"/>
    <cellStyle name="Hyperlink" xfId="3219" builtinId="8" hidden="1"/>
    <cellStyle name="Hyperlink" xfId="3221" builtinId="8" hidden="1"/>
    <cellStyle name="Hyperlink" xfId="3223" builtinId="8" hidden="1"/>
    <cellStyle name="Hyperlink" xfId="3225" builtinId="8" hidden="1"/>
    <cellStyle name="Hyperlink" xfId="3227" builtinId="8" hidden="1"/>
    <cellStyle name="Hyperlink" xfId="3229" builtinId="8" hidden="1"/>
    <cellStyle name="Hyperlink" xfId="3231" builtinId="8" hidden="1"/>
    <cellStyle name="Hyperlink" xfId="3233" builtinId="8" hidden="1"/>
    <cellStyle name="Hyperlink" xfId="3235" builtinId="8" hidden="1"/>
    <cellStyle name="Hyperlink" xfId="3237" builtinId="8" hidden="1"/>
    <cellStyle name="Hyperlink" xfId="3239" builtinId="8" hidden="1"/>
    <cellStyle name="Hyperlink" xfId="3241" builtinId="8" hidden="1"/>
    <cellStyle name="Hyperlink" xfId="3243" builtinId="8" hidden="1"/>
    <cellStyle name="Hyperlink" xfId="3245" builtinId="8" hidden="1"/>
    <cellStyle name="Hyperlink" xfId="3247" builtinId="8" hidden="1"/>
    <cellStyle name="Hyperlink" xfId="3249" builtinId="8" hidden="1"/>
    <cellStyle name="Hyperlink" xfId="3251" builtinId="8" hidden="1"/>
    <cellStyle name="Hyperlink" xfId="3253" builtinId="8" hidden="1"/>
    <cellStyle name="Hyperlink" xfId="3255" builtinId="8" hidden="1"/>
    <cellStyle name="Hyperlink" xfId="3257" builtinId="8" hidden="1"/>
    <cellStyle name="Hyperlink" xfId="3259" builtinId="8" hidden="1"/>
    <cellStyle name="Hyperlink" xfId="3261" builtinId="8" hidden="1"/>
    <cellStyle name="Hyperlink" xfId="3263" builtinId="8" hidden="1"/>
    <cellStyle name="Hyperlink" xfId="3265" builtinId="8" hidden="1"/>
    <cellStyle name="Hyperlink" xfId="3267" builtinId="8" hidden="1"/>
    <cellStyle name="Hyperlink" xfId="3269" builtinId="8" hidden="1"/>
    <cellStyle name="Hyperlink" xfId="3271" builtinId="8" hidden="1"/>
    <cellStyle name="Hyperlink" xfId="3273" builtinId="8" hidden="1"/>
    <cellStyle name="Hyperlink" xfId="3275" builtinId="8" hidden="1"/>
    <cellStyle name="Hyperlink" xfId="3277" builtinId="8" hidden="1"/>
    <cellStyle name="Hyperlink" xfId="3279" builtinId="8" hidden="1"/>
    <cellStyle name="Hyperlink" xfId="3281" builtinId="8" hidden="1"/>
    <cellStyle name="Hyperlink" xfId="3283" builtinId="8" hidden="1"/>
    <cellStyle name="Hyperlink" xfId="3285" builtinId="8" hidden="1"/>
    <cellStyle name="Hyperlink" xfId="3287" builtinId="8" hidden="1"/>
    <cellStyle name="Hyperlink" xfId="3289" builtinId="8" hidden="1"/>
    <cellStyle name="Hyperlink" xfId="3291" builtinId="8" hidden="1"/>
    <cellStyle name="Hyperlink" xfId="3293" builtinId="8" hidden="1"/>
    <cellStyle name="Hyperlink" xfId="3295" builtinId="8" hidden="1"/>
    <cellStyle name="Hyperlink" xfId="3297" builtinId="8" hidden="1"/>
    <cellStyle name="Hyperlink" xfId="3299" builtinId="8" hidden="1"/>
    <cellStyle name="Hyperlink" xfId="3301" builtinId="8" hidden="1"/>
    <cellStyle name="Hyperlink" xfId="3303" builtinId="8" hidden="1"/>
    <cellStyle name="Hyperlink" xfId="3305" builtinId="8" hidden="1"/>
    <cellStyle name="Hyperlink" xfId="3307" builtinId="8" hidden="1"/>
    <cellStyle name="Hyperlink" xfId="3309" builtinId="8" hidden="1"/>
    <cellStyle name="Hyperlink" xfId="3311" builtinId="8" hidden="1"/>
    <cellStyle name="Hyperlink" xfId="3313" builtinId="8" hidden="1"/>
    <cellStyle name="Hyperlink" xfId="3315" builtinId="8" hidden="1"/>
    <cellStyle name="Hyperlink" xfId="3317" builtinId="8" hidden="1"/>
    <cellStyle name="Hyperlink" xfId="3319" builtinId="8" hidden="1"/>
    <cellStyle name="Hyperlink" xfId="3321" builtinId="8" hidden="1"/>
    <cellStyle name="Hyperlink" xfId="3323" builtinId="8" hidden="1"/>
    <cellStyle name="Hyperlink" xfId="3325" builtinId="8" hidden="1"/>
    <cellStyle name="Hyperlink" xfId="3327" builtinId="8" hidden="1"/>
    <cellStyle name="Hyperlink" xfId="3329" builtinId="8" hidden="1"/>
    <cellStyle name="Hyperlink" xfId="3331" builtinId="8" hidden="1"/>
    <cellStyle name="Hyperlink" xfId="3333" builtinId="8" hidden="1"/>
    <cellStyle name="Hyperlink" xfId="3335" builtinId="8" hidden="1"/>
    <cellStyle name="Hyperlink" xfId="3337" builtinId="8" hidden="1"/>
    <cellStyle name="Hyperlink" xfId="3339" builtinId="8" hidden="1"/>
    <cellStyle name="Hyperlink" xfId="3341" builtinId="8" hidden="1"/>
    <cellStyle name="Hyperlink" xfId="3343" builtinId="8" hidden="1"/>
    <cellStyle name="Hyperlink" xfId="3345" builtinId="8" hidden="1"/>
    <cellStyle name="Hyperlink" xfId="3347" builtinId="8" hidden="1"/>
    <cellStyle name="Hyperlink" xfId="3349" builtinId="8" hidden="1"/>
    <cellStyle name="Hyperlink" xfId="3351" builtinId="8" hidden="1"/>
    <cellStyle name="Hyperlink" xfId="3353" builtinId="8" hidden="1"/>
    <cellStyle name="Hyperlink" xfId="3355" builtinId="8" hidden="1"/>
    <cellStyle name="Hyperlink" xfId="3357" builtinId="8" hidden="1"/>
    <cellStyle name="Hyperlink" xfId="3359" builtinId="8" hidden="1"/>
    <cellStyle name="Hyperlink" xfId="3361" builtinId="8" hidden="1"/>
    <cellStyle name="Hyperlink" xfId="3363" builtinId="8" hidden="1"/>
    <cellStyle name="Hyperlink" xfId="3365" builtinId="8" hidden="1"/>
    <cellStyle name="Hyperlink" xfId="3367" builtinId="8" hidden="1"/>
    <cellStyle name="Hyperlink" xfId="3369" builtinId="8" hidden="1"/>
    <cellStyle name="Hyperlink" xfId="3371" builtinId="8" hidden="1"/>
    <cellStyle name="Hyperlink" xfId="3373" builtinId="8" hidden="1"/>
    <cellStyle name="Hyperlink" xfId="3375" builtinId="8" hidden="1"/>
    <cellStyle name="Hyperlink" xfId="3377" builtinId="8" hidden="1"/>
    <cellStyle name="Hyperlink" xfId="3379" builtinId="8" hidden="1"/>
    <cellStyle name="Hyperlink" xfId="3381" builtinId="8" hidden="1"/>
    <cellStyle name="Hyperlink" xfId="3383" builtinId="8" hidden="1"/>
    <cellStyle name="Hyperlink" xfId="3385" builtinId="8" hidden="1"/>
    <cellStyle name="Hyperlink" xfId="3387" builtinId="8" hidden="1"/>
    <cellStyle name="Hyperlink" xfId="3389" builtinId="8" hidden="1"/>
    <cellStyle name="Hyperlink" xfId="3391" builtinId="8" hidden="1"/>
    <cellStyle name="Hyperlink" xfId="3393" builtinId="8" hidden="1"/>
    <cellStyle name="Hyperlink" xfId="3395" builtinId="8" hidden="1"/>
    <cellStyle name="Hyperlink" xfId="3397" builtinId="8" hidden="1"/>
    <cellStyle name="Hyperlink" xfId="3399" builtinId="8" hidden="1"/>
    <cellStyle name="Hyperlink" xfId="3401" builtinId="8" hidden="1"/>
    <cellStyle name="Hyperlink" xfId="3403" builtinId="8" hidden="1"/>
    <cellStyle name="Hyperlink" xfId="3405" builtinId="8" hidden="1"/>
    <cellStyle name="Hyperlink" xfId="3407" builtinId="8" hidden="1"/>
    <cellStyle name="Hyperlink" xfId="3409" builtinId="8" hidden="1"/>
    <cellStyle name="Hyperlink" xfId="3411" builtinId="8" hidden="1"/>
    <cellStyle name="Hyperlink" xfId="3413" builtinId="8" hidden="1"/>
    <cellStyle name="Hyperlink" xfId="3415" builtinId="8" hidden="1"/>
    <cellStyle name="Hyperlink" xfId="3417" builtinId="8" hidden="1"/>
    <cellStyle name="Hyperlink" xfId="3419" builtinId="8" hidden="1"/>
    <cellStyle name="Hyperlink" xfId="3421" builtinId="8" hidden="1"/>
    <cellStyle name="Hyperlink" xfId="3423" builtinId="8" hidden="1"/>
    <cellStyle name="Hyperlink" xfId="3425" builtinId="8" hidden="1"/>
    <cellStyle name="Hyperlink" xfId="3427" builtinId="8" hidden="1"/>
    <cellStyle name="Hyperlink" xfId="3429" builtinId="8" hidden="1"/>
    <cellStyle name="Hyperlink" xfId="3431" builtinId="8" hidden="1"/>
    <cellStyle name="Hyperlink" xfId="3433" builtinId="8" hidden="1"/>
    <cellStyle name="Hyperlink" xfId="3435" builtinId="8" hidden="1"/>
    <cellStyle name="Hyperlink" xfId="3437" builtinId="8" hidden="1"/>
    <cellStyle name="Hyperlink" xfId="3439" builtinId="8" hidden="1"/>
    <cellStyle name="Hyperlink" xfId="3441" builtinId="8" hidden="1"/>
    <cellStyle name="Hyperlink" xfId="3443" builtinId="8" hidden="1"/>
    <cellStyle name="Hyperlink" xfId="3445" builtinId="8" hidden="1"/>
    <cellStyle name="Hyperlink" xfId="3447" builtinId="8" hidden="1"/>
    <cellStyle name="Hyperlink" xfId="3449" builtinId="8" hidden="1"/>
    <cellStyle name="Hyperlink" xfId="3451" builtinId="8" hidden="1"/>
    <cellStyle name="Hyperlink" xfId="3453" builtinId="8" hidden="1"/>
    <cellStyle name="Hyperlink" xfId="3455" builtinId="8" hidden="1"/>
    <cellStyle name="Hyperlink" xfId="3457" builtinId="8" hidden="1"/>
    <cellStyle name="Hyperlink" xfId="3459" builtinId="8" hidden="1"/>
    <cellStyle name="Hyperlink" xfId="3461" builtinId="8" hidden="1"/>
    <cellStyle name="Hyperlink" xfId="3463" builtinId="8" hidden="1"/>
    <cellStyle name="Hyperlink" xfId="3465" builtinId="8" hidden="1"/>
    <cellStyle name="Hyperlink" xfId="3467" builtinId="8" hidden="1"/>
    <cellStyle name="Hyperlink" xfId="3469" builtinId="8" hidden="1"/>
    <cellStyle name="Hyperlink" xfId="3471" builtinId="8" hidden="1"/>
    <cellStyle name="Hyperlink" xfId="3473" builtinId="8" hidden="1"/>
    <cellStyle name="Hyperlink" xfId="3475" builtinId="8" hidden="1"/>
    <cellStyle name="Hyperlink" xfId="3477" builtinId="8" hidden="1"/>
    <cellStyle name="Hyperlink" xfId="3479" builtinId="8" hidden="1"/>
    <cellStyle name="Hyperlink" xfId="3481" builtinId="8" hidden="1"/>
    <cellStyle name="Hyperlink" xfId="3483" builtinId="8" hidden="1"/>
    <cellStyle name="Hyperlink" xfId="3485" builtinId="8" hidden="1"/>
    <cellStyle name="Hyperlink" xfId="3487" builtinId="8" hidden="1"/>
    <cellStyle name="Hyperlink" xfId="3489" builtinId="8" hidden="1"/>
    <cellStyle name="Hyperlink" xfId="3491" builtinId="8" hidden="1"/>
    <cellStyle name="Hyperlink" xfId="3493" builtinId="8" hidden="1"/>
    <cellStyle name="Hyperlink" xfId="3495" builtinId="8" hidden="1"/>
    <cellStyle name="Hyperlink" xfId="3497" builtinId="8" hidden="1"/>
    <cellStyle name="Hyperlink" xfId="3499" builtinId="8" hidden="1"/>
    <cellStyle name="Hyperlink" xfId="3501" builtinId="8" hidden="1"/>
    <cellStyle name="Hyperlink" xfId="3503" builtinId="8" hidden="1"/>
    <cellStyle name="Hyperlink" xfId="3505" builtinId="8" hidden="1"/>
    <cellStyle name="Hyperlink" xfId="3507" builtinId="8" hidden="1"/>
    <cellStyle name="Hyperlink" xfId="3509" builtinId="8" hidden="1"/>
    <cellStyle name="Hyperlink" xfId="3511" builtinId="8" hidden="1"/>
    <cellStyle name="Hyperlink" xfId="3513" builtinId="8" hidden="1"/>
    <cellStyle name="Hyperlink" xfId="3515" builtinId="8" hidden="1"/>
    <cellStyle name="Hyperlink" xfId="3517" builtinId="8" hidden="1"/>
    <cellStyle name="Hyperlink" xfId="3519" builtinId="8" hidden="1"/>
    <cellStyle name="Hyperlink" xfId="3521" builtinId="8" hidden="1"/>
    <cellStyle name="Hyperlink" xfId="3523" builtinId="8" hidden="1"/>
    <cellStyle name="Hyperlink" xfId="3525" builtinId="8" hidden="1"/>
    <cellStyle name="Hyperlink" xfId="3527" builtinId="8" hidden="1"/>
    <cellStyle name="Hyperlink" xfId="3529" builtinId="8" hidden="1"/>
    <cellStyle name="Hyperlink" xfId="3531" builtinId="8" hidden="1"/>
    <cellStyle name="Hyperlink" xfId="3533" builtinId="8" hidden="1"/>
    <cellStyle name="Hyperlink" xfId="3535" builtinId="8" hidden="1"/>
    <cellStyle name="Hyperlink" xfId="3537" builtinId="8" hidden="1"/>
    <cellStyle name="Hyperlink" xfId="3539" builtinId="8" hidden="1"/>
    <cellStyle name="Hyperlink" xfId="3541" builtinId="8" hidden="1"/>
    <cellStyle name="Hyperlink" xfId="3543" builtinId="8" hidden="1"/>
    <cellStyle name="Hyperlink" xfId="3545" builtinId="8" hidden="1"/>
    <cellStyle name="Hyperlink" xfId="3547" builtinId="8" hidden="1"/>
    <cellStyle name="Hyperlink" xfId="3549" builtinId="8" hidden="1"/>
    <cellStyle name="Hyperlink" xfId="3551" builtinId="8" hidden="1"/>
    <cellStyle name="Hyperlink" xfId="3553" builtinId="8" hidden="1"/>
    <cellStyle name="Hyperlink" xfId="3555" builtinId="8" hidden="1"/>
    <cellStyle name="Hyperlink" xfId="3557" builtinId="8" hidden="1"/>
    <cellStyle name="Hyperlink" xfId="3559" builtinId="8" hidden="1"/>
    <cellStyle name="Hyperlink" xfId="3561" builtinId="8" hidden="1"/>
    <cellStyle name="Hyperlink" xfId="3563" builtinId="8" hidden="1"/>
    <cellStyle name="Hyperlink" xfId="3565" builtinId="8" hidden="1"/>
    <cellStyle name="Hyperlink" xfId="3567" builtinId="8" hidden="1"/>
    <cellStyle name="Hyperlink" xfId="3569" builtinId="8" hidden="1"/>
    <cellStyle name="Hyperlink" xfId="3571" builtinId="8" hidden="1"/>
    <cellStyle name="Hyperlink" xfId="3573" builtinId="8" hidden="1"/>
    <cellStyle name="Hyperlink" xfId="3575" builtinId="8" hidden="1"/>
    <cellStyle name="Hyperlink" xfId="3577" builtinId="8" hidden="1"/>
    <cellStyle name="Hyperlink" xfId="3579" builtinId="8" hidden="1"/>
    <cellStyle name="Hyperlink" xfId="3581" builtinId="8" hidden="1"/>
    <cellStyle name="Hyperlink" xfId="3583" builtinId="8" hidden="1"/>
    <cellStyle name="Hyperlink" xfId="3585" builtinId="8" hidden="1"/>
    <cellStyle name="Hyperlink" xfId="3587" builtinId="8" hidden="1"/>
    <cellStyle name="Hyperlink" xfId="3589" builtinId="8" hidden="1"/>
    <cellStyle name="Hyperlink" xfId="3591" builtinId="8" hidden="1"/>
    <cellStyle name="Hyperlink" xfId="3593" builtinId="8" hidden="1"/>
    <cellStyle name="Hyperlink" xfId="3595" builtinId="8" hidden="1"/>
    <cellStyle name="Hyperlink" xfId="3597" builtinId="8" hidden="1"/>
    <cellStyle name="Hyperlink" xfId="3599" builtinId="8" hidden="1"/>
    <cellStyle name="Hyperlink" xfId="3601" builtinId="8" hidden="1"/>
    <cellStyle name="Hyperlink" xfId="3603" builtinId="8" hidden="1"/>
    <cellStyle name="Hyperlink" xfId="3605" builtinId="8" hidden="1"/>
    <cellStyle name="Hyperlink" xfId="3607" builtinId="8" hidden="1"/>
    <cellStyle name="Hyperlink" xfId="3609" builtinId="8" hidden="1"/>
    <cellStyle name="Hyperlink" xfId="3611" builtinId="8" hidden="1"/>
    <cellStyle name="Hyperlink" xfId="3613" builtinId="8" hidden="1"/>
    <cellStyle name="Hyperlink" xfId="3615" builtinId="8" hidden="1"/>
    <cellStyle name="Hyperlink" xfId="3617" builtinId="8" hidden="1"/>
    <cellStyle name="Hyperlink" xfId="3619" builtinId="8" hidden="1"/>
    <cellStyle name="Hyperlink" xfId="3621" builtinId="8" hidden="1"/>
    <cellStyle name="Hyperlink" xfId="3623" builtinId="8" hidden="1"/>
    <cellStyle name="Hyperlink" xfId="3625" builtinId="8" hidden="1"/>
    <cellStyle name="Hyperlink" xfId="3627" builtinId="8" hidden="1"/>
    <cellStyle name="Hyperlink" xfId="3629" builtinId="8" hidden="1"/>
    <cellStyle name="Hyperlink" xfId="3631" builtinId="8" hidden="1"/>
    <cellStyle name="Hyperlink" xfId="3633" builtinId="8" hidden="1"/>
    <cellStyle name="Hyperlink" xfId="3635" builtinId="8" hidden="1"/>
    <cellStyle name="Hyperlink" xfId="3637" builtinId="8" hidden="1"/>
    <cellStyle name="Hyperlink" xfId="3639" builtinId="8" hidden="1"/>
    <cellStyle name="Hyperlink" xfId="3641" builtinId="8" hidden="1"/>
    <cellStyle name="Hyperlink" xfId="3643" builtinId="8" hidden="1"/>
    <cellStyle name="Hyperlink" xfId="3645" builtinId="8" hidden="1"/>
    <cellStyle name="Hyperlink" xfId="3647" builtinId="8" hidden="1"/>
    <cellStyle name="Hyperlink" xfId="3649" builtinId="8" hidden="1"/>
    <cellStyle name="Hyperlink" xfId="3651" builtinId="8" hidden="1"/>
    <cellStyle name="Hyperlink" xfId="3653" builtinId="8" hidden="1"/>
    <cellStyle name="Hyperlink" xfId="3655" builtinId="8" hidden="1"/>
    <cellStyle name="Hyperlink" xfId="3657" builtinId="8" hidden="1"/>
    <cellStyle name="Hyperlink" xfId="3659" builtinId="8" hidden="1"/>
    <cellStyle name="Hyperlink" xfId="3661" builtinId="8" hidden="1"/>
    <cellStyle name="Hyperlink" xfId="3663" builtinId="8" hidden="1"/>
    <cellStyle name="Hyperlink" xfId="3665" builtinId="8" hidden="1"/>
    <cellStyle name="Hyperlink" xfId="3667" builtinId="8" hidden="1"/>
    <cellStyle name="Hyperlink" xfId="3669" builtinId="8" hidden="1"/>
    <cellStyle name="Hyperlink" xfId="3671" builtinId="8" hidden="1"/>
    <cellStyle name="Hyperlink" xfId="3673" builtinId="8" hidden="1"/>
    <cellStyle name="Hyperlink" xfId="3675" builtinId="8" hidden="1"/>
    <cellStyle name="Hyperlink" xfId="3677" builtinId="8" hidden="1"/>
    <cellStyle name="Hyperlink" xfId="3679" builtinId="8" hidden="1"/>
    <cellStyle name="Hyperlink" xfId="3681" builtinId="8" hidden="1"/>
    <cellStyle name="Hyperlink" xfId="3683" builtinId="8" hidden="1"/>
    <cellStyle name="Hyperlink" xfId="3685" builtinId="8" hidden="1"/>
    <cellStyle name="Hyperlink" xfId="3687" builtinId="8" hidden="1"/>
    <cellStyle name="Hyperlink" xfId="3689" builtinId="8" hidden="1"/>
    <cellStyle name="Hyperlink" xfId="3691" builtinId="8" hidden="1"/>
    <cellStyle name="Hyperlink" xfId="3693" builtinId="8" hidden="1"/>
    <cellStyle name="Hyperlink" xfId="3695" builtinId="8" hidden="1"/>
    <cellStyle name="Hyperlink" xfId="3697" builtinId="8" hidden="1"/>
    <cellStyle name="Hyperlink" xfId="3699" builtinId="8" hidden="1"/>
    <cellStyle name="Hyperlink" xfId="3701" builtinId="8" hidden="1"/>
    <cellStyle name="Hyperlink" xfId="3703" builtinId="8" hidden="1"/>
    <cellStyle name="Hyperlink" xfId="3705" builtinId="8" hidden="1"/>
    <cellStyle name="Hyperlink" xfId="3707" builtinId="8" hidden="1"/>
    <cellStyle name="Hyperlink" xfId="3709" builtinId="8" hidden="1"/>
    <cellStyle name="Hyperlink" xfId="3711" builtinId="8" hidden="1"/>
    <cellStyle name="Hyperlink" xfId="3713" builtinId="8" hidden="1"/>
    <cellStyle name="Hyperlink" xfId="3715" builtinId="8" hidden="1"/>
    <cellStyle name="Hyperlink" xfId="3717" builtinId="8" hidden="1"/>
    <cellStyle name="Hyperlink" xfId="3719" builtinId="8" hidden="1"/>
    <cellStyle name="Hyperlink" xfId="3721" builtinId="8" hidden="1"/>
    <cellStyle name="Hyperlink" xfId="3723" builtinId="8" hidden="1"/>
    <cellStyle name="Hyperlink" xfId="3725" builtinId="8" hidden="1"/>
    <cellStyle name="Hyperlink" xfId="3727" builtinId="8" hidden="1"/>
    <cellStyle name="Hyperlink" xfId="3729" builtinId="8" hidden="1"/>
    <cellStyle name="Hyperlink" xfId="3731" builtinId="8" hidden="1"/>
    <cellStyle name="Hyperlink" xfId="3733" builtinId="8" hidden="1"/>
    <cellStyle name="Hyperlink" xfId="3735" builtinId="8" hidden="1"/>
    <cellStyle name="Hyperlink" xfId="3737" builtinId="8" hidden="1"/>
    <cellStyle name="Hyperlink" xfId="3739" builtinId="8" hidden="1"/>
    <cellStyle name="Hyperlink" xfId="3741" builtinId="8" hidden="1"/>
    <cellStyle name="Hyperlink" xfId="3743" builtinId="8" hidden="1"/>
    <cellStyle name="Hyperlink" xfId="3745" builtinId="8" hidden="1"/>
    <cellStyle name="Hyperlink" xfId="3747" builtinId="8" hidden="1"/>
    <cellStyle name="Hyperlink" xfId="3749" builtinId="8" hidden="1"/>
    <cellStyle name="Hyperlink" xfId="3751" builtinId="8" hidden="1"/>
    <cellStyle name="Hyperlink" xfId="3753" builtinId="8" hidden="1"/>
    <cellStyle name="Hyperlink" xfId="3755" builtinId="8" hidden="1"/>
    <cellStyle name="Hyperlink" xfId="3757" builtinId="8" hidden="1"/>
    <cellStyle name="Hyperlink" xfId="3759" builtinId="8" hidden="1"/>
    <cellStyle name="Hyperlink" xfId="3761" builtinId="8" hidden="1"/>
    <cellStyle name="Hyperlink" xfId="3763" builtinId="8" hidden="1"/>
    <cellStyle name="Hyperlink" xfId="3765" builtinId="8" hidden="1"/>
    <cellStyle name="Hyperlink" xfId="3767" builtinId="8" hidden="1"/>
    <cellStyle name="Hyperlink" xfId="3769" builtinId="8" hidden="1"/>
    <cellStyle name="Hyperlink" xfId="3771" builtinId="8" hidden="1"/>
    <cellStyle name="Hyperlink" xfId="3773" builtinId="8" hidden="1"/>
    <cellStyle name="Hyperlink" xfId="3775" builtinId="8" hidden="1"/>
    <cellStyle name="Hyperlink" xfId="3777" builtinId="8" hidden="1"/>
    <cellStyle name="Hyperlink" xfId="3779" builtinId="8" hidden="1"/>
    <cellStyle name="Hyperlink" xfId="3781" builtinId="8" hidden="1"/>
    <cellStyle name="Hyperlink" xfId="3783" builtinId="8" hidden="1"/>
    <cellStyle name="Hyperlink" xfId="3785" builtinId="8" hidden="1"/>
    <cellStyle name="Hyperlink" xfId="3787" builtinId="8" hidden="1"/>
    <cellStyle name="Hyperlink" xfId="3789" builtinId="8" hidden="1"/>
    <cellStyle name="Hyperlink" xfId="3791" builtinId="8" hidden="1"/>
    <cellStyle name="Hyperlink" xfId="3793" builtinId="8" hidden="1"/>
    <cellStyle name="Hyperlink" xfId="3795" builtinId="8" hidden="1"/>
    <cellStyle name="Hyperlink" xfId="3797" builtinId="8" hidden="1"/>
    <cellStyle name="Hyperlink" xfId="3799" builtinId="8" hidden="1"/>
    <cellStyle name="Hyperlink" xfId="3801" builtinId="8" hidden="1"/>
    <cellStyle name="Hyperlink" xfId="3803" builtinId="8" hidden="1"/>
    <cellStyle name="Hyperlink" xfId="3805" builtinId="8" hidden="1"/>
    <cellStyle name="Hyperlink" xfId="3807" builtinId="8" hidden="1"/>
    <cellStyle name="Hyperlink" xfId="3809" builtinId="8" hidden="1"/>
    <cellStyle name="Hyperlink" xfId="3811" builtinId="8" hidden="1"/>
    <cellStyle name="Hyperlink" xfId="3813" builtinId="8" hidden="1"/>
    <cellStyle name="Hyperlink" xfId="3815" builtinId="8" hidden="1"/>
    <cellStyle name="Hyperlink" xfId="3817" builtinId="8" hidden="1"/>
    <cellStyle name="Hyperlink" xfId="3819" builtinId="8" hidden="1"/>
    <cellStyle name="Hyperlink" xfId="3821" builtinId="8" hidden="1"/>
    <cellStyle name="Hyperlink" xfId="3823" builtinId="8" hidden="1"/>
    <cellStyle name="Hyperlink" xfId="3825" builtinId="8" hidden="1"/>
    <cellStyle name="Hyperlink" xfId="3827" builtinId="8" hidden="1"/>
    <cellStyle name="Hyperlink" xfId="3829" builtinId="8" hidden="1"/>
    <cellStyle name="Hyperlink" xfId="3831" builtinId="8" hidden="1"/>
    <cellStyle name="Hyperlink" xfId="3833" builtinId="8" hidden="1"/>
    <cellStyle name="Hyperlink" xfId="3835" builtinId="8" hidden="1"/>
    <cellStyle name="Hyperlink" xfId="3837" builtinId="8" hidden="1"/>
    <cellStyle name="Hyperlink" xfId="3839" builtinId="8" hidden="1"/>
    <cellStyle name="Hyperlink" xfId="3841" builtinId="8" hidden="1"/>
    <cellStyle name="Hyperlink" xfId="3843" builtinId="8" hidden="1"/>
    <cellStyle name="Hyperlink" xfId="3845" builtinId="8" hidden="1"/>
    <cellStyle name="Hyperlink" xfId="3847" builtinId="8" hidden="1"/>
    <cellStyle name="Hyperlink" xfId="3849" builtinId="8" hidden="1"/>
    <cellStyle name="Hyperlink" xfId="3851" builtinId="8" hidden="1"/>
    <cellStyle name="Hyperlink" xfId="3853" builtinId="8" hidden="1"/>
    <cellStyle name="Hyperlink" xfId="3855" builtinId="8" hidden="1"/>
    <cellStyle name="Normal" xfId="0" builtinId="0"/>
    <cellStyle name="Normal 2" xfId="1"/>
    <cellStyle name="Normal 3" xfId="2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</c:spPr>
          </c:dPt>
          <c:errBars>
            <c:errBarType val="both"/>
            <c:errValType val="cust"/>
            <c:noEndCap val="1"/>
            <c:plus>
              <c:numRef>
                <c:f>'Fig 1 c-e (IP OTA)'!$E$37:$F$37</c:f>
                <c:numCache>
                  <c:formatCode>General</c:formatCode>
                  <c:ptCount val="2"/>
                  <c:pt idx="0">
                    <c:v>0.0828120581002237</c:v>
                  </c:pt>
                  <c:pt idx="1">
                    <c:v>0.0961258866133181</c:v>
                  </c:pt>
                </c:numCache>
              </c:numRef>
            </c:plus>
            <c:minus>
              <c:numRef>
                <c:f>'Fig 1 c-e (IP OTA)'!$E$37:$F$37</c:f>
                <c:numCache>
                  <c:formatCode>General</c:formatCode>
                  <c:ptCount val="2"/>
                  <c:pt idx="0">
                    <c:v>0.0828120581002237</c:v>
                  </c:pt>
                  <c:pt idx="1">
                    <c:v>0.0961258866133181</c:v>
                  </c:pt>
                </c:numCache>
              </c:numRef>
            </c:minus>
          </c:errBars>
          <c:val>
            <c:numRef>
              <c:f>'Fig 1 c-e (IP OTA)'!$C$37:$D$37</c:f>
              <c:numCache>
                <c:formatCode>0.000</c:formatCode>
                <c:ptCount val="2"/>
                <c:pt idx="0">
                  <c:v>1.281495909254676</c:v>
                </c:pt>
                <c:pt idx="1">
                  <c:v>0.973118847779956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06869432"/>
        <c:axId val="2093266168"/>
      </c:barChart>
      <c:catAx>
        <c:axId val="2106869432"/>
        <c:scaling>
          <c:orientation val="minMax"/>
        </c:scaling>
        <c:delete val="1"/>
        <c:axPos val="b"/>
        <c:majorTickMark val="out"/>
        <c:minorTickMark val="none"/>
        <c:tickLblPos val="nextTo"/>
        <c:crossAx val="2093266168"/>
        <c:crossesAt val="1.0"/>
        <c:auto val="1"/>
        <c:lblAlgn val="ctr"/>
        <c:lblOffset val="100"/>
        <c:noMultiLvlLbl val="0"/>
      </c:catAx>
      <c:valAx>
        <c:axId val="2093266168"/>
        <c:scaling>
          <c:orientation val="minMax"/>
          <c:min val="0.9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NORMALIZED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2106869432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</c:spPr>
          </c:dPt>
          <c:dPt>
            <c:idx val="1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</c:spPr>
          </c:dPt>
          <c:errBars>
            <c:errBarType val="both"/>
            <c:errValType val="cust"/>
            <c:noEndCap val="1"/>
            <c:plus>
              <c:numRef>
                <c:f>'Fig 1 c-e (IP OTA)'!$E$36:$F$36</c:f>
                <c:numCache>
                  <c:formatCode>General</c:formatCode>
                  <c:ptCount val="2"/>
                  <c:pt idx="0">
                    <c:v>0.0599386305985882</c:v>
                  </c:pt>
                  <c:pt idx="1">
                    <c:v>0.0867819203802237</c:v>
                  </c:pt>
                </c:numCache>
              </c:numRef>
            </c:plus>
            <c:minus>
              <c:numRef>
                <c:f>'Fig 1 c-e (IP OTA)'!$E$36:$F$36</c:f>
                <c:numCache>
                  <c:formatCode>General</c:formatCode>
                  <c:ptCount val="2"/>
                  <c:pt idx="0">
                    <c:v>0.0599386305985882</c:v>
                  </c:pt>
                  <c:pt idx="1">
                    <c:v>0.0867819203802237</c:v>
                  </c:pt>
                </c:numCache>
              </c:numRef>
            </c:minus>
          </c:errBars>
          <c:val>
            <c:numRef>
              <c:f>'Fig 1 c-e (IP OTA)'!$C$36:$D$36</c:f>
              <c:numCache>
                <c:formatCode>0.000</c:formatCode>
                <c:ptCount val="2"/>
                <c:pt idx="0">
                  <c:v>0.223024691358025</c:v>
                </c:pt>
                <c:pt idx="1">
                  <c:v>-0.0335555555555556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3247432"/>
        <c:axId val="2095988360"/>
      </c:barChart>
      <c:catAx>
        <c:axId val="2093247432"/>
        <c:scaling>
          <c:orientation val="minMax"/>
        </c:scaling>
        <c:delete val="1"/>
        <c:axPos val="b"/>
        <c:majorTickMark val="out"/>
        <c:minorTickMark val="none"/>
        <c:tickLblPos val="nextTo"/>
        <c:crossAx val="2095988360"/>
        <c:crosses val="autoZero"/>
        <c:auto val="1"/>
        <c:lblAlgn val="ctr"/>
        <c:lblOffset val="100"/>
        <c:noMultiLvlLbl val="0"/>
      </c:catAx>
      <c:valAx>
        <c:axId val="2095988360"/>
        <c:scaling>
          <c:orientation val="minMax"/>
          <c:max val="0.38"/>
          <c:min val="-0.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SUBTRACTED</a:t>
                </a:r>
              </a:p>
            </c:rich>
          </c:tx>
          <c:layout/>
          <c:overlay val="0"/>
        </c:title>
        <c:numFmt formatCode="0.000" sourceLinked="1"/>
        <c:majorTickMark val="out"/>
        <c:minorTickMark val="none"/>
        <c:tickLblPos val="nextTo"/>
        <c:crossAx val="2093247432"/>
        <c:crosses val="autoZero"/>
        <c:crossBetween val="between"/>
        <c:majorUnit val="0.1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I.P. SALINE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OTA)'!$C$28:$C$29</c:f>
              <c:numCache>
                <c:formatCode>0</c:formatCode>
                <c:ptCount val="2"/>
                <c:pt idx="0">
                  <c:v>663.0</c:v>
                </c:pt>
                <c:pt idx="1">
                  <c:v>842.0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OTA)'!$D$28:$D$29</c:f>
              <c:numCache>
                <c:formatCode>0</c:formatCode>
                <c:ptCount val="2"/>
                <c:pt idx="0">
                  <c:v>662.0</c:v>
                </c:pt>
                <c:pt idx="1">
                  <c:v>1125.0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OTA)'!$E$28:$E$29</c:f>
              <c:numCache>
                <c:formatCode>0</c:formatCode>
                <c:ptCount val="2"/>
                <c:pt idx="0">
                  <c:v>888.0</c:v>
                </c:pt>
                <c:pt idx="1">
                  <c:v>1021.0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OTA)'!$F$28:$F$29</c:f>
              <c:numCache>
                <c:formatCode>0</c:formatCode>
                <c:ptCount val="2"/>
                <c:pt idx="0">
                  <c:v>817.0</c:v>
                </c:pt>
                <c:pt idx="1">
                  <c:v>1247.0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OTA)'!$G$28:$G$29</c:f>
              <c:numCache>
                <c:formatCode>0</c:formatCode>
                <c:ptCount val="2"/>
                <c:pt idx="0">
                  <c:v>878.0</c:v>
                </c:pt>
                <c:pt idx="1">
                  <c:v>732.0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OTA)'!$H$28:$H$29</c:f>
              <c:numCache>
                <c:formatCode>0</c:formatCode>
                <c:ptCount val="2"/>
                <c:pt idx="0">
                  <c:v>931.0</c:v>
                </c:pt>
                <c:pt idx="1">
                  <c:v>1073.0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OTA)'!$I$28:$I$29</c:f>
              <c:numCache>
                <c:formatCode>0</c:formatCode>
                <c:ptCount val="2"/>
                <c:pt idx="0">
                  <c:v>631.0</c:v>
                </c:pt>
                <c:pt idx="1">
                  <c:v>1005.0</c:v>
                </c:pt>
              </c:numCache>
            </c:numRef>
          </c:val>
          <c:smooth val="0"/>
        </c:ser>
        <c:ser>
          <c:idx val="7"/>
          <c:order val="7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OTA)'!$J$28:$J$29</c:f>
              <c:numCache>
                <c:formatCode>0</c:formatCode>
                <c:ptCount val="2"/>
                <c:pt idx="0">
                  <c:v>848.0</c:v>
                </c:pt>
                <c:pt idx="1">
                  <c:v>858.0</c:v>
                </c:pt>
              </c:numCache>
            </c:numRef>
          </c:val>
          <c:smooth val="0"/>
        </c:ser>
        <c:ser>
          <c:idx val="8"/>
          <c:order val="8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OTA)'!$K$28:$K$29</c:f>
              <c:numCache>
                <c:formatCode>0</c:formatCode>
                <c:ptCount val="2"/>
                <c:pt idx="0">
                  <c:v>838.0</c:v>
                </c:pt>
                <c:pt idx="1">
                  <c:v>1257.0</c:v>
                </c:pt>
              </c:numCache>
            </c:numRef>
          </c:val>
          <c:smooth val="0"/>
        </c:ser>
        <c:ser>
          <c:idx val="9"/>
          <c:order val="9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OTA)'!$L$28:$L$29</c:f>
              <c:numCache>
                <c:formatCode>0</c:formatCode>
                <c:ptCount val="2"/>
                <c:pt idx="0">
                  <c:v>701.0</c:v>
                </c:pt>
                <c:pt idx="1">
                  <c:v>974.0</c:v>
                </c:pt>
              </c:numCache>
            </c:numRef>
          </c:val>
          <c:smooth val="0"/>
        </c:ser>
        <c:ser>
          <c:idx val="10"/>
          <c:order val="10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OTA)'!$M$28:$M$29</c:f>
              <c:numCache>
                <c:formatCode>0</c:formatCode>
                <c:ptCount val="2"/>
                <c:pt idx="0">
                  <c:v>850.0</c:v>
                </c:pt>
                <c:pt idx="1">
                  <c:v>1001.0</c:v>
                </c:pt>
              </c:numCache>
            </c:numRef>
          </c:val>
          <c:smooth val="0"/>
        </c:ser>
        <c:ser>
          <c:idx val="11"/>
          <c:order val="11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OTA)'!$N$28:$N$29</c:f>
              <c:numCache>
                <c:formatCode>0</c:formatCode>
                <c:ptCount val="2"/>
                <c:pt idx="0">
                  <c:v>663.0</c:v>
                </c:pt>
                <c:pt idx="1">
                  <c:v>838.0</c:v>
                </c:pt>
              </c:numCache>
            </c:numRef>
          </c:val>
          <c:smooth val="0"/>
        </c:ser>
        <c:ser>
          <c:idx val="12"/>
          <c:order val="12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OTA)'!$O$28:$O$29</c:f>
              <c:numCache>
                <c:formatCode>0</c:formatCode>
                <c:ptCount val="2"/>
                <c:pt idx="0">
                  <c:v>1135.0</c:v>
                </c:pt>
                <c:pt idx="1">
                  <c:v>1128.0</c:v>
                </c:pt>
              </c:numCache>
            </c:numRef>
          </c:val>
          <c:smooth val="0"/>
        </c:ser>
        <c:ser>
          <c:idx val="13"/>
          <c:order val="13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OTA)'!$P$28:$P$29</c:f>
              <c:numCache>
                <c:formatCode>0</c:formatCode>
                <c:ptCount val="2"/>
                <c:pt idx="0">
                  <c:v>1195.0</c:v>
                </c:pt>
                <c:pt idx="1">
                  <c:v>1316.0</c:v>
                </c:pt>
              </c:numCache>
            </c:numRef>
          </c:val>
          <c:smooth val="0"/>
        </c:ser>
        <c:ser>
          <c:idx val="14"/>
          <c:order val="14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OTA)'!$Q$28:$Q$29</c:f>
              <c:numCache>
                <c:formatCode>0</c:formatCode>
                <c:ptCount val="2"/>
                <c:pt idx="0">
                  <c:v>960.0</c:v>
                </c:pt>
                <c:pt idx="1">
                  <c:v>967.0</c:v>
                </c:pt>
              </c:numCache>
            </c:numRef>
          </c:val>
          <c:smooth val="0"/>
        </c:ser>
        <c:ser>
          <c:idx val="15"/>
          <c:order val="15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OTA)'!$R$28:$R$29</c:f>
              <c:numCache>
                <c:formatCode>0</c:formatCode>
                <c:ptCount val="2"/>
                <c:pt idx="0">
                  <c:v>617.0</c:v>
                </c:pt>
                <c:pt idx="1">
                  <c:v>1432.0</c:v>
                </c:pt>
              </c:numCache>
            </c:numRef>
          </c:val>
          <c:smooth val="0"/>
        </c:ser>
        <c:ser>
          <c:idx val="16"/>
          <c:order val="16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OTA)'!$S$28:$S$29</c:f>
              <c:numCache>
                <c:formatCode>0</c:formatCode>
                <c:ptCount val="2"/>
                <c:pt idx="0">
                  <c:v>993.0</c:v>
                </c:pt>
                <c:pt idx="1">
                  <c:v>1028.0</c:v>
                </c:pt>
              </c:numCache>
            </c:numRef>
          </c:val>
          <c:smooth val="0"/>
        </c:ser>
        <c:ser>
          <c:idx val="17"/>
          <c:order val="17"/>
          <c:marker>
            <c:symbol val="none"/>
          </c:marker>
          <c:cat>
            <c:strRef>
              <c:f>'Fig 1 c-e (IP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OTA)'!$T$28:$T$29</c:f>
              <c:numCache>
                <c:formatCode>0</c:formatCode>
                <c:ptCount val="2"/>
                <c:pt idx="0">
                  <c:v>948.0</c:v>
                </c:pt>
                <c:pt idx="1">
                  <c:v>987.0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5572264"/>
        <c:axId val="2095562680"/>
      </c:lineChart>
      <c:catAx>
        <c:axId val="209557226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562680"/>
        <c:crosses val="autoZero"/>
        <c:auto val="1"/>
        <c:lblAlgn val="ctr"/>
        <c:lblOffset val="100"/>
        <c:noMultiLvlLbl val="0"/>
      </c:catAx>
      <c:valAx>
        <c:axId val="2095562680"/>
        <c:scaling>
          <c:orientation val="minMax"/>
          <c:max val="1500.0"/>
          <c:min val="450.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095572264"/>
        <c:crosses val="autoZero"/>
        <c:crossBetween val="between"/>
        <c:majorUnit val="450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I.P. OTA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OTA)'!$W$28:$W$29</c:f>
              <c:numCache>
                <c:formatCode>0</c:formatCode>
                <c:ptCount val="2"/>
                <c:pt idx="0">
                  <c:v>815.0</c:v>
                </c:pt>
                <c:pt idx="1">
                  <c:v>1563.0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OTA)'!$X$28:$X$29</c:f>
              <c:numCache>
                <c:formatCode>0</c:formatCode>
                <c:ptCount val="2"/>
                <c:pt idx="0">
                  <c:v>1045.0</c:v>
                </c:pt>
                <c:pt idx="1">
                  <c:v>905.0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OTA)'!$Y$28:$Y$29</c:f>
              <c:numCache>
                <c:formatCode>0</c:formatCode>
                <c:ptCount val="2"/>
                <c:pt idx="0">
                  <c:v>1187.0</c:v>
                </c:pt>
                <c:pt idx="1">
                  <c:v>1510.0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OTA)'!$Z$28:$Z$29</c:f>
              <c:numCache>
                <c:formatCode>0</c:formatCode>
                <c:ptCount val="2"/>
                <c:pt idx="0">
                  <c:v>555.0</c:v>
                </c:pt>
                <c:pt idx="1">
                  <c:v>731.0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OTA)'!$AA$28:$AA$29</c:f>
              <c:numCache>
                <c:formatCode>0</c:formatCode>
                <c:ptCount val="2"/>
                <c:pt idx="0">
                  <c:v>664.0</c:v>
                </c:pt>
                <c:pt idx="1">
                  <c:v>646.0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OTA)'!$AB$28:$AB$29</c:f>
              <c:numCache>
                <c:formatCode>0</c:formatCode>
                <c:ptCount val="2"/>
                <c:pt idx="0">
                  <c:v>811.0</c:v>
                </c:pt>
                <c:pt idx="1">
                  <c:v>995.0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OTA)'!$AC$28:$AC$29</c:f>
              <c:numCache>
                <c:formatCode>0</c:formatCode>
                <c:ptCount val="2"/>
                <c:pt idx="0">
                  <c:v>1139.0</c:v>
                </c:pt>
                <c:pt idx="1">
                  <c:v>864.0</c:v>
                </c:pt>
              </c:numCache>
            </c:numRef>
          </c:val>
          <c:smooth val="0"/>
        </c:ser>
        <c:ser>
          <c:idx val="7"/>
          <c:order val="7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OTA)'!$AD$28:$AD$29</c:f>
              <c:numCache>
                <c:formatCode>0</c:formatCode>
                <c:ptCount val="2"/>
                <c:pt idx="0">
                  <c:v>614.0</c:v>
                </c:pt>
                <c:pt idx="1">
                  <c:v>162.0</c:v>
                </c:pt>
              </c:numCache>
            </c:numRef>
          </c:val>
          <c:smooth val="0"/>
        </c:ser>
        <c:ser>
          <c:idx val="8"/>
          <c:order val="8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OTA)'!$AE$28:$AE$29</c:f>
              <c:numCache>
                <c:formatCode>0</c:formatCode>
                <c:ptCount val="2"/>
                <c:pt idx="0">
                  <c:v>725.0</c:v>
                </c:pt>
                <c:pt idx="1">
                  <c:v>568.0</c:v>
                </c:pt>
              </c:numCache>
            </c:numRef>
          </c:val>
          <c:smooth val="0"/>
        </c:ser>
        <c:ser>
          <c:idx val="9"/>
          <c:order val="9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OTA)'!$AF$28:$AF$29</c:f>
              <c:numCache>
                <c:formatCode>0</c:formatCode>
                <c:ptCount val="2"/>
                <c:pt idx="0">
                  <c:v>1170.0</c:v>
                </c:pt>
                <c:pt idx="1">
                  <c:v>965.0</c:v>
                </c:pt>
              </c:numCache>
            </c:numRef>
          </c:val>
          <c:smooth val="0"/>
        </c:ser>
        <c:ser>
          <c:idx val="10"/>
          <c:order val="10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OTA)'!$AG$28:$AG$29</c:f>
              <c:numCache>
                <c:formatCode>0</c:formatCode>
                <c:ptCount val="2"/>
                <c:pt idx="0">
                  <c:v>986.0</c:v>
                </c:pt>
                <c:pt idx="1">
                  <c:v>1040.0</c:v>
                </c:pt>
              </c:numCache>
            </c:numRef>
          </c:val>
          <c:smooth val="0"/>
        </c:ser>
        <c:ser>
          <c:idx val="11"/>
          <c:order val="11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OTA)'!$AH$28:$AH$29</c:f>
              <c:numCache>
                <c:formatCode>0</c:formatCode>
                <c:ptCount val="2"/>
                <c:pt idx="0">
                  <c:v>1073.0</c:v>
                </c:pt>
                <c:pt idx="1">
                  <c:v>885.0</c:v>
                </c:pt>
              </c:numCache>
            </c:numRef>
          </c:val>
          <c:smooth val="0"/>
        </c:ser>
        <c:ser>
          <c:idx val="12"/>
          <c:order val="12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OTA)'!$AI$28:$AI$29</c:f>
              <c:numCache>
                <c:formatCode>0</c:formatCode>
                <c:ptCount val="2"/>
                <c:pt idx="0">
                  <c:v>979.0</c:v>
                </c:pt>
                <c:pt idx="1">
                  <c:v>1037.0</c:v>
                </c:pt>
              </c:numCache>
            </c:numRef>
          </c:val>
          <c:smooth val="0"/>
        </c:ser>
        <c:ser>
          <c:idx val="13"/>
          <c:order val="13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OTA)'!$AJ$28:$AJ$29</c:f>
              <c:numCache>
                <c:formatCode>0</c:formatCode>
                <c:ptCount val="2"/>
                <c:pt idx="0">
                  <c:v>1019.0</c:v>
                </c:pt>
                <c:pt idx="1">
                  <c:v>755.0</c:v>
                </c:pt>
              </c:numCache>
            </c:numRef>
          </c:val>
          <c:smooth val="0"/>
        </c:ser>
        <c:ser>
          <c:idx val="14"/>
          <c:order val="14"/>
          <c:marker>
            <c:symbol val="none"/>
          </c:marker>
          <c:cat>
            <c:strRef>
              <c:f>'Fig 1 c-e (IP OTA)'!$V$28:$V$29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OTA)'!$AK$28:$AK$29</c:f>
              <c:numCache>
                <c:formatCode>0</c:formatCode>
                <c:ptCount val="2"/>
                <c:pt idx="0">
                  <c:v>1037.0</c:v>
                </c:pt>
                <c:pt idx="1">
                  <c:v>740.0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5469784"/>
        <c:axId val="2095437352"/>
      </c:lineChart>
      <c:catAx>
        <c:axId val="209546978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437352"/>
        <c:crosses val="autoZero"/>
        <c:auto val="1"/>
        <c:lblAlgn val="ctr"/>
        <c:lblOffset val="100"/>
        <c:noMultiLvlLbl val="0"/>
      </c:catAx>
      <c:valAx>
        <c:axId val="209543735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095469784"/>
        <c:crosses val="autoZero"/>
        <c:crossBetween val="between"/>
        <c:majorUnit val="300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 1 c-e (IP OTA)'!$C$33</c:f>
              <c:strCache>
                <c:ptCount val="1"/>
                <c:pt idx="0">
                  <c:v>I.P. SALINE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 1 c-e (IP OTA)'!$E$34:$E$35</c:f>
                <c:numCache>
                  <c:formatCode>General</c:formatCode>
                  <c:ptCount val="2"/>
                  <c:pt idx="0">
                    <c:v>39.67961744609086</c:v>
                  </c:pt>
                  <c:pt idx="1">
                    <c:v>42.73694044303328</c:v>
                  </c:pt>
                </c:numCache>
              </c:numRef>
            </c:plus>
            <c:minus>
              <c:numRef>
                <c:f>'Fig 1 c-e (IP OTA)'!$E$34:$E$35</c:f>
                <c:numCache>
                  <c:formatCode>General</c:formatCode>
                  <c:ptCount val="2"/>
                  <c:pt idx="0">
                    <c:v>39.67961744609086</c:v>
                  </c:pt>
                  <c:pt idx="1">
                    <c:v>42.73694044303328</c:v>
                  </c:pt>
                </c:numCache>
              </c:numRef>
            </c:minus>
          </c:errBars>
          <c:cat>
            <c:strRef>
              <c:f>'Fig 1 c-e (IP OTA)'!$B$34:$B$35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OTA)'!$C$34:$C$35</c:f>
              <c:numCache>
                <c:formatCode>0</c:formatCode>
                <c:ptCount val="2"/>
                <c:pt idx="0">
                  <c:v>845.4444444444445</c:v>
                </c:pt>
                <c:pt idx="1">
                  <c:v>1046.166666666667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9093640"/>
        <c:axId val="2119096520"/>
      </c:lineChart>
      <c:catAx>
        <c:axId val="2119093640"/>
        <c:scaling>
          <c:orientation val="minMax"/>
        </c:scaling>
        <c:delete val="0"/>
        <c:axPos val="b"/>
        <c:majorTickMark val="out"/>
        <c:minorTickMark val="none"/>
        <c:tickLblPos val="nextTo"/>
        <c:crossAx val="2119096520"/>
        <c:crosses val="autoZero"/>
        <c:auto val="1"/>
        <c:lblAlgn val="ctr"/>
        <c:lblOffset val="100"/>
        <c:noMultiLvlLbl val="0"/>
      </c:catAx>
      <c:valAx>
        <c:axId val="2119096520"/>
        <c:scaling>
          <c:orientation val="minMax"/>
          <c:max val="1125.0"/>
          <c:min val="675.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119093640"/>
        <c:crosses val="autoZero"/>
        <c:crossBetween val="between"/>
        <c:majorUnit val="225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 1 c-e (IP OTA)'!$D$33</c:f>
              <c:strCache>
                <c:ptCount val="1"/>
                <c:pt idx="0">
                  <c:v>I.P. OTA</c:v>
                </c:pt>
              </c:strCache>
            </c:strRef>
          </c:tx>
          <c:marker>
            <c:symbol val="circle"/>
            <c:size val="10"/>
            <c:spPr>
              <a:solidFill>
                <a:schemeClr val="tx2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 1 c-e (IP OTA)'!$F$34:$F$35</c:f>
                <c:numCache>
                  <c:formatCode>General</c:formatCode>
                  <c:ptCount val="2"/>
                  <c:pt idx="0">
                    <c:v>53.69290692417626</c:v>
                  </c:pt>
                  <c:pt idx="1">
                    <c:v>88.86069711668648</c:v>
                  </c:pt>
                </c:numCache>
              </c:numRef>
            </c:plus>
            <c:minus>
              <c:numRef>
                <c:f>'Fig 1 c-e (IP OTA)'!$F$34:$F$35</c:f>
                <c:numCache>
                  <c:formatCode>General</c:formatCode>
                  <c:ptCount val="2"/>
                  <c:pt idx="0">
                    <c:v>53.69290692417626</c:v>
                  </c:pt>
                  <c:pt idx="1">
                    <c:v>88.86069711668648</c:v>
                  </c:pt>
                </c:numCache>
              </c:numRef>
            </c:minus>
          </c:errBars>
          <c:cat>
            <c:strRef>
              <c:f>'Fig 1 c-e (IP OTA)'!$B$34:$B$35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c-e (IP OTA)'!$D$34:$D$35</c:f>
              <c:numCache>
                <c:formatCode>0</c:formatCode>
                <c:ptCount val="2"/>
                <c:pt idx="0">
                  <c:v>921.2666666666666</c:v>
                </c:pt>
                <c:pt idx="1">
                  <c:v>891.0666666666667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235240"/>
        <c:axId val="2095684664"/>
      </c:lineChart>
      <c:catAx>
        <c:axId val="2093235240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684664"/>
        <c:crosses val="autoZero"/>
        <c:auto val="1"/>
        <c:lblAlgn val="ctr"/>
        <c:lblOffset val="100"/>
        <c:noMultiLvlLbl val="0"/>
      </c:catAx>
      <c:valAx>
        <c:axId val="2095684664"/>
        <c:scaling>
          <c:orientation val="minMax"/>
          <c:max val="1125.0"/>
          <c:min val="675.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2093235240"/>
        <c:crosses val="autoZero"/>
        <c:crossBetween val="between"/>
        <c:majorUnit val="225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 1 g-i (NAc AP OTA)'!$C$33</c:f>
              <c:strCache>
                <c:ptCount val="1"/>
                <c:pt idx="0">
                  <c:v>NAc A.P. SALINE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1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 1 g-i (NAc AP OTA)'!$E$34:$E$35</c:f>
                <c:numCache>
                  <c:formatCode>General</c:formatCode>
                  <c:ptCount val="2"/>
                  <c:pt idx="0">
                    <c:v>104.9770973699607</c:v>
                  </c:pt>
                  <c:pt idx="1">
                    <c:v>96.9188520819808</c:v>
                  </c:pt>
                </c:numCache>
              </c:numRef>
            </c:plus>
            <c:minus>
              <c:numRef>
                <c:f>'Fig 1 g-i (NAc AP OTA)'!$E$34:$E$35</c:f>
                <c:numCache>
                  <c:formatCode>General</c:formatCode>
                  <c:ptCount val="2"/>
                  <c:pt idx="0">
                    <c:v>104.9770973699607</c:v>
                  </c:pt>
                  <c:pt idx="1">
                    <c:v>96.9188520819808</c:v>
                  </c:pt>
                </c:numCache>
              </c:numRef>
            </c:minus>
          </c:errBars>
          <c:cat>
            <c:strRef>
              <c:f>'Fig 1 g-i (NAc AP OTA)'!$B$34:$B$35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OTA)'!$C$34:$C$35</c:f>
              <c:numCache>
                <c:formatCode>0</c:formatCode>
                <c:ptCount val="2"/>
                <c:pt idx="0">
                  <c:v>910.4444444444445</c:v>
                </c:pt>
                <c:pt idx="1">
                  <c:v>1224.111111111111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8310008"/>
        <c:axId val="2095618520"/>
      </c:lineChart>
      <c:catAx>
        <c:axId val="2118310008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618520"/>
        <c:crosses val="autoZero"/>
        <c:auto val="1"/>
        <c:lblAlgn val="ctr"/>
        <c:lblOffset val="100"/>
        <c:noMultiLvlLbl val="0"/>
      </c:catAx>
      <c:valAx>
        <c:axId val="2095618520"/>
        <c:scaling>
          <c:orientation val="minMax"/>
          <c:max val="1350.0"/>
          <c:min val="675.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118310008"/>
        <c:crosses val="autoZero"/>
        <c:crossBetween val="between"/>
        <c:majorUnit val="225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 1 g-i (NAc AP OTA)'!$D$33</c:f>
              <c:strCache>
                <c:ptCount val="1"/>
                <c:pt idx="0">
                  <c:v>NAc A.P. OTA </c:v>
                </c:pt>
              </c:strCache>
            </c:strRef>
          </c:tx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circle"/>
            <c:size val="10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 1 g-i (NAc AP OTA)'!$F$34:$F$35</c:f>
                <c:numCache>
                  <c:formatCode>General</c:formatCode>
                  <c:ptCount val="2"/>
                  <c:pt idx="0">
                    <c:v>93.87450036182251</c:v>
                  </c:pt>
                  <c:pt idx="1">
                    <c:v>104.2455754456754</c:v>
                  </c:pt>
                </c:numCache>
              </c:numRef>
            </c:plus>
            <c:minus>
              <c:numRef>
                <c:f>'Fig 1 g-i (NAc AP OTA)'!$F$34:$F$35</c:f>
                <c:numCache>
                  <c:formatCode>General</c:formatCode>
                  <c:ptCount val="2"/>
                  <c:pt idx="0">
                    <c:v>93.87450036182251</c:v>
                  </c:pt>
                  <c:pt idx="1">
                    <c:v>104.2455754456754</c:v>
                  </c:pt>
                </c:numCache>
              </c:numRef>
            </c:minus>
          </c:errBars>
          <c:cat>
            <c:strRef>
              <c:f>'Fig 1 g-i (NAc AP OTA)'!$B$34:$B$35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OTA)'!$D$34:$D$35</c:f>
              <c:numCache>
                <c:formatCode>0</c:formatCode>
                <c:ptCount val="2"/>
                <c:pt idx="0">
                  <c:v>1007.727272727273</c:v>
                </c:pt>
                <c:pt idx="1">
                  <c:v>901.0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7557384"/>
        <c:axId val="2095607256"/>
      </c:lineChart>
      <c:catAx>
        <c:axId val="210755738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607256"/>
        <c:crosses val="autoZero"/>
        <c:auto val="1"/>
        <c:lblAlgn val="ctr"/>
        <c:lblOffset val="100"/>
        <c:noMultiLvlLbl val="0"/>
      </c:catAx>
      <c:valAx>
        <c:axId val="2095607256"/>
        <c:scaling>
          <c:orientation val="minMax"/>
          <c:max val="1350.0"/>
          <c:min val="675.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107557384"/>
        <c:crosses val="autoZero"/>
        <c:crossBetween val="between"/>
        <c:majorUnit val="225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NAc A.P. OTA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OTA)'!$C$28:$C$29</c:f>
              <c:numCache>
                <c:formatCode>0</c:formatCode>
                <c:ptCount val="2"/>
                <c:pt idx="0">
                  <c:v>485.0</c:v>
                </c:pt>
                <c:pt idx="1">
                  <c:v>1253.0</c:v>
                </c:pt>
              </c:numCache>
            </c:numRef>
          </c:val>
          <c:smooth val="0"/>
        </c:ser>
        <c:ser>
          <c:idx val="1"/>
          <c:order val="1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OTA)'!$D$28:$D$29</c:f>
              <c:numCache>
                <c:formatCode>0</c:formatCode>
                <c:ptCount val="2"/>
                <c:pt idx="0">
                  <c:v>1041.0</c:v>
                </c:pt>
                <c:pt idx="1">
                  <c:v>1156.0</c:v>
                </c:pt>
              </c:numCache>
            </c:numRef>
          </c:val>
          <c:smooth val="0"/>
        </c:ser>
        <c:ser>
          <c:idx val="2"/>
          <c:order val="2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OTA)'!$E$28:$E$29</c:f>
              <c:numCache>
                <c:formatCode>0</c:formatCode>
                <c:ptCount val="2"/>
                <c:pt idx="0">
                  <c:v>498.0</c:v>
                </c:pt>
                <c:pt idx="1">
                  <c:v>1495.0</c:v>
                </c:pt>
              </c:numCache>
            </c:numRef>
          </c:val>
          <c:smooth val="0"/>
        </c:ser>
        <c:ser>
          <c:idx val="3"/>
          <c:order val="3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OTA)'!$F$28:$F$29</c:f>
              <c:numCache>
                <c:formatCode>0</c:formatCode>
                <c:ptCount val="2"/>
                <c:pt idx="0">
                  <c:v>1025.0</c:v>
                </c:pt>
                <c:pt idx="1">
                  <c:v>1424.0</c:v>
                </c:pt>
              </c:numCache>
            </c:numRef>
          </c:val>
          <c:smooth val="0"/>
        </c:ser>
        <c:ser>
          <c:idx val="4"/>
          <c:order val="4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OTA)'!$G$28:$G$29</c:f>
              <c:numCache>
                <c:formatCode>0</c:formatCode>
                <c:ptCount val="2"/>
                <c:pt idx="0">
                  <c:v>612.0</c:v>
                </c:pt>
                <c:pt idx="1">
                  <c:v>833.0</c:v>
                </c:pt>
              </c:numCache>
            </c:numRef>
          </c:val>
          <c:smooth val="0"/>
        </c:ser>
        <c:ser>
          <c:idx val="5"/>
          <c:order val="5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OTA)'!$H$28:$H$29</c:f>
              <c:numCache>
                <c:formatCode>0</c:formatCode>
                <c:ptCount val="2"/>
                <c:pt idx="0">
                  <c:v>1041.0</c:v>
                </c:pt>
                <c:pt idx="1">
                  <c:v>880.0</c:v>
                </c:pt>
              </c:numCache>
            </c:numRef>
          </c:val>
          <c:smooth val="0"/>
        </c:ser>
        <c:ser>
          <c:idx val="6"/>
          <c:order val="6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OTA)'!$I$28:$I$29</c:f>
              <c:numCache>
                <c:formatCode>0</c:formatCode>
                <c:ptCount val="2"/>
                <c:pt idx="0">
                  <c:v>1267.0</c:v>
                </c:pt>
                <c:pt idx="1">
                  <c:v>1613.0</c:v>
                </c:pt>
              </c:numCache>
            </c:numRef>
          </c:val>
          <c:smooth val="0"/>
        </c:ser>
        <c:ser>
          <c:idx val="7"/>
          <c:order val="7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OTA)'!$J$28:$J$29</c:f>
              <c:numCache>
                <c:formatCode>0</c:formatCode>
                <c:ptCount val="2"/>
                <c:pt idx="0">
                  <c:v>1180.0</c:v>
                </c:pt>
                <c:pt idx="1">
                  <c:v>1014.0</c:v>
                </c:pt>
              </c:numCache>
            </c:numRef>
          </c:val>
          <c:smooth val="0"/>
        </c:ser>
        <c:ser>
          <c:idx val="8"/>
          <c:order val="8"/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'Fig 1 g-i (NAc AP OTA)'!$B$28:$B$29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OTA)'!$K$28:$K$29</c:f>
              <c:numCache>
                <c:formatCode>0</c:formatCode>
                <c:ptCount val="2"/>
                <c:pt idx="0">
                  <c:v>1045.0</c:v>
                </c:pt>
                <c:pt idx="1">
                  <c:v>1349.0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536792"/>
        <c:axId val="2106843128"/>
      </c:lineChart>
      <c:catAx>
        <c:axId val="2093536792"/>
        <c:scaling>
          <c:orientation val="minMax"/>
        </c:scaling>
        <c:delete val="0"/>
        <c:axPos val="b"/>
        <c:majorTickMark val="out"/>
        <c:minorTickMark val="none"/>
        <c:tickLblPos val="nextTo"/>
        <c:crossAx val="2106843128"/>
        <c:crosses val="autoZero"/>
        <c:auto val="1"/>
        <c:lblAlgn val="ctr"/>
        <c:lblOffset val="100"/>
        <c:noMultiLvlLbl val="0"/>
      </c:catAx>
      <c:valAx>
        <c:axId val="2106843128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2093536792"/>
        <c:crosses val="autoZero"/>
        <c:crossBetween val="between"/>
        <c:majorUnit val="300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NAc A.P.</a:t>
            </a:r>
            <a:r>
              <a:rPr lang="en-US" baseline="0"/>
              <a:t> OTA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OTA)'!$N$28:$N$29</c:f>
              <c:numCache>
                <c:formatCode>0</c:formatCode>
                <c:ptCount val="2"/>
                <c:pt idx="0">
                  <c:v>332.0</c:v>
                </c:pt>
                <c:pt idx="1">
                  <c:v>273.0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OTA)'!$O$28:$O$29</c:f>
              <c:numCache>
                <c:formatCode>0</c:formatCode>
                <c:ptCount val="2"/>
                <c:pt idx="0">
                  <c:v>985.0</c:v>
                </c:pt>
                <c:pt idx="1">
                  <c:v>1048.0</c:v>
                </c:pt>
              </c:numCache>
            </c:numRef>
          </c:val>
          <c:smooth val="0"/>
        </c:ser>
        <c:ser>
          <c:idx val="2"/>
          <c:order val="2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OTA)'!$P$28:$P$29</c:f>
              <c:numCache>
                <c:formatCode>0</c:formatCode>
                <c:ptCount val="2"/>
                <c:pt idx="0">
                  <c:v>1105.0</c:v>
                </c:pt>
                <c:pt idx="1">
                  <c:v>1161.0</c:v>
                </c:pt>
              </c:numCache>
            </c:numRef>
          </c:val>
          <c:smooth val="0"/>
        </c:ser>
        <c:ser>
          <c:idx val="3"/>
          <c:order val="3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OTA)'!$Q$28:$Q$29</c:f>
              <c:numCache>
                <c:formatCode>0</c:formatCode>
                <c:ptCount val="2"/>
                <c:pt idx="0">
                  <c:v>1217.0</c:v>
                </c:pt>
                <c:pt idx="1">
                  <c:v>1044.0</c:v>
                </c:pt>
              </c:numCache>
            </c:numRef>
          </c:val>
          <c:smooth val="0"/>
        </c:ser>
        <c:ser>
          <c:idx val="4"/>
          <c:order val="4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OTA)'!$R$28:$R$29</c:f>
              <c:numCache>
                <c:formatCode>0</c:formatCode>
                <c:ptCount val="2"/>
                <c:pt idx="0">
                  <c:v>864.0</c:v>
                </c:pt>
                <c:pt idx="1">
                  <c:v>1176.0</c:v>
                </c:pt>
              </c:numCache>
            </c:numRef>
          </c:val>
          <c:smooth val="0"/>
        </c:ser>
        <c:ser>
          <c:idx val="5"/>
          <c:order val="5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OTA)'!$S$28:$S$29</c:f>
              <c:numCache>
                <c:formatCode>0</c:formatCode>
                <c:ptCount val="2"/>
                <c:pt idx="0">
                  <c:v>1209.0</c:v>
                </c:pt>
                <c:pt idx="1">
                  <c:v>987.0</c:v>
                </c:pt>
              </c:numCache>
            </c:numRef>
          </c:val>
          <c:smooth val="0"/>
        </c:ser>
        <c:ser>
          <c:idx val="6"/>
          <c:order val="6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OTA)'!$T$28:$T$29</c:f>
              <c:numCache>
                <c:formatCode>0</c:formatCode>
                <c:ptCount val="2"/>
                <c:pt idx="0">
                  <c:v>850.0</c:v>
                </c:pt>
                <c:pt idx="1">
                  <c:v>980.0</c:v>
                </c:pt>
              </c:numCache>
            </c:numRef>
          </c:val>
          <c:smooth val="0"/>
        </c:ser>
        <c:ser>
          <c:idx val="7"/>
          <c:order val="7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OTA)'!$U$28:$U$29</c:f>
              <c:numCache>
                <c:formatCode>0</c:formatCode>
                <c:ptCount val="2"/>
                <c:pt idx="0">
                  <c:v>757.0</c:v>
                </c:pt>
                <c:pt idx="1">
                  <c:v>674.0</c:v>
                </c:pt>
              </c:numCache>
            </c:numRef>
          </c:val>
          <c:smooth val="0"/>
        </c:ser>
        <c:ser>
          <c:idx val="8"/>
          <c:order val="8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OTA)'!$V$28:$V$29</c:f>
              <c:numCache>
                <c:formatCode>0</c:formatCode>
                <c:ptCount val="2"/>
                <c:pt idx="0">
                  <c:v>1320.0</c:v>
                </c:pt>
                <c:pt idx="1">
                  <c:v>430.0</c:v>
                </c:pt>
              </c:numCache>
            </c:numRef>
          </c:val>
          <c:smooth val="0"/>
        </c:ser>
        <c:ser>
          <c:idx val="9"/>
          <c:order val="9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OTA)'!$W$28:$W$29</c:f>
              <c:numCache>
                <c:formatCode>0</c:formatCode>
                <c:ptCount val="2"/>
                <c:pt idx="0">
                  <c:v>1097.0</c:v>
                </c:pt>
                <c:pt idx="1">
                  <c:v>1355.0</c:v>
                </c:pt>
              </c:numCache>
            </c:numRef>
          </c:val>
          <c:smooth val="0"/>
        </c:ser>
        <c:ser>
          <c:idx val="10"/>
          <c:order val="10"/>
          <c:marker>
            <c:symbol val="none"/>
          </c:marker>
          <c:cat>
            <c:strRef>
              <c:f>'Fig 1 g-i (NAc AP OTA)'!$M$28:$M$29</c:f>
              <c:strCache>
                <c:ptCount val="2"/>
                <c:pt idx="0">
                  <c:v>pre</c:v>
                </c:pt>
                <c:pt idx="1">
                  <c:v>post</c:v>
                </c:pt>
              </c:strCache>
            </c:strRef>
          </c:cat>
          <c:val>
            <c:numRef>
              <c:f>'Fig 1 g-i (NAc AP OTA)'!$X$28:$X$29</c:f>
              <c:numCache>
                <c:formatCode>0</c:formatCode>
                <c:ptCount val="2"/>
                <c:pt idx="0">
                  <c:v>1349.0</c:v>
                </c:pt>
                <c:pt idx="1">
                  <c:v>783.0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3124888"/>
        <c:axId val="2095567048"/>
      </c:lineChart>
      <c:catAx>
        <c:axId val="2093124888"/>
        <c:scaling>
          <c:orientation val="minMax"/>
        </c:scaling>
        <c:delete val="0"/>
        <c:axPos val="b"/>
        <c:majorTickMark val="out"/>
        <c:minorTickMark val="none"/>
        <c:tickLblPos val="nextTo"/>
        <c:crossAx val="2095567048"/>
        <c:crosses val="autoZero"/>
        <c:auto val="1"/>
        <c:lblAlgn val="ctr"/>
        <c:lblOffset val="100"/>
        <c:noMultiLvlLbl val="0"/>
      </c:catAx>
      <c:valAx>
        <c:axId val="2095567048"/>
        <c:scaling>
          <c:orientation val="minMax"/>
          <c:max val="1400.0"/>
          <c:min val="225.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2093124888"/>
        <c:crosses val="autoZero"/>
        <c:crossBetween val="between"/>
        <c:majorUnit val="225.0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1 g-i (NAc AP OTA)'!$C$33</c:f>
              <c:strCache>
                <c:ptCount val="1"/>
                <c:pt idx="0">
                  <c:v>NAc A.P. SALINE</c:v>
                </c:pt>
              </c:strCache>
            </c:strRef>
          </c:tx>
          <c:invertIfNegative val="0"/>
          <c:errBars>
            <c:errBarType val="both"/>
            <c:errValType val="cust"/>
            <c:noEndCap val="1"/>
            <c:plus>
              <c:numRef>
                <c:f>'Fig 1 g-i (NAc AP OTA)'!$E$36</c:f>
                <c:numCache>
                  <c:formatCode>General</c:formatCode>
                  <c:ptCount val="1"/>
                  <c:pt idx="0">
                    <c:v>0.151205801622968</c:v>
                  </c:pt>
                </c:numCache>
              </c:numRef>
            </c:plus>
            <c:minus>
              <c:numRef>
                <c:f>'Fig 1 g-i (NAc AP OTA)'!$E$36</c:f>
                <c:numCache>
                  <c:formatCode>General</c:formatCode>
                  <c:ptCount val="1"/>
                  <c:pt idx="0">
                    <c:v>0.151205801622968</c:v>
                  </c:pt>
                </c:numCache>
              </c:numRef>
            </c:minus>
          </c:errBars>
          <c:val>
            <c:numRef>
              <c:f>'Fig 1 g-i (NAc AP OTA)'!$C$36</c:f>
              <c:numCache>
                <c:formatCode>0.000</c:formatCode>
                <c:ptCount val="1"/>
                <c:pt idx="0">
                  <c:v>0.348518518518519</c:v>
                </c:pt>
              </c:numCache>
            </c:numRef>
          </c:val>
        </c:ser>
        <c:ser>
          <c:idx val="1"/>
          <c:order val="1"/>
          <c:tx>
            <c:strRef>
              <c:f>'Fig 1 g-i (NAc AP OTA)'!$D$33</c:f>
              <c:strCache>
                <c:ptCount val="1"/>
                <c:pt idx="0">
                  <c:v>NAc A.P. OTA </c:v>
                </c:pt>
              </c:strCache>
            </c:strRef>
          </c:tx>
          <c:invertIfNegative val="0"/>
          <c:errBars>
            <c:errBarType val="both"/>
            <c:errValType val="cust"/>
            <c:noEndCap val="1"/>
            <c:plus>
              <c:numRef>
                <c:f>'Fig 1 g-i (NAc AP OTA)'!$F$36</c:f>
                <c:numCache>
                  <c:formatCode>General</c:formatCode>
                  <c:ptCount val="1"/>
                  <c:pt idx="0">
                    <c:v>0.124952049164261</c:v>
                  </c:pt>
                </c:numCache>
              </c:numRef>
            </c:plus>
            <c:minus>
              <c:numRef>
                <c:f>'Fig 1 g-i (NAc AP OTA)'!$F$36</c:f>
                <c:numCache>
                  <c:formatCode>General</c:formatCode>
                  <c:ptCount val="1"/>
                  <c:pt idx="0">
                    <c:v>0.124952049164261</c:v>
                  </c:pt>
                </c:numCache>
              </c:numRef>
            </c:minus>
          </c:errBars>
          <c:val>
            <c:numRef>
              <c:f>'Fig 1 g-i (NAc AP OTA)'!$D$36</c:f>
              <c:numCache>
                <c:formatCode>0.000</c:formatCode>
                <c:ptCount val="1"/>
                <c:pt idx="0">
                  <c:v>-0.118585858585859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8477624"/>
        <c:axId val="2093293400"/>
      </c:barChart>
      <c:catAx>
        <c:axId val="2118477624"/>
        <c:scaling>
          <c:orientation val="minMax"/>
        </c:scaling>
        <c:delete val="1"/>
        <c:axPos val="b"/>
        <c:majorTickMark val="out"/>
        <c:minorTickMark val="none"/>
        <c:tickLblPos val="nextTo"/>
        <c:crossAx val="2093293400"/>
        <c:crosses val="autoZero"/>
        <c:auto val="1"/>
        <c:lblAlgn val="ctr"/>
        <c:lblOffset val="100"/>
        <c:noMultiLvlLbl val="0"/>
      </c:catAx>
      <c:valAx>
        <c:axId val="2093293400"/>
        <c:scaling>
          <c:orientation val="minMax"/>
          <c:max val="0.55"/>
          <c:min val="-0.2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subtracted preference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2118477624"/>
        <c:crosses val="autoZero"/>
        <c:crossBetween val="between"/>
        <c:majorUnit val="0.2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 1 g-i (NAc AP OTA)'!$C$33</c:f>
              <c:strCache>
                <c:ptCount val="1"/>
                <c:pt idx="0">
                  <c:v>NAc A.P. SALINE</c:v>
                </c:pt>
              </c:strCache>
            </c:strRef>
          </c:tx>
          <c:invertIfNegative val="0"/>
          <c:errBars>
            <c:errBarType val="both"/>
            <c:errValType val="cust"/>
            <c:noEndCap val="1"/>
            <c:plus>
              <c:numRef>
                <c:f>'Fig 1 g-i (NAc AP OTA)'!$E$37</c:f>
                <c:numCache>
                  <c:formatCode>General</c:formatCode>
                  <c:ptCount val="1"/>
                  <c:pt idx="0">
                    <c:v>0.266411767691583</c:v>
                  </c:pt>
                </c:numCache>
              </c:numRef>
            </c:plus>
            <c:minus>
              <c:numRef>
                <c:f>'Fig 1 g-i (NAc AP OTA)'!$E$37</c:f>
                <c:numCache>
                  <c:formatCode>General</c:formatCode>
                  <c:ptCount val="1"/>
                  <c:pt idx="0">
                    <c:v>0.266411767691583</c:v>
                  </c:pt>
                </c:numCache>
              </c:numRef>
            </c:minus>
          </c:errBars>
          <c:val>
            <c:numRef>
              <c:f>'Fig 1 g-i (NAc AP OTA)'!$C$37</c:f>
              <c:numCache>
                <c:formatCode>0.000</c:formatCode>
                <c:ptCount val="1"/>
                <c:pt idx="0">
                  <c:v>1.523891273873523</c:v>
                </c:pt>
              </c:numCache>
            </c:numRef>
          </c:val>
        </c:ser>
        <c:ser>
          <c:idx val="1"/>
          <c:order val="1"/>
          <c:tx>
            <c:strRef>
              <c:f>'Fig 1 g-i (NAc AP OTA)'!$D$33</c:f>
              <c:strCache>
                <c:ptCount val="1"/>
                <c:pt idx="0">
                  <c:v>NAc A.P. OTA </c:v>
                </c:pt>
              </c:strCache>
            </c:strRef>
          </c:tx>
          <c:invertIfNegative val="0"/>
          <c:errBars>
            <c:errBarType val="both"/>
            <c:errValType val="cust"/>
            <c:noEndCap val="1"/>
            <c:plus>
              <c:numRef>
                <c:f>'Fig 1 g-i (NAc AP OTA)'!$F$37</c:f>
                <c:numCache>
                  <c:formatCode>General</c:formatCode>
                  <c:ptCount val="1"/>
                  <c:pt idx="0">
                    <c:v>0.0937720251164391</c:v>
                  </c:pt>
                </c:numCache>
              </c:numRef>
            </c:plus>
            <c:minus>
              <c:numRef>
                <c:f>'Fig 1 g-i (NAc AP OTA)'!$F$37</c:f>
                <c:numCache>
                  <c:formatCode>General</c:formatCode>
                  <c:ptCount val="1"/>
                  <c:pt idx="0">
                    <c:v>0.0937720251164391</c:v>
                  </c:pt>
                </c:numCache>
              </c:numRef>
            </c:minus>
          </c:errBars>
          <c:val>
            <c:numRef>
              <c:f>'Fig 1 g-i (NAc AP OTA)'!$D$37</c:f>
              <c:numCache>
                <c:formatCode>0.000</c:formatCode>
                <c:ptCount val="1"/>
                <c:pt idx="0">
                  <c:v>0.923357724791548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3193528"/>
        <c:axId val="2119133048"/>
      </c:barChart>
      <c:catAx>
        <c:axId val="2093193528"/>
        <c:scaling>
          <c:orientation val="minMax"/>
        </c:scaling>
        <c:delete val="1"/>
        <c:axPos val="b"/>
        <c:majorTickMark val="out"/>
        <c:minorTickMark val="none"/>
        <c:tickLblPos val="nextTo"/>
        <c:crossAx val="2119133048"/>
        <c:crossesAt val="1.0"/>
        <c:auto val="1"/>
        <c:lblAlgn val="ctr"/>
        <c:lblOffset val="100"/>
        <c:noMultiLvlLbl val="0"/>
      </c:catAx>
      <c:valAx>
        <c:axId val="2119133048"/>
        <c:scaling>
          <c:orientation val="minMax"/>
          <c:max val="1.8"/>
          <c:min val="0.7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normalized preference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crossAx val="2093193528"/>
        <c:crosses val="autoZero"/>
        <c:crossBetween val="between"/>
        <c:majorUnit val="0.2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chart" Target="../charts/chart12.xml"/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292100</xdr:colOff>
      <xdr:row>38</xdr:row>
      <xdr:rowOff>127000</xdr:rowOff>
    </xdr:from>
    <xdr:to>
      <xdr:col>8</xdr:col>
      <xdr:colOff>698500</xdr:colOff>
      <xdr:row>54</xdr:row>
      <xdr:rowOff>50800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298450</xdr:colOff>
      <xdr:row>56</xdr:row>
      <xdr:rowOff>76200</xdr:rowOff>
    </xdr:from>
    <xdr:to>
      <xdr:col>8</xdr:col>
      <xdr:colOff>685800</xdr:colOff>
      <xdr:row>72</xdr:row>
      <xdr:rowOff>76200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520700</xdr:colOff>
      <xdr:row>39</xdr:row>
      <xdr:rowOff>38100</xdr:rowOff>
    </xdr:from>
    <xdr:to>
      <xdr:col>3</xdr:col>
      <xdr:colOff>317500</xdr:colOff>
      <xdr:row>54</xdr:row>
      <xdr:rowOff>88900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533400</xdr:colOff>
      <xdr:row>39</xdr:row>
      <xdr:rowOff>12700</xdr:rowOff>
    </xdr:from>
    <xdr:to>
      <xdr:col>5</xdr:col>
      <xdr:colOff>1104900</xdr:colOff>
      <xdr:row>54</xdr:row>
      <xdr:rowOff>88900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520700</xdr:colOff>
      <xdr:row>55</xdr:row>
      <xdr:rowOff>50800</xdr:rowOff>
    </xdr:from>
    <xdr:to>
      <xdr:col>3</xdr:col>
      <xdr:colOff>304800</xdr:colOff>
      <xdr:row>71</xdr:row>
      <xdr:rowOff>114300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558800</xdr:colOff>
      <xdr:row>56</xdr:row>
      <xdr:rowOff>0</xdr:rowOff>
    </xdr:from>
    <xdr:to>
      <xdr:col>5</xdr:col>
      <xdr:colOff>1066800</xdr:colOff>
      <xdr:row>72</xdr:row>
      <xdr:rowOff>25400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55</xdr:row>
      <xdr:rowOff>139700</xdr:rowOff>
    </xdr:from>
    <xdr:to>
      <xdr:col>3</xdr:col>
      <xdr:colOff>660400</xdr:colOff>
      <xdr:row>71</xdr:row>
      <xdr:rowOff>127000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55</xdr:row>
      <xdr:rowOff>139700</xdr:rowOff>
    </xdr:from>
    <xdr:to>
      <xdr:col>6</xdr:col>
      <xdr:colOff>812800</xdr:colOff>
      <xdr:row>71</xdr:row>
      <xdr:rowOff>127000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25400</xdr:colOff>
      <xdr:row>39</xdr:row>
      <xdr:rowOff>139700</xdr:rowOff>
    </xdr:from>
    <xdr:to>
      <xdr:col>3</xdr:col>
      <xdr:colOff>647700</xdr:colOff>
      <xdr:row>54</xdr:row>
      <xdr:rowOff>139700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977900</xdr:colOff>
      <xdr:row>39</xdr:row>
      <xdr:rowOff>139700</xdr:rowOff>
    </xdr:from>
    <xdr:to>
      <xdr:col>6</xdr:col>
      <xdr:colOff>812800</xdr:colOff>
      <xdr:row>55</xdr:row>
      <xdr:rowOff>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901700</xdr:colOff>
      <xdr:row>56</xdr:row>
      <xdr:rowOff>0</xdr:rowOff>
    </xdr:from>
    <xdr:to>
      <xdr:col>10</xdr:col>
      <xdr:colOff>495300</xdr:colOff>
      <xdr:row>71</xdr:row>
      <xdr:rowOff>127000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40</xdr:row>
      <xdr:rowOff>0</xdr:rowOff>
    </xdr:from>
    <xdr:to>
      <xdr:col>10</xdr:col>
      <xdr:colOff>508000</xdr:colOff>
      <xdr:row>55</xdr:row>
      <xdr:rowOff>50800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I174"/>
  <sheetViews>
    <sheetView tabSelected="1" workbookViewId="0">
      <selection activeCell="B1" sqref="A1:XFD1048576"/>
    </sheetView>
  </sheetViews>
  <sheetFormatPr baseColWidth="10" defaultRowHeight="12" x14ac:dyDescent="0"/>
  <cols>
    <col min="1" max="1" width="10.83203125" style="18"/>
    <col min="2" max="2" width="10.83203125" style="21"/>
    <col min="3" max="3" width="15.6640625" style="21" customWidth="1"/>
    <col min="4" max="4" width="13.5" style="21" customWidth="1"/>
    <col min="5" max="5" width="14.1640625" style="21" customWidth="1"/>
    <col min="6" max="6" width="16" style="21" customWidth="1"/>
    <col min="7" max="7" width="14.1640625" style="21" customWidth="1"/>
    <col min="8" max="8" width="12.83203125" style="21" customWidth="1"/>
    <col min="9" max="9" width="12.1640625" style="21" customWidth="1"/>
    <col min="10" max="10" width="14.5" style="21" customWidth="1"/>
    <col min="11" max="11" width="10.5" style="21" customWidth="1"/>
    <col min="12" max="12" width="11.6640625" style="21" customWidth="1"/>
    <col min="13" max="13" width="13.1640625" style="21" customWidth="1"/>
    <col min="14" max="39" width="10.83203125" style="21"/>
    <col min="40" max="40" width="12" style="21" customWidth="1"/>
    <col min="41" max="60" width="10.83203125" style="21"/>
    <col min="61" max="16384" width="10.83203125" style="18"/>
  </cols>
  <sheetData>
    <row r="1" spans="2:76" ht="15">
      <c r="B1" s="82" t="s">
        <v>11</v>
      </c>
      <c r="C1" s="88">
        <v>426</v>
      </c>
      <c r="D1" s="88">
        <v>427</v>
      </c>
      <c r="E1" s="88">
        <v>428</v>
      </c>
      <c r="F1" s="88">
        <v>429</v>
      </c>
      <c r="G1" s="88">
        <v>430</v>
      </c>
      <c r="H1" s="88">
        <v>1465</v>
      </c>
      <c r="I1" s="88">
        <v>1466</v>
      </c>
      <c r="J1" s="88">
        <v>1467</v>
      </c>
      <c r="K1" s="88">
        <v>1458</v>
      </c>
      <c r="L1" s="88">
        <v>1459</v>
      </c>
      <c r="M1" s="88">
        <v>1460</v>
      </c>
      <c r="N1" s="88">
        <v>1461</v>
      </c>
      <c r="O1" s="88">
        <v>1462</v>
      </c>
      <c r="P1" s="88">
        <v>393</v>
      </c>
      <c r="Q1" s="88">
        <v>394</v>
      </c>
      <c r="R1" s="88">
        <v>391</v>
      </c>
      <c r="S1" s="88">
        <v>398</v>
      </c>
      <c r="T1" s="89">
        <v>400</v>
      </c>
      <c r="V1" s="82" t="s">
        <v>11</v>
      </c>
      <c r="W1" s="88">
        <v>483</v>
      </c>
      <c r="X1" s="88">
        <v>484</v>
      </c>
      <c r="Y1" s="88">
        <v>485</v>
      </c>
      <c r="Z1" s="88">
        <v>487</v>
      </c>
      <c r="AA1" s="88">
        <v>488</v>
      </c>
      <c r="AB1" s="88">
        <v>489</v>
      </c>
      <c r="AC1" s="88">
        <v>490</v>
      </c>
      <c r="AD1" s="88">
        <v>491</v>
      </c>
      <c r="AE1" s="48">
        <v>493</v>
      </c>
      <c r="AF1" s="48">
        <v>494</v>
      </c>
      <c r="AG1" s="48">
        <v>495</v>
      </c>
      <c r="AH1" s="48">
        <v>496</v>
      </c>
      <c r="AI1" s="48">
        <v>497</v>
      </c>
      <c r="AJ1" s="48">
        <v>498</v>
      </c>
      <c r="AK1" s="91">
        <v>500</v>
      </c>
      <c r="BX1" s="17"/>
    </row>
    <row r="2" spans="2:76" customFormat="1" ht="15">
      <c r="B2" s="9" t="s">
        <v>33</v>
      </c>
      <c r="C2" s="19">
        <v>39534</v>
      </c>
      <c r="D2" s="19">
        <v>39534</v>
      </c>
      <c r="E2" s="19">
        <v>39534</v>
      </c>
      <c r="F2" s="19">
        <v>39534</v>
      </c>
      <c r="G2" s="19">
        <v>39534</v>
      </c>
      <c r="H2" s="19">
        <v>39609</v>
      </c>
      <c r="I2" s="19">
        <v>39609</v>
      </c>
      <c r="J2" s="19">
        <v>39609</v>
      </c>
      <c r="K2" s="19">
        <v>39609</v>
      </c>
      <c r="L2" s="19">
        <v>39609</v>
      </c>
      <c r="M2" s="19">
        <v>39609</v>
      </c>
      <c r="N2" s="19">
        <v>39609</v>
      </c>
      <c r="O2" s="19">
        <v>39609</v>
      </c>
      <c r="P2" s="19">
        <v>39623</v>
      </c>
      <c r="Q2" s="19">
        <v>39623</v>
      </c>
      <c r="R2" s="19">
        <v>39623</v>
      </c>
      <c r="S2" s="19">
        <v>39623</v>
      </c>
      <c r="T2" s="25">
        <v>39623</v>
      </c>
      <c r="U2" s="21"/>
      <c r="V2" s="9" t="s">
        <v>33</v>
      </c>
      <c r="W2" s="19">
        <v>39637</v>
      </c>
      <c r="X2" s="19">
        <v>39637</v>
      </c>
      <c r="Y2" s="19">
        <v>39637</v>
      </c>
      <c r="Z2" s="19">
        <v>39637</v>
      </c>
      <c r="AA2" s="19">
        <v>39637</v>
      </c>
      <c r="AB2" s="19">
        <v>39637</v>
      </c>
      <c r="AC2" s="19">
        <v>39637</v>
      </c>
      <c r="AD2" s="19">
        <v>39637</v>
      </c>
      <c r="AE2" s="49">
        <v>39630</v>
      </c>
      <c r="AF2" s="49">
        <v>39630</v>
      </c>
      <c r="AG2" s="49">
        <v>39630</v>
      </c>
      <c r="AH2" s="49">
        <v>39630</v>
      </c>
      <c r="AI2" s="49">
        <v>39630</v>
      </c>
      <c r="AJ2" s="49">
        <v>39630</v>
      </c>
      <c r="AK2" s="92">
        <v>39630</v>
      </c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</row>
    <row r="3" spans="2:76" customFormat="1" ht="15">
      <c r="B3" s="9" t="s">
        <v>34</v>
      </c>
      <c r="C3" s="19">
        <v>39536</v>
      </c>
      <c r="D3" s="19">
        <v>39536</v>
      </c>
      <c r="E3" s="19">
        <v>39536</v>
      </c>
      <c r="F3" s="19">
        <v>39536</v>
      </c>
      <c r="G3" s="19">
        <v>39536</v>
      </c>
      <c r="H3" s="19">
        <v>39611</v>
      </c>
      <c r="I3" s="19">
        <v>39611</v>
      </c>
      <c r="J3" s="19">
        <v>39611</v>
      </c>
      <c r="K3" s="19">
        <v>39611</v>
      </c>
      <c r="L3" s="19">
        <v>39611</v>
      </c>
      <c r="M3" s="19">
        <v>39611</v>
      </c>
      <c r="N3" s="19">
        <v>39611</v>
      </c>
      <c r="O3" s="19">
        <v>39611</v>
      </c>
      <c r="P3" s="19">
        <v>39625</v>
      </c>
      <c r="Q3" s="19">
        <v>39625</v>
      </c>
      <c r="R3" s="19">
        <v>39625</v>
      </c>
      <c r="S3" s="19">
        <v>39625</v>
      </c>
      <c r="T3" s="25">
        <v>39625</v>
      </c>
      <c r="U3" s="21"/>
      <c r="V3" s="9" t="s">
        <v>34</v>
      </c>
      <c r="W3" s="19">
        <v>39639</v>
      </c>
      <c r="X3" s="19">
        <v>39639</v>
      </c>
      <c r="Y3" s="19">
        <v>39639</v>
      </c>
      <c r="Z3" s="19">
        <v>39639</v>
      </c>
      <c r="AA3" s="19">
        <v>39639</v>
      </c>
      <c r="AB3" s="19">
        <v>39639</v>
      </c>
      <c r="AC3" s="19">
        <v>39639</v>
      </c>
      <c r="AD3" s="19">
        <v>39639</v>
      </c>
      <c r="AE3" s="49">
        <v>39632</v>
      </c>
      <c r="AF3" s="49">
        <v>39632</v>
      </c>
      <c r="AG3" s="49">
        <v>39632</v>
      </c>
      <c r="AH3" s="49">
        <v>39632</v>
      </c>
      <c r="AI3" s="49">
        <v>39632</v>
      </c>
      <c r="AJ3" s="49">
        <v>39632</v>
      </c>
      <c r="AK3" s="92">
        <v>39632</v>
      </c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</row>
    <row r="4" spans="2:76" ht="15">
      <c r="B4" s="9" t="s">
        <v>32</v>
      </c>
      <c r="C4" s="7" t="s">
        <v>37</v>
      </c>
      <c r="D4" s="7" t="s">
        <v>37</v>
      </c>
      <c r="E4" s="7" t="s">
        <v>37</v>
      </c>
      <c r="F4" s="7" t="s">
        <v>37</v>
      </c>
      <c r="G4" s="7" t="s">
        <v>37</v>
      </c>
      <c r="H4" s="7" t="s">
        <v>37</v>
      </c>
      <c r="I4" s="7" t="s">
        <v>37</v>
      </c>
      <c r="J4" s="7" t="s">
        <v>37</v>
      </c>
      <c r="K4" s="7" t="s">
        <v>37</v>
      </c>
      <c r="L4" s="7" t="s">
        <v>37</v>
      </c>
      <c r="M4" s="7" t="s">
        <v>37</v>
      </c>
      <c r="N4" s="7" t="s">
        <v>37</v>
      </c>
      <c r="O4" s="7" t="s">
        <v>37</v>
      </c>
      <c r="P4" s="7" t="s">
        <v>37</v>
      </c>
      <c r="Q4" s="7" t="s">
        <v>37</v>
      </c>
      <c r="R4" s="7" t="s">
        <v>37</v>
      </c>
      <c r="S4" s="7" t="s">
        <v>37</v>
      </c>
      <c r="T4" s="10" t="s">
        <v>37</v>
      </c>
      <c r="V4" s="9" t="s">
        <v>32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  <c r="AH4" s="7" t="s">
        <v>43</v>
      </c>
      <c r="AI4" s="7" t="s">
        <v>43</v>
      </c>
      <c r="AJ4" s="7" t="s">
        <v>43</v>
      </c>
      <c r="AK4" s="10" t="s">
        <v>43</v>
      </c>
      <c r="BX4" s="47"/>
    </row>
    <row r="5" spans="2:76" customFormat="1">
      <c r="B5" s="1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16"/>
      <c r="U5" s="21"/>
      <c r="V5" s="15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16"/>
    </row>
    <row r="6" spans="2:76" ht="15">
      <c r="B6" s="9" t="s">
        <v>9</v>
      </c>
      <c r="C6" s="7"/>
      <c r="D6" s="7"/>
      <c r="E6" s="7"/>
      <c r="F6" s="7"/>
      <c r="H6" s="8"/>
      <c r="I6" s="8"/>
      <c r="J6" s="8"/>
      <c r="K6" s="8"/>
      <c r="L6" s="8"/>
      <c r="M6" s="8"/>
      <c r="N6" s="8"/>
      <c r="O6" s="8"/>
      <c r="P6" s="8"/>
      <c r="T6" s="24"/>
      <c r="V6" s="9" t="s">
        <v>9</v>
      </c>
      <c r="AK6" s="24"/>
      <c r="BX6" s="46"/>
    </row>
    <row r="7" spans="2:76" ht="15">
      <c r="B7" s="9" t="s">
        <v>0</v>
      </c>
      <c r="C7" s="21">
        <f>18*60+57</f>
        <v>1137</v>
      </c>
      <c r="D7" s="83">
        <f>11*60+2</f>
        <v>662</v>
      </c>
      <c r="E7" s="21">
        <f>15*60+12</f>
        <v>912</v>
      </c>
      <c r="F7" s="83">
        <f>13*60+37</f>
        <v>817</v>
      </c>
      <c r="G7" s="21">
        <f>15*60+22</f>
        <v>922</v>
      </c>
      <c r="H7" s="26">
        <f>15*60+31</f>
        <v>931</v>
      </c>
      <c r="I7" s="21">
        <f>19*60+29</f>
        <v>1169</v>
      </c>
      <c r="J7" s="26">
        <f>14*60+8</f>
        <v>848</v>
      </c>
      <c r="K7" s="26">
        <f>13*60+58</f>
        <v>838</v>
      </c>
      <c r="L7" s="21">
        <f>18*60+19</f>
        <v>1099</v>
      </c>
      <c r="M7" s="26">
        <f>14*60+10</f>
        <v>850</v>
      </c>
      <c r="N7" s="21">
        <f>18*60+58</f>
        <v>1138</v>
      </c>
      <c r="O7" s="26">
        <f>18*60+55</f>
        <v>1135</v>
      </c>
      <c r="P7" s="21">
        <f>10*60+5</f>
        <v>605</v>
      </c>
      <c r="Q7" s="84">
        <f>16*60</f>
        <v>960</v>
      </c>
      <c r="R7" s="21">
        <f>19*60+43</f>
        <v>1183</v>
      </c>
      <c r="S7" s="21">
        <f>13*60+27</f>
        <v>807</v>
      </c>
      <c r="T7" s="24">
        <f>14*60+12</f>
        <v>852</v>
      </c>
      <c r="V7" s="9" t="s">
        <v>0</v>
      </c>
      <c r="W7" s="28">
        <f>13*60+35</f>
        <v>815</v>
      </c>
      <c r="X7" s="21">
        <f>12*60+25</f>
        <v>745</v>
      </c>
      <c r="Y7" s="28">
        <f>19*60+47</f>
        <v>1187</v>
      </c>
      <c r="Z7" s="85">
        <f>9*60+15</f>
        <v>555</v>
      </c>
      <c r="AA7" s="21">
        <f>18*60+56</f>
        <v>1136</v>
      </c>
      <c r="AB7" s="85">
        <f>13*60+31</f>
        <v>811</v>
      </c>
      <c r="AC7" s="21">
        <f>11*60+1</f>
        <v>661</v>
      </c>
      <c r="AD7" s="85">
        <f>10*60+14</f>
        <v>614</v>
      </c>
      <c r="AE7" s="50">
        <v>725</v>
      </c>
      <c r="AF7" s="42">
        <v>630</v>
      </c>
      <c r="AG7" s="50">
        <v>986</v>
      </c>
      <c r="AH7" s="42">
        <v>726</v>
      </c>
      <c r="AI7" s="86">
        <v>979</v>
      </c>
      <c r="AJ7" s="42">
        <v>781</v>
      </c>
      <c r="AK7" s="93">
        <v>763</v>
      </c>
      <c r="BX7" s="22"/>
    </row>
    <row r="8" spans="2:76" ht="15">
      <c r="B8" s="9" t="s">
        <v>1</v>
      </c>
      <c r="C8" s="83">
        <f>11*60+3</f>
        <v>663</v>
      </c>
      <c r="D8" s="21">
        <f>18*60+58</f>
        <v>1138</v>
      </c>
      <c r="E8" s="83">
        <f>14*60+48</f>
        <v>888</v>
      </c>
      <c r="F8" s="21">
        <f>16*60+23</f>
        <v>983</v>
      </c>
      <c r="G8" s="83">
        <f>14*60+38</f>
        <v>878</v>
      </c>
      <c r="H8" s="21">
        <f>14*60+29</f>
        <v>869</v>
      </c>
      <c r="I8" s="26">
        <f>10*60+31</f>
        <v>631</v>
      </c>
      <c r="J8" s="21">
        <f>15*60+52</f>
        <v>952</v>
      </c>
      <c r="K8" s="21">
        <f>16*60+1</f>
        <v>961</v>
      </c>
      <c r="L8" s="26">
        <f>11*60+41</f>
        <v>701</v>
      </c>
      <c r="M8" s="21">
        <f>15*60+50</f>
        <v>950</v>
      </c>
      <c r="N8" s="26">
        <f>11*60+3</f>
        <v>663</v>
      </c>
      <c r="O8" s="21">
        <f>11*60+5</f>
        <v>665</v>
      </c>
      <c r="P8" s="84">
        <f>19*60+55</f>
        <v>1195</v>
      </c>
      <c r="Q8" s="21">
        <f>13*60+60</f>
        <v>840</v>
      </c>
      <c r="R8" s="26">
        <f>10*60+17</f>
        <v>617</v>
      </c>
      <c r="S8" s="26">
        <f>16*60+33</f>
        <v>993</v>
      </c>
      <c r="T8" s="90">
        <f>15*60+48</f>
        <v>948</v>
      </c>
      <c r="V8" s="9" t="s">
        <v>1</v>
      </c>
      <c r="W8" s="21">
        <f>16*60+25</f>
        <v>985</v>
      </c>
      <c r="X8" s="28">
        <f>17*60+25</f>
        <v>1045</v>
      </c>
      <c r="Y8" s="21">
        <f>10*60+13</f>
        <v>613</v>
      </c>
      <c r="Z8" s="21">
        <f>20*60+45</f>
        <v>1245</v>
      </c>
      <c r="AA8" s="85">
        <f>11*60+4</f>
        <v>664</v>
      </c>
      <c r="AB8" s="21">
        <f>16*60+29</f>
        <v>989</v>
      </c>
      <c r="AC8" s="85">
        <f>18*60+59</f>
        <v>1139</v>
      </c>
      <c r="AD8" s="21">
        <f>19*60+45</f>
        <v>1185</v>
      </c>
      <c r="AE8" s="42">
        <v>1075</v>
      </c>
      <c r="AF8" s="50">
        <v>1170</v>
      </c>
      <c r="AG8" s="42">
        <v>814</v>
      </c>
      <c r="AH8" s="50">
        <v>1073</v>
      </c>
      <c r="AI8" s="42">
        <v>821</v>
      </c>
      <c r="AJ8" s="86">
        <v>1019</v>
      </c>
      <c r="AK8" s="94">
        <v>1037</v>
      </c>
      <c r="BX8" s="22"/>
    </row>
    <row r="9" spans="2:76" ht="15">
      <c r="B9" s="15"/>
      <c r="T9" s="24"/>
      <c r="V9" s="15"/>
      <c r="AK9" s="24"/>
      <c r="BX9" s="46"/>
    </row>
    <row r="10" spans="2:76" ht="15">
      <c r="B10" s="9" t="s">
        <v>10</v>
      </c>
      <c r="C10" s="7"/>
      <c r="D10" s="7"/>
      <c r="E10" s="7"/>
      <c r="F10" s="7"/>
      <c r="P10" s="21">
        <f>2*60+5</f>
        <v>125</v>
      </c>
      <c r="Q10" s="21">
        <f>2*60+55</f>
        <v>175</v>
      </c>
      <c r="R10" s="21">
        <f>2*60+35</f>
        <v>155</v>
      </c>
      <c r="S10" s="21">
        <f>1*60+54</f>
        <v>114</v>
      </c>
      <c r="T10" s="24">
        <f>2*60+28</f>
        <v>148</v>
      </c>
      <c r="V10" s="9" t="s">
        <v>10</v>
      </c>
      <c r="AK10" s="24"/>
      <c r="BX10" s="46"/>
    </row>
    <row r="11" spans="2:76" ht="15">
      <c r="B11" s="9" t="s">
        <v>0</v>
      </c>
      <c r="C11" s="21">
        <f>15*60+58</f>
        <v>958</v>
      </c>
      <c r="D11" s="83">
        <f>18*60+45</f>
        <v>1125</v>
      </c>
      <c r="E11" s="21">
        <f>12*60+59</f>
        <v>779</v>
      </c>
      <c r="F11" s="83">
        <f>20*60+47</f>
        <v>1247</v>
      </c>
      <c r="G11" s="21">
        <f>17*60+48</f>
        <v>1068</v>
      </c>
      <c r="H11" s="26">
        <f>17*60+53</f>
        <v>1073</v>
      </c>
      <c r="I11" s="21">
        <f>13*60+15</f>
        <v>795</v>
      </c>
      <c r="J11" s="26">
        <f>14*60+18</f>
        <v>858</v>
      </c>
      <c r="K11" s="26">
        <f>20*60+57</f>
        <v>1257</v>
      </c>
      <c r="L11" s="21">
        <f>13*60+45</f>
        <v>825</v>
      </c>
      <c r="M11" s="26">
        <f>16*60+41</f>
        <v>1001</v>
      </c>
      <c r="N11" s="21">
        <f>16*60+2</f>
        <v>962</v>
      </c>
      <c r="O11" s="26">
        <f>18*60+48</f>
        <v>1128</v>
      </c>
      <c r="P11" s="21">
        <f>8*60+4</f>
        <v>484</v>
      </c>
      <c r="Q11" s="84">
        <f>16*60+7</f>
        <v>967</v>
      </c>
      <c r="R11" s="21">
        <f>6*60+8</f>
        <v>368</v>
      </c>
      <c r="S11" s="21">
        <f>12*60+52</f>
        <v>772</v>
      </c>
      <c r="T11" s="24">
        <f>13*60+33</f>
        <v>813</v>
      </c>
      <c r="V11" s="9" t="s">
        <v>0</v>
      </c>
      <c r="W11" s="28">
        <f>26*60+3</f>
        <v>1563</v>
      </c>
      <c r="X11" s="21">
        <f>14*60+55</f>
        <v>895</v>
      </c>
      <c r="Y11" s="28">
        <f>25*60+10</f>
        <v>1510</v>
      </c>
      <c r="Z11" s="26">
        <f>12*60+11</f>
        <v>731</v>
      </c>
      <c r="AA11" s="21">
        <f>19*60+14</f>
        <v>1154</v>
      </c>
      <c r="AB11" s="26">
        <f>16*60+35</f>
        <v>995</v>
      </c>
      <c r="AC11" s="21">
        <f>15*60+35</f>
        <v>935</v>
      </c>
      <c r="AD11" s="26">
        <f>2*60+42</f>
        <v>162</v>
      </c>
      <c r="AE11" s="50">
        <v>568</v>
      </c>
      <c r="AF11" s="42">
        <v>834</v>
      </c>
      <c r="AG11" s="50">
        <v>1040</v>
      </c>
      <c r="AH11" s="42">
        <v>914</v>
      </c>
      <c r="AI11" s="87">
        <f>17*60+17</f>
        <v>1037</v>
      </c>
      <c r="AJ11" s="21">
        <f>17*60+25</f>
        <v>1045</v>
      </c>
      <c r="AK11" s="24">
        <f>17*60+40</f>
        <v>1060</v>
      </c>
      <c r="BX11" s="22"/>
    </row>
    <row r="12" spans="2:76" ht="15">
      <c r="B12" s="9" t="s">
        <v>1</v>
      </c>
      <c r="C12" s="83">
        <f>14*60+2</f>
        <v>842</v>
      </c>
      <c r="D12" s="21">
        <f>11*60+15</f>
        <v>675</v>
      </c>
      <c r="E12" s="83">
        <f>17*60+1</f>
        <v>1021</v>
      </c>
      <c r="F12" s="21">
        <f>9*60+13</f>
        <v>553</v>
      </c>
      <c r="G12" s="83">
        <f>12*60+12</f>
        <v>732</v>
      </c>
      <c r="H12" s="21">
        <f>12*60+7</f>
        <v>727</v>
      </c>
      <c r="I12" s="26">
        <f>16*60+45</f>
        <v>1005</v>
      </c>
      <c r="J12" s="21">
        <f>15*60+42</f>
        <v>942</v>
      </c>
      <c r="K12" s="21">
        <f>9*60+3</f>
        <v>543</v>
      </c>
      <c r="L12" s="26">
        <f>16*60+14</f>
        <v>974</v>
      </c>
      <c r="M12" s="21">
        <f>13*60+19</f>
        <v>799</v>
      </c>
      <c r="N12" s="26">
        <f>13*60+58</f>
        <v>838</v>
      </c>
      <c r="O12" s="21">
        <f>11*60+12</f>
        <v>672</v>
      </c>
      <c r="P12" s="84">
        <f>21*60+56</f>
        <v>1316</v>
      </c>
      <c r="Q12" s="21">
        <f>13*60+53</f>
        <v>833</v>
      </c>
      <c r="R12" s="26">
        <f>23*60+52</f>
        <v>1432</v>
      </c>
      <c r="S12" s="26">
        <f>17*60+8</f>
        <v>1028</v>
      </c>
      <c r="T12" s="90">
        <f>16*60+27</f>
        <v>987</v>
      </c>
      <c r="V12" s="9" t="s">
        <v>1</v>
      </c>
      <c r="W12" s="21">
        <f>3*60+56</f>
        <v>236</v>
      </c>
      <c r="X12" s="28">
        <f>15*60+5</f>
        <v>905</v>
      </c>
      <c r="Y12" s="21">
        <f>4*60+50</f>
        <v>290</v>
      </c>
      <c r="Z12" s="21">
        <f>17*60+49</f>
        <v>1069</v>
      </c>
      <c r="AA12" s="26">
        <f>10*60+46</f>
        <v>646</v>
      </c>
      <c r="AB12" s="21">
        <f>13*60+25</f>
        <v>805</v>
      </c>
      <c r="AC12" s="26">
        <f>14*60+24</f>
        <v>864</v>
      </c>
      <c r="AD12" s="21">
        <f>27*60+17</f>
        <v>1637</v>
      </c>
      <c r="AE12" s="42">
        <v>1232</v>
      </c>
      <c r="AF12" s="50">
        <v>965</v>
      </c>
      <c r="AG12" s="42">
        <v>760</v>
      </c>
      <c r="AH12" s="50">
        <v>885</v>
      </c>
      <c r="AI12" s="21">
        <f>12*60+42</f>
        <v>762</v>
      </c>
      <c r="AJ12" s="87">
        <f>12*60+35</f>
        <v>755</v>
      </c>
      <c r="AK12" s="54">
        <f>12*60+20</f>
        <v>740</v>
      </c>
      <c r="BX12" s="22"/>
    </row>
    <row r="13" spans="2:76">
      <c r="B13" s="15"/>
      <c r="T13" s="24"/>
      <c r="V13" s="15"/>
      <c r="AK13" s="24"/>
      <c r="BX13" s="22"/>
    </row>
    <row r="14" spans="2:76">
      <c r="B14" s="9" t="s">
        <v>9</v>
      </c>
      <c r="C14" s="7"/>
      <c r="D14" s="7"/>
      <c r="E14" s="7"/>
      <c r="F14" s="7"/>
      <c r="T14" s="24"/>
      <c r="V14" s="9" t="s">
        <v>9</v>
      </c>
      <c r="AK14" s="24"/>
      <c r="BX14" s="22"/>
    </row>
    <row r="15" spans="2:76">
      <c r="B15" s="9" t="s">
        <v>6</v>
      </c>
      <c r="C15" s="7">
        <f>C8</f>
        <v>663</v>
      </c>
      <c r="D15" s="7">
        <f>D7</f>
        <v>662</v>
      </c>
      <c r="E15" s="7">
        <f>E8</f>
        <v>888</v>
      </c>
      <c r="F15" s="7">
        <f>F7</f>
        <v>817</v>
      </c>
      <c r="G15" s="7">
        <f>G8</f>
        <v>878</v>
      </c>
      <c r="H15" s="7">
        <f>H7</f>
        <v>931</v>
      </c>
      <c r="I15" s="7">
        <f>I8</f>
        <v>631</v>
      </c>
      <c r="J15" s="7">
        <f>J7</f>
        <v>848</v>
      </c>
      <c r="K15" s="7">
        <f>K7</f>
        <v>838</v>
      </c>
      <c r="L15" s="7">
        <f>L8</f>
        <v>701</v>
      </c>
      <c r="M15" s="7">
        <f>M7</f>
        <v>850</v>
      </c>
      <c r="N15" s="7">
        <f>N8</f>
        <v>663</v>
      </c>
      <c r="O15" s="7">
        <f>O7</f>
        <v>1135</v>
      </c>
      <c r="P15" s="34">
        <f>P8</f>
        <v>1195</v>
      </c>
      <c r="Q15" s="34">
        <f>Q7</f>
        <v>960</v>
      </c>
      <c r="R15" s="7">
        <f>R8</f>
        <v>617</v>
      </c>
      <c r="S15" s="7">
        <f>S8</f>
        <v>993</v>
      </c>
      <c r="T15" s="10">
        <f>T8</f>
        <v>948</v>
      </c>
      <c r="V15" s="9" t="s">
        <v>6</v>
      </c>
      <c r="W15" s="34">
        <f>W7</f>
        <v>815</v>
      </c>
      <c r="X15" s="34">
        <f>X8</f>
        <v>1045</v>
      </c>
      <c r="Y15" s="34">
        <f>Y7</f>
        <v>1187</v>
      </c>
      <c r="Z15" s="7">
        <f>Z7</f>
        <v>555</v>
      </c>
      <c r="AA15" s="7">
        <f>AA8</f>
        <v>664</v>
      </c>
      <c r="AB15" s="7">
        <f>AB7</f>
        <v>811</v>
      </c>
      <c r="AC15" s="7">
        <f>AC8</f>
        <v>1139</v>
      </c>
      <c r="AD15" s="7">
        <f>AD7</f>
        <v>614</v>
      </c>
      <c r="AE15" s="7">
        <f>AE7</f>
        <v>725</v>
      </c>
      <c r="AF15" s="7">
        <f>AF8</f>
        <v>1170</v>
      </c>
      <c r="AG15" s="7">
        <f>AG7</f>
        <v>986</v>
      </c>
      <c r="AH15" s="7">
        <f>AH8</f>
        <v>1073</v>
      </c>
      <c r="AI15" s="34">
        <f>AI7</f>
        <v>979</v>
      </c>
      <c r="AJ15" s="34">
        <f>AJ8</f>
        <v>1019</v>
      </c>
      <c r="AK15" s="37">
        <f>AK8</f>
        <v>1037</v>
      </c>
      <c r="BX15" s="12"/>
    </row>
    <row r="16" spans="2:76">
      <c r="B16" s="9" t="s">
        <v>5</v>
      </c>
      <c r="C16" s="7">
        <f>C7</f>
        <v>1137</v>
      </c>
      <c r="D16" s="7">
        <f>D8</f>
        <v>1138</v>
      </c>
      <c r="E16" s="7">
        <f>E7</f>
        <v>912</v>
      </c>
      <c r="F16" s="7">
        <f>F8</f>
        <v>983</v>
      </c>
      <c r="G16" s="7">
        <f>G7</f>
        <v>922</v>
      </c>
      <c r="H16" s="7">
        <f>H8</f>
        <v>869</v>
      </c>
      <c r="I16" s="7">
        <f>I7</f>
        <v>1169</v>
      </c>
      <c r="J16" s="7">
        <f>J8</f>
        <v>952</v>
      </c>
      <c r="K16" s="7">
        <f>K8</f>
        <v>961</v>
      </c>
      <c r="L16" s="7">
        <f>L7</f>
        <v>1099</v>
      </c>
      <c r="M16" s="7">
        <f>M8</f>
        <v>950</v>
      </c>
      <c r="N16" s="7">
        <f>N7</f>
        <v>1138</v>
      </c>
      <c r="O16" s="7">
        <f>O8</f>
        <v>665</v>
      </c>
      <c r="P16" s="7">
        <f>P7</f>
        <v>605</v>
      </c>
      <c r="Q16" s="7">
        <f>Q8</f>
        <v>840</v>
      </c>
      <c r="R16" s="7">
        <f>R7</f>
        <v>1183</v>
      </c>
      <c r="S16" s="7">
        <f>S7</f>
        <v>807</v>
      </c>
      <c r="T16" s="10">
        <f>T7</f>
        <v>852</v>
      </c>
      <c r="V16" s="9" t="s">
        <v>5</v>
      </c>
      <c r="W16" s="7">
        <f>W8</f>
        <v>985</v>
      </c>
      <c r="X16" s="7">
        <f>X7</f>
        <v>745</v>
      </c>
      <c r="Y16" s="7">
        <f>Y8</f>
        <v>613</v>
      </c>
      <c r="Z16" s="7">
        <f>Z8</f>
        <v>1245</v>
      </c>
      <c r="AA16" s="7">
        <f>AA7</f>
        <v>1136</v>
      </c>
      <c r="AB16" s="7">
        <f>AB8</f>
        <v>989</v>
      </c>
      <c r="AC16" s="7">
        <f>AC7</f>
        <v>661</v>
      </c>
      <c r="AD16" s="7">
        <f>AD8</f>
        <v>1185</v>
      </c>
      <c r="AE16" s="7">
        <f>AE8</f>
        <v>1075</v>
      </c>
      <c r="AF16" s="7">
        <f>AF7</f>
        <v>630</v>
      </c>
      <c r="AG16" s="7">
        <f>AG8</f>
        <v>814</v>
      </c>
      <c r="AH16" s="7">
        <f>AH7</f>
        <v>726</v>
      </c>
      <c r="AI16" s="7">
        <f>AI8</f>
        <v>821</v>
      </c>
      <c r="AJ16" s="7">
        <f>AJ7</f>
        <v>781</v>
      </c>
      <c r="AK16" s="10">
        <f>AK7</f>
        <v>763</v>
      </c>
      <c r="BX16" s="12"/>
    </row>
    <row r="17" spans="2:217">
      <c r="B17" s="15"/>
      <c r="T17" s="24"/>
      <c r="V17" s="15"/>
      <c r="AK17" s="24"/>
      <c r="BX17" s="12"/>
    </row>
    <row r="18" spans="2:217">
      <c r="B18" s="9" t="s">
        <v>10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0"/>
      <c r="V18" s="9" t="s">
        <v>10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10"/>
      <c r="BX18" s="12"/>
    </row>
    <row r="19" spans="2:217">
      <c r="B19" s="9" t="s">
        <v>6</v>
      </c>
      <c r="C19" s="40">
        <f>C12</f>
        <v>842</v>
      </c>
      <c r="D19" s="40">
        <f>D11</f>
        <v>1125</v>
      </c>
      <c r="E19" s="40">
        <f>E12</f>
        <v>1021</v>
      </c>
      <c r="F19" s="40">
        <f>F11</f>
        <v>1247</v>
      </c>
      <c r="G19" s="40">
        <f>G12</f>
        <v>732</v>
      </c>
      <c r="H19" s="40">
        <f>H11</f>
        <v>1073</v>
      </c>
      <c r="I19" s="40">
        <f>I12</f>
        <v>1005</v>
      </c>
      <c r="J19" s="40">
        <f>J11</f>
        <v>858</v>
      </c>
      <c r="K19" s="40">
        <f>K11</f>
        <v>1257</v>
      </c>
      <c r="L19" s="40">
        <f>L12</f>
        <v>974</v>
      </c>
      <c r="M19" s="40">
        <f>M11</f>
        <v>1001</v>
      </c>
      <c r="N19" s="40">
        <f>N12</f>
        <v>838</v>
      </c>
      <c r="O19" s="40">
        <f>O11</f>
        <v>1128</v>
      </c>
      <c r="P19" s="34">
        <f>P12</f>
        <v>1316</v>
      </c>
      <c r="Q19" s="11">
        <f>Q11</f>
        <v>967</v>
      </c>
      <c r="R19" s="40">
        <f>R12</f>
        <v>1432</v>
      </c>
      <c r="S19" s="40">
        <f>S12</f>
        <v>1028</v>
      </c>
      <c r="T19" s="13">
        <f>T12</f>
        <v>987</v>
      </c>
      <c r="V19" s="9" t="s">
        <v>6</v>
      </c>
      <c r="W19" s="11">
        <f>W11</f>
        <v>1563</v>
      </c>
      <c r="X19" s="11">
        <f>X12</f>
        <v>905</v>
      </c>
      <c r="Y19" s="11">
        <f>Y11</f>
        <v>1510</v>
      </c>
      <c r="Z19" s="40">
        <f>Z11</f>
        <v>731</v>
      </c>
      <c r="AA19" s="40">
        <f>AA12</f>
        <v>646</v>
      </c>
      <c r="AB19" s="40">
        <f>AB11</f>
        <v>995</v>
      </c>
      <c r="AC19" s="40">
        <f>AC12</f>
        <v>864</v>
      </c>
      <c r="AD19" s="40">
        <f>AD11</f>
        <v>162</v>
      </c>
      <c r="AE19" s="40">
        <f>AE11</f>
        <v>568</v>
      </c>
      <c r="AF19" s="40">
        <f>AF12</f>
        <v>965</v>
      </c>
      <c r="AG19" s="40">
        <f>AG11</f>
        <v>1040</v>
      </c>
      <c r="AH19" s="40">
        <f>AH12</f>
        <v>885</v>
      </c>
      <c r="AI19" s="11">
        <f>AI11</f>
        <v>1037</v>
      </c>
      <c r="AJ19" s="34">
        <f>AJ12</f>
        <v>755</v>
      </c>
      <c r="AK19" s="14">
        <f>AK12</f>
        <v>740</v>
      </c>
      <c r="BX19" s="12"/>
    </row>
    <row r="20" spans="2:217">
      <c r="B20" s="9" t="s">
        <v>5</v>
      </c>
      <c r="C20" s="7">
        <f>C11</f>
        <v>958</v>
      </c>
      <c r="D20" s="7">
        <f>D12</f>
        <v>675</v>
      </c>
      <c r="E20" s="7">
        <f>E11</f>
        <v>779</v>
      </c>
      <c r="F20" s="7">
        <f>F12</f>
        <v>553</v>
      </c>
      <c r="G20" s="7">
        <f>G11</f>
        <v>1068</v>
      </c>
      <c r="H20" s="7">
        <f>H12</f>
        <v>727</v>
      </c>
      <c r="I20" s="7">
        <f>I11</f>
        <v>795</v>
      </c>
      <c r="J20" s="7">
        <f>J12</f>
        <v>942</v>
      </c>
      <c r="K20" s="7">
        <f>K12</f>
        <v>543</v>
      </c>
      <c r="L20" s="7">
        <f>L11</f>
        <v>825</v>
      </c>
      <c r="M20" s="7">
        <f>M12</f>
        <v>799</v>
      </c>
      <c r="N20" s="7">
        <f>N11</f>
        <v>962</v>
      </c>
      <c r="O20" s="7">
        <f>O12</f>
        <v>672</v>
      </c>
      <c r="P20" s="12">
        <f>P11</f>
        <v>484</v>
      </c>
      <c r="Q20" s="7">
        <f>Q12</f>
        <v>833</v>
      </c>
      <c r="R20" s="7">
        <f>R11</f>
        <v>368</v>
      </c>
      <c r="S20" s="7">
        <f>S11</f>
        <v>772</v>
      </c>
      <c r="T20" s="10">
        <f>T11</f>
        <v>813</v>
      </c>
      <c r="V20" s="9" t="s">
        <v>5</v>
      </c>
      <c r="W20" s="7">
        <f>W12</f>
        <v>236</v>
      </c>
      <c r="X20" s="7">
        <f>X11</f>
        <v>895</v>
      </c>
      <c r="Y20" s="7">
        <f>Y12</f>
        <v>290</v>
      </c>
      <c r="Z20" s="7">
        <f>Z12</f>
        <v>1069</v>
      </c>
      <c r="AA20" s="7">
        <f>AA11</f>
        <v>1154</v>
      </c>
      <c r="AB20" s="7">
        <f>AB12</f>
        <v>805</v>
      </c>
      <c r="AC20" s="7">
        <f>AC11</f>
        <v>935</v>
      </c>
      <c r="AD20" s="7">
        <f>AD12</f>
        <v>1637</v>
      </c>
      <c r="AE20" s="7">
        <f>AE12</f>
        <v>1232</v>
      </c>
      <c r="AF20" s="7">
        <f>AF11</f>
        <v>834</v>
      </c>
      <c r="AG20" s="7">
        <f>AG12</f>
        <v>760</v>
      </c>
      <c r="AH20" s="7">
        <f>AH11</f>
        <v>914</v>
      </c>
      <c r="AI20" s="7">
        <f>AI12</f>
        <v>762</v>
      </c>
      <c r="AJ20" s="12">
        <f>AJ11</f>
        <v>1045</v>
      </c>
      <c r="AK20" s="10">
        <f>AK11</f>
        <v>1060</v>
      </c>
      <c r="BX20" s="12"/>
    </row>
    <row r="21" spans="2:217"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0"/>
      <c r="V21" s="9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0"/>
      <c r="BX21" s="12"/>
    </row>
    <row r="22" spans="2:217">
      <c r="B22" s="15"/>
      <c r="T22" s="24"/>
      <c r="V22" s="15"/>
      <c r="AK22" s="24"/>
      <c r="BW22" s="22"/>
      <c r="BX22" s="12"/>
      <c r="BY22" s="22"/>
      <c r="BZ22" s="22"/>
      <c r="CA22" s="22"/>
      <c r="CB22" s="22"/>
      <c r="CC22" s="22"/>
      <c r="CD22" s="22"/>
    </row>
    <row r="23" spans="2:217">
      <c r="B23" s="9" t="s">
        <v>0</v>
      </c>
      <c r="C23" s="12" t="s">
        <v>4</v>
      </c>
      <c r="D23" s="40" t="s">
        <v>16</v>
      </c>
      <c r="E23" s="12" t="s">
        <v>4</v>
      </c>
      <c r="F23" s="40" t="s">
        <v>16</v>
      </c>
      <c r="G23" s="12" t="s">
        <v>4</v>
      </c>
      <c r="H23" s="40" t="s">
        <v>16</v>
      </c>
      <c r="I23" s="12" t="s">
        <v>4</v>
      </c>
      <c r="J23" s="40" t="s">
        <v>16</v>
      </c>
      <c r="K23" s="40" t="s">
        <v>16</v>
      </c>
      <c r="L23" s="12" t="s">
        <v>4</v>
      </c>
      <c r="M23" s="40" t="s">
        <v>16</v>
      </c>
      <c r="N23" s="12" t="s">
        <v>4</v>
      </c>
      <c r="O23" s="40" t="s">
        <v>16</v>
      </c>
      <c r="P23" s="7" t="s">
        <v>8</v>
      </c>
      <c r="Q23" s="11" t="s">
        <v>4</v>
      </c>
      <c r="R23" s="12" t="s">
        <v>4</v>
      </c>
      <c r="S23" s="12" t="s">
        <v>4</v>
      </c>
      <c r="T23" s="39" t="s">
        <v>4</v>
      </c>
      <c r="V23" s="9" t="s">
        <v>0</v>
      </c>
      <c r="W23" s="11" t="s">
        <v>4</v>
      </c>
      <c r="X23" s="7" t="s">
        <v>8</v>
      </c>
      <c r="Y23" s="11" t="s">
        <v>4</v>
      </c>
      <c r="Z23" s="40" t="s">
        <v>16</v>
      </c>
      <c r="AA23" s="12" t="s">
        <v>4</v>
      </c>
      <c r="AB23" s="40" t="s">
        <v>16</v>
      </c>
      <c r="AC23" s="12" t="s">
        <v>4</v>
      </c>
      <c r="AD23" s="40" t="s">
        <v>16</v>
      </c>
      <c r="AE23" s="40" t="s">
        <v>16</v>
      </c>
      <c r="AF23" s="12" t="s">
        <v>4</v>
      </c>
      <c r="AG23" s="40" t="s">
        <v>16</v>
      </c>
      <c r="AH23" s="12" t="s">
        <v>4</v>
      </c>
      <c r="AI23" s="11" t="s">
        <v>4</v>
      </c>
      <c r="AJ23" s="7" t="s">
        <v>8</v>
      </c>
      <c r="AK23" s="10" t="s">
        <v>8</v>
      </c>
      <c r="BW23" s="22"/>
      <c r="BX23" s="12"/>
      <c r="BY23" s="22"/>
      <c r="BZ23" s="22"/>
      <c r="CA23" s="22"/>
      <c r="CB23" s="22"/>
      <c r="CC23" s="22"/>
      <c r="CD23" s="22"/>
    </row>
    <row r="24" spans="2:217">
      <c r="B24" s="9" t="s">
        <v>1</v>
      </c>
      <c r="C24" s="40" t="s">
        <v>8</v>
      </c>
      <c r="D24" s="21" t="s">
        <v>15</v>
      </c>
      <c r="E24" s="40" t="s">
        <v>8</v>
      </c>
      <c r="F24" s="21" t="s">
        <v>15</v>
      </c>
      <c r="G24" s="40" t="s">
        <v>8</v>
      </c>
      <c r="H24" s="21" t="s">
        <v>15</v>
      </c>
      <c r="I24" s="40" t="s">
        <v>8</v>
      </c>
      <c r="J24" s="21" t="s">
        <v>15</v>
      </c>
      <c r="K24" s="21" t="s">
        <v>15</v>
      </c>
      <c r="L24" s="40" t="s">
        <v>8</v>
      </c>
      <c r="M24" s="21" t="s">
        <v>15</v>
      </c>
      <c r="N24" s="40" t="s">
        <v>8</v>
      </c>
      <c r="O24" s="21" t="s">
        <v>15</v>
      </c>
      <c r="P24" s="11" t="s">
        <v>4</v>
      </c>
      <c r="Q24" s="7" t="s">
        <v>8</v>
      </c>
      <c r="R24" s="40" t="s">
        <v>8</v>
      </c>
      <c r="S24" s="40" t="s">
        <v>8</v>
      </c>
      <c r="T24" s="13" t="s">
        <v>8</v>
      </c>
      <c r="V24" s="9" t="s">
        <v>1</v>
      </c>
      <c r="W24" s="7" t="s">
        <v>8</v>
      </c>
      <c r="X24" s="11" t="s">
        <v>4</v>
      </c>
      <c r="Y24" s="7" t="s">
        <v>8</v>
      </c>
      <c r="Z24" s="21" t="s">
        <v>15</v>
      </c>
      <c r="AA24" s="40" t="s">
        <v>8</v>
      </c>
      <c r="AB24" s="21" t="s">
        <v>15</v>
      </c>
      <c r="AC24" s="40" t="s">
        <v>8</v>
      </c>
      <c r="AD24" s="21" t="s">
        <v>15</v>
      </c>
      <c r="AE24" s="21" t="s">
        <v>15</v>
      </c>
      <c r="AF24" s="40" t="s">
        <v>8</v>
      </c>
      <c r="AG24" s="21" t="s">
        <v>15</v>
      </c>
      <c r="AH24" s="40" t="s">
        <v>8</v>
      </c>
      <c r="AI24" s="7" t="s">
        <v>8</v>
      </c>
      <c r="AJ24" s="11" t="s">
        <v>4</v>
      </c>
      <c r="AK24" s="14" t="s">
        <v>4</v>
      </c>
      <c r="BW24" s="22"/>
      <c r="BX24" s="12"/>
      <c r="BY24" s="22"/>
      <c r="BZ24" s="22"/>
      <c r="CA24" s="22"/>
      <c r="CB24" s="22"/>
      <c r="CC24" s="22"/>
      <c r="CD24" s="22"/>
    </row>
    <row r="25" spans="2:217">
      <c r="B25" s="9" t="s">
        <v>6</v>
      </c>
      <c r="C25" s="23" t="s">
        <v>13</v>
      </c>
      <c r="D25" s="40" t="s">
        <v>16</v>
      </c>
      <c r="E25" s="23" t="s">
        <v>13</v>
      </c>
      <c r="F25" s="40" t="s">
        <v>16</v>
      </c>
      <c r="G25" s="23" t="s">
        <v>13</v>
      </c>
      <c r="H25" s="40" t="s">
        <v>16</v>
      </c>
      <c r="I25" s="40" t="s">
        <v>16</v>
      </c>
      <c r="J25" s="40" t="s">
        <v>16</v>
      </c>
      <c r="K25" s="40" t="s">
        <v>16</v>
      </c>
      <c r="L25" s="40" t="s">
        <v>16</v>
      </c>
      <c r="M25" s="40" t="s">
        <v>16</v>
      </c>
      <c r="N25" s="40" t="s">
        <v>16</v>
      </c>
      <c r="O25" s="40" t="s">
        <v>16</v>
      </c>
      <c r="P25" s="11" t="s">
        <v>4</v>
      </c>
      <c r="Q25" s="11" t="s">
        <v>4</v>
      </c>
      <c r="R25" s="40" t="s">
        <v>16</v>
      </c>
      <c r="S25" s="40" t="s">
        <v>16</v>
      </c>
      <c r="T25" s="13" t="s">
        <v>16</v>
      </c>
      <c r="V25" s="9" t="s">
        <v>6</v>
      </c>
      <c r="W25" s="11" t="s">
        <v>4</v>
      </c>
      <c r="X25" s="11" t="s">
        <v>4</v>
      </c>
      <c r="Y25" s="11" t="s">
        <v>4</v>
      </c>
      <c r="Z25" s="40" t="s">
        <v>16</v>
      </c>
      <c r="AA25" s="23" t="s">
        <v>13</v>
      </c>
      <c r="AB25" s="40" t="s">
        <v>16</v>
      </c>
      <c r="AC25" s="23" t="s">
        <v>13</v>
      </c>
      <c r="AD25" s="40" t="s">
        <v>16</v>
      </c>
      <c r="AE25" s="40" t="s">
        <v>16</v>
      </c>
      <c r="AF25" s="40" t="s">
        <v>16</v>
      </c>
      <c r="AG25" s="40" t="s">
        <v>16</v>
      </c>
      <c r="AH25" s="40" t="s">
        <v>16</v>
      </c>
      <c r="AI25" s="11" t="s">
        <v>4</v>
      </c>
      <c r="AJ25" s="11" t="s">
        <v>4</v>
      </c>
      <c r="AK25" s="14" t="s">
        <v>4</v>
      </c>
      <c r="BW25" s="22"/>
      <c r="BX25" s="12"/>
      <c r="BY25" s="22"/>
      <c r="BZ25" s="22"/>
      <c r="CA25" s="22"/>
      <c r="CB25" s="22"/>
      <c r="CC25" s="22"/>
      <c r="CD25" s="22"/>
    </row>
    <row r="26" spans="2:217" customFormat="1">
      <c r="B26" s="9" t="s">
        <v>5</v>
      </c>
      <c r="C26" s="7" t="s">
        <v>14</v>
      </c>
      <c r="D26" s="7" t="s">
        <v>15</v>
      </c>
      <c r="E26" s="7" t="s">
        <v>14</v>
      </c>
      <c r="F26" s="7" t="s">
        <v>15</v>
      </c>
      <c r="G26" s="7" t="s">
        <v>14</v>
      </c>
      <c r="H26" s="7" t="s">
        <v>15</v>
      </c>
      <c r="I26" s="7" t="s">
        <v>15</v>
      </c>
      <c r="J26" s="7" t="s">
        <v>15</v>
      </c>
      <c r="K26" s="7" t="s">
        <v>15</v>
      </c>
      <c r="L26" s="7" t="s">
        <v>15</v>
      </c>
      <c r="M26" s="7" t="s">
        <v>15</v>
      </c>
      <c r="N26" s="7" t="s">
        <v>15</v>
      </c>
      <c r="O26" s="7" t="s">
        <v>15</v>
      </c>
      <c r="P26" s="7" t="s">
        <v>8</v>
      </c>
      <c r="Q26" s="7" t="s">
        <v>8</v>
      </c>
      <c r="R26" s="7" t="s">
        <v>15</v>
      </c>
      <c r="S26" s="7" t="s">
        <v>15</v>
      </c>
      <c r="T26" s="10" t="s">
        <v>15</v>
      </c>
      <c r="U26" s="21"/>
      <c r="V26" s="9" t="s">
        <v>5</v>
      </c>
      <c r="W26" s="7" t="s">
        <v>8</v>
      </c>
      <c r="X26" s="7" t="s">
        <v>8</v>
      </c>
      <c r="Y26" s="7" t="s">
        <v>8</v>
      </c>
      <c r="Z26" s="7" t="s">
        <v>15</v>
      </c>
      <c r="AA26" s="7" t="s">
        <v>14</v>
      </c>
      <c r="AB26" s="7" t="s">
        <v>15</v>
      </c>
      <c r="AC26" s="7" t="s">
        <v>14</v>
      </c>
      <c r="AD26" s="7" t="s">
        <v>15</v>
      </c>
      <c r="AE26" s="7" t="s">
        <v>15</v>
      </c>
      <c r="AF26" s="7" t="s">
        <v>15</v>
      </c>
      <c r="AG26" s="7" t="s">
        <v>15</v>
      </c>
      <c r="AH26" s="7" t="s">
        <v>15</v>
      </c>
      <c r="AI26" s="7" t="s">
        <v>8</v>
      </c>
      <c r="AJ26" s="7" t="s">
        <v>8</v>
      </c>
      <c r="AK26" s="10" t="s">
        <v>8</v>
      </c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</row>
    <row r="27" spans="2:217">
      <c r="B27" s="15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16"/>
      <c r="V27" s="15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16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W27" s="22"/>
      <c r="BX27" s="12"/>
      <c r="BY27" s="22"/>
      <c r="BZ27" s="22"/>
      <c r="CA27" s="22"/>
      <c r="CB27" s="22"/>
      <c r="CC27" s="22"/>
      <c r="CD27" s="22"/>
    </row>
    <row r="28" spans="2:217" s="22" customFormat="1">
      <c r="B28" s="33" t="s">
        <v>2</v>
      </c>
      <c r="C28" s="5">
        <f t="shared" ref="C28:T28" si="0">C15</f>
        <v>663</v>
      </c>
      <c r="D28" s="5">
        <f t="shared" si="0"/>
        <v>662</v>
      </c>
      <c r="E28" s="5">
        <f t="shared" si="0"/>
        <v>888</v>
      </c>
      <c r="F28" s="5">
        <f t="shared" si="0"/>
        <v>817</v>
      </c>
      <c r="G28" s="5">
        <f t="shared" si="0"/>
        <v>878</v>
      </c>
      <c r="H28" s="5">
        <f t="shared" si="0"/>
        <v>931</v>
      </c>
      <c r="I28" s="5">
        <f t="shared" si="0"/>
        <v>631</v>
      </c>
      <c r="J28" s="5">
        <f t="shared" si="0"/>
        <v>848</v>
      </c>
      <c r="K28" s="5">
        <f t="shared" si="0"/>
        <v>838</v>
      </c>
      <c r="L28" s="5">
        <f t="shared" si="0"/>
        <v>701</v>
      </c>
      <c r="M28" s="5">
        <f t="shared" si="0"/>
        <v>850</v>
      </c>
      <c r="N28" s="5">
        <f t="shared" si="0"/>
        <v>663</v>
      </c>
      <c r="O28" s="5">
        <f t="shared" si="0"/>
        <v>1135</v>
      </c>
      <c r="P28" s="5">
        <f t="shared" si="0"/>
        <v>1195</v>
      </c>
      <c r="Q28" s="5">
        <f t="shared" si="0"/>
        <v>960</v>
      </c>
      <c r="R28" s="5">
        <f t="shared" si="0"/>
        <v>617</v>
      </c>
      <c r="S28" s="5">
        <f t="shared" si="0"/>
        <v>993</v>
      </c>
      <c r="T28" s="6">
        <f t="shared" si="0"/>
        <v>948</v>
      </c>
      <c r="V28" s="33" t="s">
        <v>2</v>
      </c>
      <c r="W28" s="5">
        <f t="shared" ref="W28:AK28" si="1">W15</f>
        <v>815</v>
      </c>
      <c r="X28" s="5">
        <f t="shared" si="1"/>
        <v>1045</v>
      </c>
      <c r="Y28" s="5">
        <f t="shared" si="1"/>
        <v>1187</v>
      </c>
      <c r="Z28" s="5">
        <f t="shared" si="1"/>
        <v>555</v>
      </c>
      <c r="AA28" s="5">
        <f t="shared" si="1"/>
        <v>664</v>
      </c>
      <c r="AB28" s="5">
        <f t="shared" si="1"/>
        <v>811</v>
      </c>
      <c r="AC28" s="5">
        <f t="shared" si="1"/>
        <v>1139</v>
      </c>
      <c r="AD28" s="5">
        <f t="shared" si="1"/>
        <v>614</v>
      </c>
      <c r="AE28" s="5">
        <f t="shared" si="1"/>
        <v>725</v>
      </c>
      <c r="AF28" s="5">
        <f t="shared" si="1"/>
        <v>1170</v>
      </c>
      <c r="AG28" s="5">
        <f t="shared" si="1"/>
        <v>986</v>
      </c>
      <c r="AH28" s="5">
        <f t="shared" si="1"/>
        <v>1073</v>
      </c>
      <c r="AI28" s="5">
        <f t="shared" si="1"/>
        <v>979</v>
      </c>
      <c r="AJ28" s="5">
        <f t="shared" si="1"/>
        <v>1019</v>
      </c>
      <c r="AK28" s="6">
        <f t="shared" si="1"/>
        <v>1037</v>
      </c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X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</row>
    <row r="29" spans="2:217" s="22" customFormat="1">
      <c r="B29" s="33" t="s">
        <v>3</v>
      </c>
      <c r="C29" s="5">
        <f t="shared" ref="C29:T29" si="2">C19</f>
        <v>842</v>
      </c>
      <c r="D29" s="5">
        <f t="shared" si="2"/>
        <v>1125</v>
      </c>
      <c r="E29" s="5">
        <f t="shared" si="2"/>
        <v>1021</v>
      </c>
      <c r="F29" s="5">
        <f t="shared" si="2"/>
        <v>1247</v>
      </c>
      <c r="G29" s="5">
        <f t="shared" si="2"/>
        <v>732</v>
      </c>
      <c r="H29" s="5">
        <f t="shared" si="2"/>
        <v>1073</v>
      </c>
      <c r="I29" s="5">
        <f t="shared" si="2"/>
        <v>1005</v>
      </c>
      <c r="J29" s="5">
        <f t="shared" si="2"/>
        <v>858</v>
      </c>
      <c r="K29" s="5">
        <f t="shared" si="2"/>
        <v>1257</v>
      </c>
      <c r="L29" s="5">
        <f t="shared" si="2"/>
        <v>974</v>
      </c>
      <c r="M29" s="5">
        <f t="shared" si="2"/>
        <v>1001</v>
      </c>
      <c r="N29" s="5">
        <f t="shared" si="2"/>
        <v>838</v>
      </c>
      <c r="O29" s="5">
        <f t="shared" si="2"/>
        <v>1128</v>
      </c>
      <c r="P29" s="5">
        <f t="shared" si="2"/>
        <v>1316</v>
      </c>
      <c r="Q29" s="5">
        <f t="shared" si="2"/>
        <v>967</v>
      </c>
      <c r="R29" s="5">
        <f t="shared" si="2"/>
        <v>1432</v>
      </c>
      <c r="S29" s="5">
        <f t="shared" si="2"/>
        <v>1028</v>
      </c>
      <c r="T29" s="6">
        <f t="shared" si="2"/>
        <v>987</v>
      </c>
      <c r="V29" s="33" t="s">
        <v>3</v>
      </c>
      <c r="W29" s="5">
        <f t="shared" ref="W29:AK29" si="3">W19</f>
        <v>1563</v>
      </c>
      <c r="X29" s="5">
        <f t="shared" si="3"/>
        <v>905</v>
      </c>
      <c r="Y29" s="5">
        <f t="shared" si="3"/>
        <v>1510</v>
      </c>
      <c r="Z29" s="5">
        <f t="shared" si="3"/>
        <v>731</v>
      </c>
      <c r="AA29" s="5">
        <f t="shared" si="3"/>
        <v>646</v>
      </c>
      <c r="AB29" s="5">
        <f t="shared" si="3"/>
        <v>995</v>
      </c>
      <c r="AC29" s="5">
        <f t="shared" si="3"/>
        <v>864</v>
      </c>
      <c r="AD29" s="5">
        <f t="shared" si="3"/>
        <v>162</v>
      </c>
      <c r="AE29" s="5">
        <f t="shared" si="3"/>
        <v>568</v>
      </c>
      <c r="AF29" s="5">
        <f t="shared" si="3"/>
        <v>965</v>
      </c>
      <c r="AG29" s="5">
        <f t="shared" si="3"/>
        <v>1040</v>
      </c>
      <c r="AH29" s="5">
        <f t="shared" si="3"/>
        <v>885</v>
      </c>
      <c r="AI29" s="5">
        <f t="shared" si="3"/>
        <v>1037</v>
      </c>
      <c r="AJ29" s="5">
        <f t="shared" si="3"/>
        <v>755</v>
      </c>
      <c r="AK29" s="6">
        <f t="shared" si="3"/>
        <v>740</v>
      </c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</row>
    <row r="30" spans="2:217" s="22" customFormat="1">
      <c r="B30" s="33" t="s">
        <v>38</v>
      </c>
      <c r="C30" s="44">
        <f t="shared" ref="C30:T30" si="4">(C19-C15)/900</f>
        <v>0.19888888888888889</v>
      </c>
      <c r="D30" s="44">
        <f t="shared" si="4"/>
        <v>0.51444444444444448</v>
      </c>
      <c r="E30" s="44">
        <f t="shared" si="4"/>
        <v>0.14777777777777779</v>
      </c>
      <c r="F30" s="44">
        <f t="shared" si="4"/>
        <v>0.4777777777777778</v>
      </c>
      <c r="G30" s="44">
        <f t="shared" si="4"/>
        <v>-0.16222222222222221</v>
      </c>
      <c r="H30" s="44">
        <f t="shared" si="4"/>
        <v>0.15777777777777777</v>
      </c>
      <c r="I30" s="44">
        <f t="shared" si="4"/>
        <v>0.41555555555555557</v>
      </c>
      <c r="J30" s="44">
        <f t="shared" si="4"/>
        <v>1.1111111111111112E-2</v>
      </c>
      <c r="K30" s="44">
        <f t="shared" si="4"/>
        <v>0.46555555555555556</v>
      </c>
      <c r="L30" s="44">
        <f t="shared" si="4"/>
        <v>0.30333333333333334</v>
      </c>
      <c r="M30" s="44">
        <f t="shared" si="4"/>
        <v>0.16777777777777778</v>
      </c>
      <c r="N30" s="44">
        <f t="shared" si="4"/>
        <v>0.19444444444444445</v>
      </c>
      <c r="O30" s="44">
        <f t="shared" si="4"/>
        <v>-7.7777777777777776E-3</v>
      </c>
      <c r="P30" s="44">
        <f t="shared" si="4"/>
        <v>0.13444444444444445</v>
      </c>
      <c r="Q30" s="44">
        <f t="shared" si="4"/>
        <v>7.7777777777777776E-3</v>
      </c>
      <c r="R30" s="44">
        <f t="shared" si="4"/>
        <v>0.90555555555555556</v>
      </c>
      <c r="S30" s="44">
        <f t="shared" si="4"/>
        <v>3.888888888888889E-2</v>
      </c>
      <c r="T30" s="77">
        <f t="shared" si="4"/>
        <v>4.3333333333333335E-2</v>
      </c>
      <c r="V30" s="33" t="s">
        <v>38</v>
      </c>
      <c r="W30" s="44">
        <f t="shared" ref="W30:AK30" si="5">(W19-W15)/900</f>
        <v>0.83111111111111113</v>
      </c>
      <c r="X30" s="44">
        <f t="shared" si="5"/>
        <v>-0.15555555555555556</v>
      </c>
      <c r="Y30" s="44">
        <f t="shared" si="5"/>
        <v>0.35888888888888887</v>
      </c>
      <c r="Z30" s="44">
        <f t="shared" si="5"/>
        <v>0.19555555555555557</v>
      </c>
      <c r="AA30" s="44">
        <f t="shared" si="5"/>
        <v>-0.02</v>
      </c>
      <c r="AB30" s="44">
        <f t="shared" si="5"/>
        <v>0.20444444444444446</v>
      </c>
      <c r="AC30" s="44">
        <f t="shared" si="5"/>
        <v>-0.30555555555555558</v>
      </c>
      <c r="AD30" s="44">
        <f t="shared" si="5"/>
        <v>-0.50222222222222224</v>
      </c>
      <c r="AE30" s="44">
        <f t="shared" si="5"/>
        <v>-0.17444444444444446</v>
      </c>
      <c r="AF30" s="44">
        <f t="shared" si="5"/>
        <v>-0.22777777777777777</v>
      </c>
      <c r="AG30" s="44">
        <f t="shared" si="5"/>
        <v>0.06</v>
      </c>
      <c r="AH30" s="44">
        <f t="shared" si="5"/>
        <v>-0.2088888888888889</v>
      </c>
      <c r="AI30" s="44">
        <f t="shared" si="5"/>
        <v>6.4444444444444443E-2</v>
      </c>
      <c r="AJ30" s="44">
        <f t="shared" si="5"/>
        <v>-0.29333333333333333</v>
      </c>
      <c r="AK30" s="77">
        <f t="shared" si="5"/>
        <v>-0.33</v>
      </c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</row>
    <row r="31" spans="2:217" s="22" customFormat="1">
      <c r="B31" s="72" t="s">
        <v>7</v>
      </c>
      <c r="C31" s="73">
        <f t="shared" ref="C31:T31" si="6">C19/C15</f>
        <v>1.2699849170437405</v>
      </c>
      <c r="D31" s="73">
        <f t="shared" si="6"/>
        <v>1.6993957703927491</v>
      </c>
      <c r="E31" s="73">
        <f t="shared" si="6"/>
        <v>1.1497747747747749</v>
      </c>
      <c r="F31" s="73">
        <f t="shared" si="6"/>
        <v>1.5263157894736843</v>
      </c>
      <c r="G31" s="73">
        <f t="shared" si="6"/>
        <v>0.83371298405466976</v>
      </c>
      <c r="H31" s="73">
        <f t="shared" si="6"/>
        <v>1.1525241675617615</v>
      </c>
      <c r="I31" s="73">
        <f t="shared" si="6"/>
        <v>1.5927099841521395</v>
      </c>
      <c r="J31" s="73">
        <f t="shared" si="6"/>
        <v>1.0117924528301887</v>
      </c>
      <c r="K31" s="73">
        <f t="shared" si="6"/>
        <v>1.5</v>
      </c>
      <c r="L31" s="73">
        <f t="shared" si="6"/>
        <v>1.3894436519258202</v>
      </c>
      <c r="M31" s="73">
        <f t="shared" si="6"/>
        <v>1.1776470588235295</v>
      </c>
      <c r="N31" s="73">
        <f t="shared" si="6"/>
        <v>1.2639517345399698</v>
      </c>
      <c r="O31" s="73">
        <f t="shared" si="6"/>
        <v>0.99383259911894273</v>
      </c>
      <c r="P31" s="73">
        <f t="shared" si="6"/>
        <v>1.101255230125523</v>
      </c>
      <c r="Q31" s="73">
        <f t="shared" si="6"/>
        <v>1.0072916666666667</v>
      </c>
      <c r="R31" s="73">
        <f t="shared" si="6"/>
        <v>2.3209076175040519</v>
      </c>
      <c r="S31" s="73">
        <f t="shared" si="6"/>
        <v>1.0352467270896273</v>
      </c>
      <c r="T31" s="74">
        <f t="shared" si="6"/>
        <v>1.0411392405063291</v>
      </c>
      <c r="V31" s="72" t="s">
        <v>7</v>
      </c>
      <c r="W31" s="73">
        <f t="shared" ref="W31:AK31" si="7">W19/W15</f>
        <v>1.9177914110429448</v>
      </c>
      <c r="X31" s="73">
        <f t="shared" si="7"/>
        <v>0.86602870813397126</v>
      </c>
      <c r="Y31" s="73">
        <f t="shared" si="7"/>
        <v>1.2721145745577085</v>
      </c>
      <c r="Z31" s="73">
        <f t="shared" si="7"/>
        <v>1.3171171171171172</v>
      </c>
      <c r="AA31" s="73">
        <f t="shared" si="7"/>
        <v>0.97289156626506024</v>
      </c>
      <c r="AB31" s="73">
        <f t="shared" si="7"/>
        <v>1.2268803945745992</v>
      </c>
      <c r="AC31" s="73">
        <f t="shared" si="7"/>
        <v>0.75856014047410014</v>
      </c>
      <c r="AD31" s="73">
        <f t="shared" si="7"/>
        <v>0.26384364820846906</v>
      </c>
      <c r="AE31" s="73">
        <f t="shared" si="7"/>
        <v>0.783448275862069</v>
      </c>
      <c r="AF31" s="73">
        <f t="shared" si="7"/>
        <v>0.82478632478632474</v>
      </c>
      <c r="AG31" s="73">
        <f t="shared" si="7"/>
        <v>1.054766734279919</v>
      </c>
      <c r="AH31" s="73">
        <f t="shared" si="7"/>
        <v>0.82479030754892824</v>
      </c>
      <c r="AI31" s="73">
        <f t="shared" si="7"/>
        <v>1.0592441266598569</v>
      </c>
      <c r="AJ31" s="73">
        <f t="shared" si="7"/>
        <v>0.7409224730127576</v>
      </c>
      <c r="AK31" s="74">
        <f t="shared" si="7"/>
        <v>0.7135969141755063</v>
      </c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</row>
    <row r="32" spans="2:217" s="22" customFormat="1">
      <c r="C32" s="43"/>
      <c r="H32" s="27"/>
      <c r="L32" s="12"/>
      <c r="M32" s="27"/>
      <c r="N32" s="27"/>
      <c r="O32" s="27"/>
      <c r="P32" s="27"/>
      <c r="Q32" s="27"/>
      <c r="R32" s="27"/>
      <c r="S32" s="27"/>
      <c r="T32" s="27"/>
      <c r="U32" s="27"/>
      <c r="V32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</row>
    <row r="33" spans="2:82" s="22" customFormat="1">
      <c r="B33" s="56"/>
      <c r="C33" s="12" t="s">
        <v>37</v>
      </c>
      <c r="D33" s="12" t="s">
        <v>43</v>
      </c>
      <c r="E33" s="27" t="s">
        <v>26</v>
      </c>
      <c r="F33" s="27" t="s">
        <v>27</v>
      </c>
      <c r="G33" s="8"/>
      <c r="H33" s="8"/>
      <c r="I33" s="8"/>
      <c r="J33" s="8"/>
      <c r="L33" s="12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</row>
    <row r="34" spans="2:82" s="22" customFormat="1">
      <c r="B34" s="12" t="s">
        <v>2</v>
      </c>
      <c r="C34" s="69">
        <f>AVERAGE(C15:V15)</f>
        <v>845.44444444444446</v>
      </c>
      <c r="D34" s="69">
        <f>AVERAGE(W15:AK15)</f>
        <v>921.26666666666665</v>
      </c>
      <c r="E34" s="69">
        <f>STDEV(C15:V15)/SQRT($C$38)</f>
        <v>39.679617446090859</v>
      </c>
      <c r="F34" s="69">
        <f>STDEV(W15:AK15)/SQRT($D$38)</f>
        <v>53.692906924176263</v>
      </c>
      <c r="G34" s="8"/>
      <c r="H34" s="8"/>
      <c r="I34" s="8"/>
      <c r="J34" s="8"/>
      <c r="L34" s="12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</row>
    <row r="35" spans="2:82" s="22" customFormat="1" ht="13" customHeight="1">
      <c r="B35" s="12" t="s">
        <v>3</v>
      </c>
      <c r="C35" s="69">
        <f>AVERAGE(C19:V19)</f>
        <v>1046.1666666666667</v>
      </c>
      <c r="D35" s="69">
        <f>AVERAGE(W19:AK19)</f>
        <v>891.06666666666672</v>
      </c>
      <c r="E35" s="69">
        <f>STDEV(C19:V19)/SQRT($C$38)</f>
        <v>42.736940443033276</v>
      </c>
      <c r="F35" s="69">
        <f>STDEV(W19:AK19)/SQRT($D$38)</f>
        <v>88.860697116686481</v>
      </c>
      <c r="G35" s="8"/>
      <c r="H35" s="7" t="s">
        <v>28</v>
      </c>
      <c r="I35" s="7" t="s">
        <v>29</v>
      </c>
      <c r="J35" s="7" t="s">
        <v>30</v>
      </c>
      <c r="L35" s="1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</row>
    <row r="36" spans="2:82" s="22" customFormat="1">
      <c r="B36" s="12" t="s">
        <v>38</v>
      </c>
      <c r="C36" s="57">
        <f>AVERAGE(C30:V30)</f>
        <v>0.22302469135802466</v>
      </c>
      <c r="D36" s="57">
        <f>AVERAGE(W30:AK30)</f>
        <v>-3.3555555555555561E-2</v>
      </c>
      <c r="E36" s="57">
        <f>STDEV(C30:V30)/SQRT($C$38)</f>
        <v>5.9938630598588227E-2</v>
      </c>
      <c r="F36" s="57">
        <f>STDEV(W30:AK30)/SQRT($D$38)</f>
        <v>8.678192038022367E-2</v>
      </c>
      <c r="G36" s="8"/>
      <c r="H36" s="12" t="s">
        <v>12</v>
      </c>
      <c r="I36" s="7" t="s">
        <v>12</v>
      </c>
      <c r="J36" s="43" t="s">
        <v>35</v>
      </c>
      <c r="L36" s="12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</row>
    <row r="37" spans="2:82" s="22" customFormat="1">
      <c r="B37" s="12" t="s">
        <v>7</v>
      </c>
      <c r="C37" s="57">
        <f>AVERAGE(C31:V31)</f>
        <v>1.281495909254676</v>
      </c>
      <c r="D37" s="57">
        <f>AVERAGE(W31:AK31)</f>
        <v>0.97311884777995561</v>
      </c>
      <c r="E37" s="57">
        <f>STDEV(C31:V31)/SQRT($C$38)</f>
        <v>8.2812058100223698E-2</v>
      </c>
      <c r="F37" s="57">
        <f>STDEV(W31:AK31)/SQRT($D$38)</f>
        <v>9.6125886613318154E-2</v>
      </c>
      <c r="G37" s="8"/>
      <c r="H37" s="58">
        <f>TTEST(C20:T20,C16:T16,2,1)</f>
        <v>1.6926010781160882E-3</v>
      </c>
      <c r="I37" s="68">
        <f>TTEST(W19:AK19,W15:AK15,2,1)</f>
        <v>0.70481744799290857</v>
      </c>
      <c r="J37" s="59">
        <f>TTEST(C30:T30,W30:AK30,2,2)</f>
        <v>1.8101715596557186E-2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</row>
    <row r="38" spans="2:82" s="22" customFormat="1">
      <c r="B38" s="12" t="s">
        <v>17</v>
      </c>
      <c r="C38" s="69">
        <f>COUNT(C28:V28)</f>
        <v>18</v>
      </c>
      <c r="D38" s="69">
        <f>COUNT(W28:AK28)</f>
        <v>15</v>
      </c>
      <c r="E38" s="57"/>
      <c r="F38" s="57"/>
      <c r="G38" s="8"/>
      <c r="H38" s="1"/>
      <c r="I38" s="44"/>
      <c r="J38" s="44" t="s">
        <v>36</v>
      </c>
      <c r="L38" s="12"/>
      <c r="M38" s="27"/>
      <c r="N38" s="27"/>
      <c r="O38" s="27"/>
      <c r="P38"/>
      <c r="Q38"/>
      <c r="R38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</row>
    <row r="39" spans="2:82" s="22" customFormat="1">
      <c r="G39" s="8"/>
      <c r="H39"/>
      <c r="I39" s="2"/>
      <c r="J39" s="59">
        <f>TTEST(C31:T31,W31:AK31,2,2)</f>
        <v>2.0425203737268926E-2</v>
      </c>
      <c r="L39" s="12"/>
      <c r="M39" s="27"/>
      <c r="N39" s="27"/>
      <c r="O39" s="27"/>
      <c r="P39"/>
      <c r="Q39"/>
      <c r="R39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</row>
    <row r="40" spans="2:82" s="22" customFormat="1">
      <c r="B40" s="12"/>
      <c r="H40" s="57"/>
      <c r="I40"/>
      <c r="J40"/>
      <c r="K40"/>
      <c r="L40"/>
      <c r="M40" s="27"/>
      <c r="N40" s="27"/>
      <c r="O40" s="27"/>
      <c r="P40"/>
      <c r="Q40"/>
      <c r="R40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</row>
    <row r="41" spans="2:82" s="22" customFormat="1">
      <c r="B41" s="12"/>
      <c r="C41" s="27"/>
      <c r="D41" s="27"/>
      <c r="E41" s="27"/>
      <c r="F41" s="27"/>
      <c r="G41" s="27"/>
      <c r="H41" s="57"/>
      <c r="I41"/>
      <c r="J41"/>
      <c r="K41"/>
      <c r="L41"/>
      <c r="M41" s="27"/>
      <c r="N41" s="27"/>
      <c r="O41" s="27"/>
      <c r="P41"/>
      <c r="Q41"/>
      <c r="R41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</row>
    <row r="42" spans="2:82" s="22" customFormat="1">
      <c r="B42" s="27"/>
      <c r="C42" s="27"/>
      <c r="D42" s="27"/>
      <c r="E42" s="27"/>
      <c r="F42" s="27"/>
      <c r="G42" s="27"/>
      <c r="H42" s="57"/>
      <c r="I42"/>
      <c r="J42"/>
      <c r="K42"/>
      <c r="L42"/>
      <c r="M42" s="27"/>
      <c r="N42" s="27"/>
      <c r="O42" s="27"/>
      <c r="P42"/>
      <c r="Q42"/>
      <c r="R42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</row>
    <row r="43" spans="2:82" s="22" customFormat="1">
      <c r="B43" s="27"/>
      <c r="C43" s="27"/>
      <c r="D43" s="60"/>
      <c r="E43" s="60"/>
      <c r="F43" s="57"/>
      <c r="G43" s="57"/>
      <c r="H43" s="57"/>
      <c r="I43"/>
      <c r="J43"/>
      <c r="K43"/>
      <c r="L43"/>
      <c r="M43" s="61"/>
      <c r="N43" s="61"/>
      <c r="O43" s="27"/>
      <c r="P43"/>
      <c r="Q43"/>
      <c r="R43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</row>
    <row r="44" spans="2:82">
      <c r="B44" s="27"/>
      <c r="C44"/>
      <c r="D44" s="57"/>
      <c r="E44" s="57"/>
      <c r="F44" s="57"/>
      <c r="G44" s="57"/>
      <c r="H44" s="57"/>
      <c r="I44"/>
      <c r="J44"/>
      <c r="K44"/>
      <c r="L44"/>
      <c r="M44" s="27"/>
      <c r="N44" s="27"/>
      <c r="O44" s="27"/>
      <c r="P44" s="27"/>
      <c r="Q44" s="27"/>
      <c r="R44" s="27"/>
      <c r="S44" s="27"/>
      <c r="T44" s="27"/>
      <c r="U44" s="27"/>
      <c r="V44" s="12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BY44" s="22"/>
      <c r="BZ44" s="22"/>
      <c r="CA44" s="22"/>
      <c r="CB44" s="22"/>
      <c r="CC44" s="22"/>
      <c r="CD44" s="22"/>
    </row>
    <row r="45" spans="2:82" ht="15">
      <c r="C45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BX45" s="17"/>
      <c r="BY45" s="17"/>
      <c r="BZ45" s="17"/>
      <c r="CA45" s="46"/>
    </row>
    <row r="46" spans="2:82">
      <c r="C46"/>
    </row>
    <row r="47" spans="2:82">
      <c r="C47"/>
    </row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4"/>
  <sheetViews>
    <sheetView topLeftCell="A34" workbookViewId="0">
      <selection activeCell="J39" sqref="J39"/>
    </sheetView>
  </sheetViews>
  <sheetFormatPr baseColWidth="10" defaultRowHeight="12" x14ac:dyDescent="0"/>
  <cols>
    <col min="1" max="2" width="10.83203125" style="8"/>
    <col min="3" max="3" width="14.83203125" style="8" customWidth="1"/>
    <col min="4" max="4" width="13" style="8" customWidth="1"/>
    <col min="5" max="5" width="11.5" style="8" customWidth="1"/>
    <col min="6" max="6" width="11.83203125" style="8" customWidth="1"/>
    <col min="7" max="7" width="12" style="8" customWidth="1"/>
    <col min="8" max="8" width="13" style="8" customWidth="1"/>
    <col min="9" max="23" width="10.83203125" style="8"/>
    <col min="26" max="16384" width="10.83203125" style="8"/>
  </cols>
  <sheetData>
    <row r="1" spans="1:70" s="62" customFormat="1" ht="15">
      <c r="A1" s="3"/>
      <c r="B1" s="82" t="s">
        <v>11</v>
      </c>
      <c r="C1" s="70" t="s">
        <v>19</v>
      </c>
      <c r="D1" s="70" t="s">
        <v>20</v>
      </c>
      <c r="E1" s="70" t="s">
        <v>21</v>
      </c>
      <c r="F1" s="35">
        <v>1093</v>
      </c>
      <c r="G1" s="35">
        <v>1094</v>
      </c>
      <c r="H1" s="35">
        <v>1960</v>
      </c>
      <c r="I1" s="35">
        <v>1959</v>
      </c>
      <c r="J1" s="35">
        <v>1954</v>
      </c>
      <c r="K1" s="36">
        <v>1966</v>
      </c>
      <c r="M1" s="82" t="s">
        <v>11</v>
      </c>
      <c r="N1" s="70" t="s">
        <v>18</v>
      </c>
      <c r="O1" s="70" t="s">
        <v>22</v>
      </c>
      <c r="P1" s="70" t="s">
        <v>23</v>
      </c>
      <c r="Q1" s="70" t="s">
        <v>24</v>
      </c>
      <c r="R1" s="70" t="s">
        <v>25</v>
      </c>
      <c r="S1" s="35">
        <v>1967</v>
      </c>
      <c r="T1" s="35">
        <v>1968</v>
      </c>
      <c r="U1" s="35">
        <v>1977</v>
      </c>
      <c r="V1" s="35">
        <v>1975</v>
      </c>
      <c r="W1" s="35">
        <v>2000</v>
      </c>
      <c r="X1" s="36">
        <v>1976</v>
      </c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</row>
    <row r="2" spans="1:70" ht="15">
      <c r="A2" s="7"/>
      <c r="B2" s="9" t="s">
        <v>33</v>
      </c>
      <c r="C2" s="19">
        <v>39599</v>
      </c>
      <c r="D2" s="19">
        <v>39599</v>
      </c>
      <c r="E2" s="19">
        <v>39599</v>
      </c>
      <c r="F2" s="4">
        <v>39616</v>
      </c>
      <c r="G2" s="4">
        <v>39616</v>
      </c>
      <c r="H2" s="30">
        <v>39679</v>
      </c>
      <c r="I2" s="30">
        <v>39679</v>
      </c>
      <c r="J2" s="30">
        <v>39679</v>
      </c>
      <c r="K2" s="32">
        <v>39679</v>
      </c>
      <c r="M2" s="9" t="s">
        <v>33</v>
      </c>
      <c r="N2" s="19">
        <v>39599</v>
      </c>
      <c r="O2" s="19">
        <v>39599</v>
      </c>
      <c r="P2" s="19">
        <v>39599</v>
      </c>
      <c r="Q2" s="19">
        <v>39599</v>
      </c>
      <c r="R2" s="19">
        <v>39599</v>
      </c>
      <c r="S2" s="30">
        <v>39684</v>
      </c>
      <c r="T2" s="30">
        <v>39684</v>
      </c>
      <c r="U2" s="30">
        <v>39684</v>
      </c>
      <c r="V2" s="30">
        <v>39684</v>
      </c>
      <c r="W2" s="30">
        <v>39684</v>
      </c>
      <c r="X2" s="32">
        <v>39684</v>
      </c>
    </row>
    <row r="3" spans="1:70" ht="15">
      <c r="A3" s="7"/>
      <c r="B3" s="9" t="s">
        <v>34</v>
      </c>
      <c r="C3" s="19">
        <v>39601</v>
      </c>
      <c r="D3" s="19">
        <v>39601</v>
      </c>
      <c r="E3" s="19">
        <v>39601</v>
      </c>
      <c r="F3" s="4">
        <v>39618</v>
      </c>
      <c r="G3" s="4">
        <v>39618</v>
      </c>
      <c r="H3" s="30">
        <v>39681</v>
      </c>
      <c r="I3" s="30">
        <v>39681</v>
      </c>
      <c r="J3" s="30">
        <v>39681</v>
      </c>
      <c r="K3" s="32">
        <v>39681</v>
      </c>
      <c r="M3" s="9" t="s">
        <v>34</v>
      </c>
      <c r="N3" s="19">
        <v>39601</v>
      </c>
      <c r="O3" s="19">
        <v>39601</v>
      </c>
      <c r="P3" s="19">
        <v>39601</v>
      </c>
      <c r="Q3" s="19">
        <v>39601</v>
      </c>
      <c r="R3" s="19">
        <v>39601</v>
      </c>
      <c r="S3" s="30">
        <v>39686</v>
      </c>
      <c r="T3" s="30">
        <v>39686</v>
      </c>
      <c r="U3" s="30">
        <v>39686</v>
      </c>
      <c r="V3" s="30">
        <v>39686</v>
      </c>
      <c r="W3" s="30">
        <v>39686</v>
      </c>
      <c r="X3" s="32">
        <v>39686</v>
      </c>
    </row>
    <row r="4" spans="1:70">
      <c r="A4" s="7"/>
      <c r="B4" s="9" t="s">
        <v>32</v>
      </c>
      <c r="C4" s="7" t="s">
        <v>39</v>
      </c>
      <c r="D4" s="7" t="s">
        <v>39</v>
      </c>
      <c r="E4" s="7" t="s">
        <v>39</v>
      </c>
      <c r="F4" s="7" t="s">
        <v>39</v>
      </c>
      <c r="G4" s="7" t="s">
        <v>39</v>
      </c>
      <c r="H4" s="7" t="s">
        <v>39</v>
      </c>
      <c r="I4" s="7" t="s">
        <v>39</v>
      </c>
      <c r="J4" s="7" t="s">
        <v>39</v>
      </c>
      <c r="K4" s="10" t="s">
        <v>39</v>
      </c>
      <c r="M4" s="9" t="s">
        <v>32</v>
      </c>
      <c r="N4" s="7" t="s">
        <v>40</v>
      </c>
      <c r="O4" s="7" t="s">
        <v>40</v>
      </c>
      <c r="P4" s="7" t="s">
        <v>40</v>
      </c>
      <c r="Q4" s="7" t="s">
        <v>40</v>
      </c>
      <c r="R4" s="7" t="s">
        <v>40</v>
      </c>
      <c r="S4" s="7" t="s">
        <v>40</v>
      </c>
      <c r="T4" s="7" t="s">
        <v>40</v>
      </c>
      <c r="U4" s="7" t="s">
        <v>40</v>
      </c>
      <c r="V4" s="7" t="s">
        <v>40</v>
      </c>
      <c r="W4" s="7" t="s">
        <v>40</v>
      </c>
      <c r="X4" s="10" t="s">
        <v>40</v>
      </c>
    </row>
    <row r="5" spans="1:70">
      <c r="B5" s="15"/>
      <c r="K5" s="16"/>
      <c r="M5" s="15"/>
      <c r="X5" s="16"/>
    </row>
    <row r="6" spans="1:70">
      <c r="A6" s="7"/>
      <c r="B6" s="9" t="s">
        <v>9</v>
      </c>
      <c r="C6" s="7"/>
      <c r="D6" s="7"/>
      <c r="K6" s="16"/>
      <c r="M6" s="9" t="s">
        <v>9</v>
      </c>
      <c r="N6" s="7"/>
      <c r="O6" s="7"/>
      <c r="X6" s="16"/>
    </row>
    <row r="7" spans="1:70" ht="15">
      <c r="A7" s="7"/>
      <c r="B7" s="9" t="s">
        <v>0</v>
      </c>
      <c r="C7" s="38">
        <v>485</v>
      </c>
      <c r="D7" s="29">
        <v>759</v>
      </c>
      <c r="E7" s="38">
        <v>498</v>
      </c>
      <c r="F7" s="29">
        <v>775</v>
      </c>
      <c r="G7" s="29">
        <v>1188</v>
      </c>
      <c r="H7" s="65">
        <v>1041</v>
      </c>
      <c r="I7" s="29">
        <v>533</v>
      </c>
      <c r="J7" s="65">
        <v>1180</v>
      </c>
      <c r="K7" s="31">
        <v>755</v>
      </c>
      <c r="M7" s="9" t="s">
        <v>0</v>
      </c>
      <c r="N7" s="38">
        <v>332</v>
      </c>
      <c r="O7" s="29">
        <v>815</v>
      </c>
      <c r="P7" s="63">
        <v>1105</v>
      </c>
      <c r="Q7" s="29">
        <v>583</v>
      </c>
      <c r="R7" s="63">
        <v>864</v>
      </c>
      <c r="S7" s="29">
        <v>591</v>
      </c>
      <c r="T7" s="38">
        <v>850</v>
      </c>
      <c r="U7" s="64">
        <v>757</v>
      </c>
      <c r="V7" s="29">
        <v>480</v>
      </c>
      <c r="W7" s="64">
        <v>1097</v>
      </c>
      <c r="X7" s="31">
        <v>451</v>
      </c>
    </row>
    <row r="8" spans="1:70" ht="15">
      <c r="A8" s="7"/>
      <c r="B8" s="9" t="s">
        <v>1</v>
      </c>
      <c r="C8" s="29">
        <v>1315</v>
      </c>
      <c r="D8" s="38">
        <v>1041</v>
      </c>
      <c r="E8" s="29">
        <v>1302</v>
      </c>
      <c r="F8" s="41">
        <v>1025</v>
      </c>
      <c r="G8" s="41">
        <v>612</v>
      </c>
      <c r="H8" s="29">
        <v>760</v>
      </c>
      <c r="I8" s="65">
        <v>1267</v>
      </c>
      <c r="J8" s="29">
        <v>621</v>
      </c>
      <c r="K8" s="71">
        <v>1045</v>
      </c>
      <c r="M8" s="9" t="s">
        <v>1</v>
      </c>
      <c r="N8" s="29">
        <v>1468</v>
      </c>
      <c r="O8" s="38">
        <v>985</v>
      </c>
      <c r="P8" s="29">
        <v>695</v>
      </c>
      <c r="Q8" s="63">
        <v>1217</v>
      </c>
      <c r="R8" s="29">
        <v>936</v>
      </c>
      <c r="S8" s="38">
        <v>1209</v>
      </c>
      <c r="T8" s="29">
        <v>950</v>
      </c>
      <c r="U8" s="29">
        <v>1043</v>
      </c>
      <c r="V8" s="64">
        <v>1320</v>
      </c>
      <c r="W8" s="29">
        <v>703</v>
      </c>
      <c r="X8" s="75">
        <v>1349</v>
      </c>
    </row>
    <row r="9" spans="1:70">
      <c r="B9" s="15"/>
      <c r="K9" s="16"/>
      <c r="M9" s="15"/>
      <c r="X9" s="16"/>
    </row>
    <row r="10" spans="1:70" ht="15">
      <c r="A10" s="7"/>
      <c r="B10" s="9" t="s">
        <v>10</v>
      </c>
      <c r="C10" s="29"/>
      <c r="D10" s="29"/>
      <c r="E10" s="29"/>
      <c r="H10" s="29"/>
      <c r="I10" s="29"/>
      <c r="J10" s="29"/>
      <c r="K10" s="31"/>
      <c r="M10" s="9" t="s">
        <v>10</v>
      </c>
      <c r="N10" s="29"/>
      <c r="O10" s="29"/>
      <c r="P10" s="7"/>
      <c r="Q10" s="7"/>
      <c r="R10" s="7"/>
      <c r="S10" s="29"/>
      <c r="T10" s="29"/>
      <c r="U10" s="29"/>
      <c r="V10" s="29"/>
      <c r="W10" s="29"/>
      <c r="X10" s="31"/>
    </row>
    <row r="11" spans="1:70" ht="15">
      <c r="A11" s="7"/>
      <c r="B11" s="9" t="s">
        <v>0</v>
      </c>
      <c r="C11" s="38">
        <v>1253</v>
      </c>
      <c r="D11" s="29">
        <v>644</v>
      </c>
      <c r="E11" s="38">
        <v>1495</v>
      </c>
      <c r="F11" s="8">
        <f>6*60+16</f>
        <v>376</v>
      </c>
      <c r="G11" s="8">
        <f>16*60+7</f>
        <v>967</v>
      </c>
      <c r="H11" s="65">
        <v>880</v>
      </c>
      <c r="I11" s="29">
        <v>187</v>
      </c>
      <c r="J11" s="65">
        <v>1014</v>
      </c>
      <c r="K11" s="31">
        <v>450</v>
      </c>
      <c r="M11" s="9" t="s">
        <v>0</v>
      </c>
      <c r="N11" s="38">
        <v>273</v>
      </c>
      <c r="O11" s="29">
        <v>752</v>
      </c>
      <c r="P11" s="63">
        <v>1161</v>
      </c>
      <c r="Q11" s="29">
        <v>755</v>
      </c>
      <c r="R11" s="63">
        <v>1176</v>
      </c>
      <c r="S11" s="29">
        <v>813</v>
      </c>
      <c r="T11" s="38">
        <v>980</v>
      </c>
      <c r="U11" s="64">
        <v>674</v>
      </c>
      <c r="V11" s="29">
        <v>1370</v>
      </c>
      <c r="W11" s="64">
        <v>1355</v>
      </c>
      <c r="X11" s="31">
        <v>1017</v>
      </c>
    </row>
    <row r="12" spans="1:70" ht="15">
      <c r="A12" s="7"/>
      <c r="B12" s="9" t="s">
        <v>1</v>
      </c>
      <c r="C12" s="29">
        <v>547</v>
      </c>
      <c r="D12" s="38">
        <v>1156</v>
      </c>
      <c r="E12" s="29">
        <v>305</v>
      </c>
      <c r="F12" s="66">
        <f>23*60+44</f>
        <v>1424</v>
      </c>
      <c r="G12" s="66">
        <f>13*60+53</f>
        <v>833</v>
      </c>
      <c r="H12" s="29">
        <v>921</v>
      </c>
      <c r="I12" s="65">
        <v>1613</v>
      </c>
      <c r="J12" s="29">
        <v>786</v>
      </c>
      <c r="K12" s="71">
        <v>1349</v>
      </c>
      <c r="M12" s="9" t="s">
        <v>1</v>
      </c>
      <c r="N12" s="29">
        <v>1527</v>
      </c>
      <c r="O12" s="38">
        <v>1048</v>
      </c>
      <c r="P12" s="29">
        <v>639</v>
      </c>
      <c r="Q12" s="63">
        <v>1044</v>
      </c>
      <c r="R12" s="29">
        <v>624</v>
      </c>
      <c r="S12" s="38">
        <v>987</v>
      </c>
      <c r="T12" s="29">
        <v>820</v>
      </c>
      <c r="U12" s="29">
        <v>1126</v>
      </c>
      <c r="V12" s="64">
        <v>430</v>
      </c>
      <c r="W12" s="29">
        <v>445</v>
      </c>
      <c r="X12" s="75">
        <v>783</v>
      </c>
    </row>
    <row r="13" spans="1:70">
      <c r="B13" s="15"/>
      <c r="K13" s="16"/>
      <c r="M13" s="15"/>
      <c r="X13" s="16"/>
    </row>
    <row r="14" spans="1:70">
      <c r="A14" s="7"/>
      <c r="B14" s="9" t="s">
        <v>9</v>
      </c>
      <c r="K14" s="16"/>
      <c r="M14" s="9" t="s">
        <v>9</v>
      </c>
      <c r="P14" s="7"/>
      <c r="Q14" s="7"/>
      <c r="R14" s="7"/>
      <c r="X14" s="16"/>
    </row>
    <row r="15" spans="1:70">
      <c r="A15" s="7"/>
      <c r="B15" s="9" t="s">
        <v>6</v>
      </c>
      <c r="C15" s="53">
        <f>C7</f>
        <v>485</v>
      </c>
      <c r="D15" s="53">
        <f>D8</f>
        <v>1041</v>
      </c>
      <c r="E15" s="53">
        <f>E7</f>
        <v>498</v>
      </c>
      <c r="F15" s="53">
        <f>F8</f>
        <v>1025</v>
      </c>
      <c r="G15" s="53">
        <f>G8</f>
        <v>612</v>
      </c>
      <c r="H15" s="78">
        <f>H7</f>
        <v>1041</v>
      </c>
      <c r="I15" s="78">
        <f>I8</f>
        <v>1267</v>
      </c>
      <c r="J15" s="78">
        <f>J7</f>
        <v>1180</v>
      </c>
      <c r="K15" s="79">
        <f>K8</f>
        <v>1045</v>
      </c>
      <c r="M15" s="9" t="s">
        <v>6</v>
      </c>
      <c r="N15" s="53">
        <f>N7</f>
        <v>332</v>
      </c>
      <c r="O15" s="20">
        <f>O8</f>
        <v>985</v>
      </c>
      <c r="P15" s="51">
        <f>P7</f>
        <v>1105</v>
      </c>
      <c r="Q15" s="51">
        <f>Q8</f>
        <v>1217</v>
      </c>
      <c r="R15" s="51">
        <f>R7</f>
        <v>864</v>
      </c>
      <c r="S15" s="53">
        <f>S8</f>
        <v>1209</v>
      </c>
      <c r="T15" s="53">
        <f>T7</f>
        <v>850</v>
      </c>
      <c r="U15" s="78">
        <f>U7</f>
        <v>757</v>
      </c>
      <c r="V15" s="78">
        <f>V8</f>
        <v>1320</v>
      </c>
      <c r="W15" s="78">
        <f>W7</f>
        <v>1097</v>
      </c>
      <c r="X15" s="80">
        <f>X8</f>
        <v>1349</v>
      </c>
    </row>
    <row r="16" spans="1:70">
      <c r="A16" s="7"/>
      <c r="B16" s="9" t="s">
        <v>5</v>
      </c>
      <c r="C16" s="20">
        <f>C8</f>
        <v>1315</v>
      </c>
      <c r="D16" s="20">
        <f>D7</f>
        <v>759</v>
      </c>
      <c r="E16" s="20">
        <f>E8</f>
        <v>1302</v>
      </c>
      <c r="F16" s="20">
        <f>F7</f>
        <v>775</v>
      </c>
      <c r="G16" s="20">
        <f>G7</f>
        <v>1188</v>
      </c>
      <c r="H16" s="69">
        <f>H8</f>
        <v>760</v>
      </c>
      <c r="I16" s="69">
        <f>I7</f>
        <v>533</v>
      </c>
      <c r="J16" s="69">
        <f>J8</f>
        <v>621</v>
      </c>
      <c r="K16" s="55">
        <f>K7</f>
        <v>755</v>
      </c>
      <c r="M16" s="9" t="s">
        <v>5</v>
      </c>
      <c r="N16" s="20">
        <f>N8</f>
        <v>1468</v>
      </c>
      <c r="O16" s="20">
        <f>O7</f>
        <v>815</v>
      </c>
      <c r="P16" s="20">
        <f>P8</f>
        <v>695</v>
      </c>
      <c r="Q16" s="20">
        <f>Q7</f>
        <v>583</v>
      </c>
      <c r="R16" s="20">
        <f>R8</f>
        <v>936</v>
      </c>
      <c r="S16" s="20">
        <f>S7</f>
        <v>591</v>
      </c>
      <c r="T16" s="20">
        <f>T8</f>
        <v>950</v>
      </c>
      <c r="U16" s="69">
        <f>U8</f>
        <v>1043</v>
      </c>
      <c r="V16" s="69">
        <f>V7</f>
        <v>480</v>
      </c>
      <c r="W16" s="69">
        <f>W8</f>
        <v>703</v>
      </c>
      <c r="X16" s="81">
        <f>X7</f>
        <v>451</v>
      </c>
    </row>
    <row r="17" spans="1:25">
      <c r="B17" s="15"/>
      <c r="C17" s="5"/>
      <c r="D17" s="5"/>
      <c r="E17" s="5"/>
      <c r="F17" s="5"/>
      <c r="G17" s="5"/>
      <c r="H17" s="5"/>
      <c r="I17" s="5"/>
      <c r="J17" s="5"/>
      <c r="K17" s="6"/>
      <c r="M17" s="1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</row>
    <row r="18" spans="1:25">
      <c r="A18" s="7"/>
      <c r="B18" s="9" t="s">
        <v>10</v>
      </c>
      <c r="C18" s="20"/>
      <c r="D18" s="20"/>
      <c r="E18" s="20"/>
      <c r="F18" s="20"/>
      <c r="G18" s="20"/>
      <c r="H18" s="69"/>
      <c r="I18" s="69"/>
      <c r="J18" s="69"/>
      <c r="K18" s="55"/>
      <c r="M18" s="9" t="s">
        <v>10</v>
      </c>
      <c r="N18" s="20"/>
      <c r="O18" s="20"/>
      <c r="P18" s="20"/>
      <c r="Q18" s="20"/>
      <c r="R18" s="20"/>
      <c r="S18" s="20"/>
      <c r="T18" s="20"/>
      <c r="U18" s="69"/>
      <c r="V18" s="69"/>
      <c r="W18" s="69"/>
      <c r="X18" s="81"/>
    </row>
    <row r="19" spans="1:25">
      <c r="A19" s="7"/>
      <c r="B19" s="9" t="s">
        <v>6</v>
      </c>
      <c r="C19" s="53">
        <f>C11</f>
        <v>1253</v>
      </c>
      <c r="D19" s="53">
        <f>D12</f>
        <v>1156</v>
      </c>
      <c r="E19" s="53">
        <f>E11</f>
        <v>1495</v>
      </c>
      <c r="F19" s="53">
        <f>F12</f>
        <v>1424</v>
      </c>
      <c r="G19" s="53">
        <f>G12</f>
        <v>833</v>
      </c>
      <c r="H19" s="78">
        <f>H11</f>
        <v>880</v>
      </c>
      <c r="I19" s="78">
        <f>I12</f>
        <v>1613</v>
      </c>
      <c r="J19" s="78">
        <f>J11</f>
        <v>1014</v>
      </c>
      <c r="K19" s="79">
        <f>K12</f>
        <v>1349</v>
      </c>
      <c r="M19" s="9" t="s">
        <v>6</v>
      </c>
      <c r="N19" s="53">
        <f>N11</f>
        <v>273</v>
      </c>
      <c r="O19" s="53">
        <f>O12</f>
        <v>1048</v>
      </c>
      <c r="P19" s="52">
        <f>P11</f>
        <v>1161</v>
      </c>
      <c r="Q19" s="52">
        <f>Q12</f>
        <v>1044</v>
      </c>
      <c r="R19" s="52">
        <f>R11</f>
        <v>1176</v>
      </c>
      <c r="S19" s="53">
        <f>S12</f>
        <v>987</v>
      </c>
      <c r="T19" s="53">
        <f>T11</f>
        <v>980</v>
      </c>
      <c r="U19" s="78">
        <f>U11</f>
        <v>674</v>
      </c>
      <c r="V19" s="78">
        <f>V12</f>
        <v>430</v>
      </c>
      <c r="W19" s="78">
        <f>W11</f>
        <v>1355</v>
      </c>
      <c r="X19" s="80">
        <f>X12</f>
        <v>783</v>
      </c>
    </row>
    <row r="20" spans="1:25">
      <c r="A20" s="7"/>
      <c r="B20" s="9" t="s">
        <v>5</v>
      </c>
      <c r="C20" s="20">
        <f>C12</f>
        <v>547</v>
      </c>
      <c r="D20" s="20">
        <f>D11</f>
        <v>644</v>
      </c>
      <c r="E20" s="20">
        <f>E12</f>
        <v>305</v>
      </c>
      <c r="F20" s="20">
        <f>F11</f>
        <v>376</v>
      </c>
      <c r="G20" s="20">
        <f>G11</f>
        <v>967</v>
      </c>
      <c r="H20" s="69">
        <f>H12</f>
        <v>921</v>
      </c>
      <c r="I20" s="69">
        <f>I11</f>
        <v>187</v>
      </c>
      <c r="J20" s="69">
        <f>J12</f>
        <v>786</v>
      </c>
      <c r="K20" s="55">
        <f>K11</f>
        <v>450</v>
      </c>
      <c r="M20" s="9" t="s">
        <v>5</v>
      </c>
      <c r="N20" s="20">
        <f>N12</f>
        <v>1527</v>
      </c>
      <c r="O20" s="20">
        <f>O11</f>
        <v>752</v>
      </c>
      <c r="P20" s="20">
        <f>P12</f>
        <v>639</v>
      </c>
      <c r="Q20" s="20">
        <f>Q11</f>
        <v>755</v>
      </c>
      <c r="R20" s="20">
        <f>R12</f>
        <v>624</v>
      </c>
      <c r="S20" s="20">
        <f>S11</f>
        <v>813</v>
      </c>
      <c r="T20" s="20">
        <f>T12</f>
        <v>820</v>
      </c>
      <c r="U20" s="69">
        <f>U12</f>
        <v>1126</v>
      </c>
      <c r="V20" s="69">
        <f>V11</f>
        <v>1370</v>
      </c>
      <c r="W20" s="69">
        <f>W12</f>
        <v>445</v>
      </c>
      <c r="X20" s="81">
        <f>X11</f>
        <v>1017</v>
      </c>
    </row>
    <row r="21" spans="1:25">
      <c r="A21" s="7"/>
      <c r="B21" s="9"/>
      <c r="H21" s="12"/>
      <c r="I21" s="12"/>
      <c r="J21" s="12"/>
      <c r="K21" s="10"/>
      <c r="M21" s="9"/>
      <c r="P21" s="7"/>
      <c r="Q21" s="7"/>
      <c r="R21" s="7"/>
      <c r="S21" s="7"/>
      <c r="T21" s="7"/>
      <c r="U21" s="12"/>
      <c r="V21" s="12"/>
      <c r="W21" s="12"/>
      <c r="X21" s="39"/>
    </row>
    <row r="22" spans="1:25">
      <c r="B22" s="15"/>
      <c r="K22" s="16"/>
      <c r="M22" s="15"/>
      <c r="X22" s="16"/>
      <c r="Y22" s="8"/>
    </row>
    <row r="23" spans="1:25">
      <c r="A23" s="7"/>
      <c r="B23" s="9" t="s">
        <v>0</v>
      </c>
      <c r="C23" s="40" t="s">
        <v>8</v>
      </c>
      <c r="D23" s="12" t="s">
        <v>4</v>
      </c>
      <c r="E23" s="40" t="s">
        <v>8</v>
      </c>
      <c r="F23" s="12" t="s">
        <v>4</v>
      </c>
      <c r="G23" s="12" t="s">
        <v>4</v>
      </c>
      <c r="H23" s="45" t="s">
        <v>31</v>
      </c>
      <c r="I23" s="12" t="s">
        <v>8</v>
      </c>
      <c r="J23" s="45" t="s">
        <v>31</v>
      </c>
      <c r="K23" s="39" t="s">
        <v>31</v>
      </c>
      <c r="M23" s="9" t="s">
        <v>0</v>
      </c>
      <c r="N23" s="40" t="s">
        <v>8</v>
      </c>
      <c r="O23" s="12" t="s">
        <v>4</v>
      </c>
      <c r="P23" s="11" t="s">
        <v>4</v>
      </c>
      <c r="Q23" s="7" t="s">
        <v>8</v>
      </c>
      <c r="R23" s="11" t="s">
        <v>4</v>
      </c>
      <c r="S23" s="12" t="s">
        <v>31</v>
      </c>
      <c r="T23" s="40" t="s">
        <v>8</v>
      </c>
      <c r="U23" s="45" t="s">
        <v>31</v>
      </c>
      <c r="V23" s="12" t="s">
        <v>8</v>
      </c>
      <c r="W23" s="45" t="s">
        <v>31</v>
      </c>
      <c r="X23" s="39" t="s">
        <v>8</v>
      </c>
      <c r="Y23" s="8"/>
    </row>
    <row r="24" spans="1:25">
      <c r="A24" s="7"/>
      <c r="B24" s="9" t="s">
        <v>1</v>
      </c>
      <c r="C24" s="12" t="s">
        <v>4</v>
      </c>
      <c r="D24" s="40" t="s">
        <v>8</v>
      </c>
      <c r="E24" s="12" t="s">
        <v>4</v>
      </c>
      <c r="F24" s="40" t="s">
        <v>8</v>
      </c>
      <c r="G24" s="40" t="s">
        <v>8</v>
      </c>
      <c r="H24" s="12" t="s">
        <v>8</v>
      </c>
      <c r="I24" s="45" t="s">
        <v>31</v>
      </c>
      <c r="J24" s="12" t="s">
        <v>8</v>
      </c>
      <c r="K24" s="13" t="s">
        <v>8</v>
      </c>
      <c r="M24" s="9" t="s">
        <v>1</v>
      </c>
      <c r="N24" s="12" t="s">
        <v>31</v>
      </c>
      <c r="O24" s="40" t="s">
        <v>8</v>
      </c>
      <c r="P24" s="7" t="s">
        <v>8</v>
      </c>
      <c r="Q24" s="11" t="s">
        <v>4</v>
      </c>
      <c r="R24" s="7" t="s">
        <v>8</v>
      </c>
      <c r="S24" s="40" t="s">
        <v>8</v>
      </c>
      <c r="T24" s="12" t="s">
        <v>31</v>
      </c>
      <c r="U24" s="12" t="s">
        <v>8</v>
      </c>
      <c r="V24" s="45" t="s">
        <v>31</v>
      </c>
      <c r="W24" s="12" t="s">
        <v>8</v>
      </c>
      <c r="X24" s="76" t="s">
        <v>31</v>
      </c>
      <c r="Y24" s="8"/>
    </row>
    <row r="25" spans="1:25">
      <c r="A25" s="7"/>
      <c r="B25" s="9" t="s">
        <v>6</v>
      </c>
      <c r="C25" s="40" t="s">
        <v>8</v>
      </c>
      <c r="D25" s="40" t="s">
        <v>8</v>
      </c>
      <c r="E25" s="40" t="s">
        <v>8</v>
      </c>
      <c r="F25" s="40" t="s">
        <v>8</v>
      </c>
      <c r="G25" s="40" t="s">
        <v>8</v>
      </c>
      <c r="H25" s="45" t="s">
        <v>31</v>
      </c>
      <c r="I25" s="45" t="s">
        <v>31</v>
      </c>
      <c r="J25" s="45" t="s">
        <v>31</v>
      </c>
      <c r="K25" s="13" t="s">
        <v>8</v>
      </c>
      <c r="M25" s="9" t="s">
        <v>6</v>
      </c>
      <c r="N25" s="40" t="s">
        <v>8</v>
      </c>
      <c r="O25" s="40" t="s">
        <v>8</v>
      </c>
      <c r="P25" s="11" t="s">
        <v>4</v>
      </c>
      <c r="Q25" s="11" t="s">
        <v>4</v>
      </c>
      <c r="R25" s="11" t="s">
        <v>4</v>
      </c>
      <c r="S25" s="40" t="s">
        <v>8</v>
      </c>
      <c r="T25" s="40" t="s">
        <v>8</v>
      </c>
      <c r="U25" s="45" t="s">
        <v>31</v>
      </c>
      <c r="V25" s="45" t="s">
        <v>31</v>
      </c>
      <c r="W25" s="45" t="s">
        <v>31</v>
      </c>
      <c r="X25" s="76" t="s">
        <v>31</v>
      </c>
      <c r="Y25" s="8"/>
    </row>
    <row r="26" spans="1:25">
      <c r="A26" s="7"/>
      <c r="B26" s="9" t="s">
        <v>5</v>
      </c>
      <c r="C26" s="12" t="s">
        <v>4</v>
      </c>
      <c r="D26" s="12" t="s">
        <v>4</v>
      </c>
      <c r="E26" s="12" t="s">
        <v>4</v>
      </c>
      <c r="F26" s="12" t="s">
        <v>4</v>
      </c>
      <c r="G26" s="12" t="s">
        <v>4</v>
      </c>
      <c r="H26" s="12" t="s">
        <v>8</v>
      </c>
      <c r="I26" s="12" t="s">
        <v>8</v>
      </c>
      <c r="J26" s="12" t="s">
        <v>8</v>
      </c>
      <c r="K26" s="39" t="s">
        <v>31</v>
      </c>
      <c r="M26" s="9" t="s">
        <v>5</v>
      </c>
      <c r="N26" s="12" t="s">
        <v>31</v>
      </c>
      <c r="O26" s="12" t="s">
        <v>4</v>
      </c>
      <c r="P26" s="7" t="s">
        <v>8</v>
      </c>
      <c r="Q26" s="7" t="s">
        <v>8</v>
      </c>
      <c r="R26" s="7" t="s">
        <v>8</v>
      </c>
      <c r="S26" s="12" t="s">
        <v>31</v>
      </c>
      <c r="T26" s="12" t="s">
        <v>31</v>
      </c>
      <c r="U26" s="12" t="s">
        <v>8</v>
      </c>
      <c r="V26" s="12" t="s">
        <v>8</v>
      </c>
      <c r="W26" s="12" t="s">
        <v>8</v>
      </c>
      <c r="X26" s="39" t="s">
        <v>8</v>
      </c>
      <c r="Y26" s="8"/>
    </row>
    <row r="27" spans="1:25">
      <c r="B27" s="15"/>
      <c r="K27" s="16"/>
      <c r="M27" s="15"/>
      <c r="X27" s="16"/>
    </row>
    <row r="28" spans="1:25" customFormat="1">
      <c r="B28" s="33" t="s">
        <v>2</v>
      </c>
      <c r="C28" s="5">
        <f>C15</f>
        <v>485</v>
      </c>
      <c r="D28" s="5">
        <f t="shared" ref="D28:K28" si="0">D15</f>
        <v>1041</v>
      </c>
      <c r="E28" s="5">
        <f t="shared" si="0"/>
        <v>498</v>
      </c>
      <c r="F28" s="5">
        <f t="shared" si="0"/>
        <v>1025</v>
      </c>
      <c r="G28" s="5">
        <f t="shared" si="0"/>
        <v>612</v>
      </c>
      <c r="H28" s="5">
        <f t="shared" si="0"/>
        <v>1041</v>
      </c>
      <c r="I28" s="5">
        <f t="shared" si="0"/>
        <v>1267</v>
      </c>
      <c r="J28" s="5">
        <f t="shared" si="0"/>
        <v>1180</v>
      </c>
      <c r="K28" s="6">
        <f t="shared" si="0"/>
        <v>1045</v>
      </c>
      <c r="L28" s="8"/>
      <c r="M28" s="33" t="s">
        <v>2</v>
      </c>
      <c r="N28" s="5">
        <f t="shared" ref="N28:X28" si="1">N15</f>
        <v>332</v>
      </c>
      <c r="O28" s="5">
        <f t="shared" si="1"/>
        <v>985</v>
      </c>
      <c r="P28" s="5">
        <f t="shared" si="1"/>
        <v>1105</v>
      </c>
      <c r="Q28" s="5">
        <f t="shared" si="1"/>
        <v>1217</v>
      </c>
      <c r="R28" s="5">
        <f t="shared" si="1"/>
        <v>864</v>
      </c>
      <c r="S28" s="5">
        <f t="shared" si="1"/>
        <v>1209</v>
      </c>
      <c r="T28" s="5">
        <f t="shared" si="1"/>
        <v>850</v>
      </c>
      <c r="U28" s="5">
        <f t="shared" si="1"/>
        <v>757</v>
      </c>
      <c r="V28" s="5">
        <f t="shared" si="1"/>
        <v>1320</v>
      </c>
      <c r="W28" s="5">
        <f t="shared" si="1"/>
        <v>1097</v>
      </c>
      <c r="X28" s="6">
        <f t="shared" si="1"/>
        <v>1349</v>
      </c>
    </row>
    <row r="29" spans="1:25" customFormat="1">
      <c r="B29" s="33" t="s">
        <v>3</v>
      </c>
      <c r="C29" s="5">
        <f>C19</f>
        <v>1253</v>
      </c>
      <c r="D29" s="5">
        <f t="shared" ref="D29:K29" si="2">D19</f>
        <v>1156</v>
      </c>
      <c r="E29" s="5">
        <f t="shared" si="2"/>
        <v>1495</v>
      </c>
      <c r="F29" s="5">
        <f t="shared" si="2"/>
        <v>1424</v>
      </c>
      <c r="G29" s="5">
        <f t="shared" si="2"/>
        <v>833</v>
      </c>
      <c r="H29" s="5">
        <f t="shared" si="2"/>
        <v>880</v>
      </c>
      <c r="I29" s="5">
        <f t="shared" si="2"/>
        <v>1613</v>
      </c>
      <c r="J29" s="5">
        <f t="shared" si="2"/>
        <v>1014</v>
      </c>
      <c r="K29" s="6">
        <f t="shared" si="2"/>
        <v>1349</v>
      </c>
      <c r="L29" s="8"/>
      <c r="M29" s="33" t="s">
        <v>3</v>
      </c>
      <c r="N29" s="5">
        <f t="shared" ref="N29:X29" si="3">N19</f>
        <v>273</v>
      </c>
      <c r="O29" s="5">
        <f t="shared" si="3"/>
        <v>1048</v>
      </c>
      <c r="P29" s="5">
        <f t="shared" si="3"/>
        <v>1161</v>
      </c>
      <c r="Q29" s="5">
        <f t="shared" si="3"/>
        <v>1044</v>
      </c>
      <c r="R29" s="5">
        <f t="shared" si="3"/>
        <v>1176</v>
      </c>
      <c r="S29" s="5">
        <f t="shared" si="3"/>
        <v>987</v>
      </c>
      <c r="T29" s="5">
        <f t="shared" si="3"/>
        <v>980</v>
      </c>
      <c r="U29" s="5">
        <f t="shared" si="3"/>
        <v>674</v>
      </c>
      <c r="V29" s="5">
        <f t="shared" si="3"/>
        <v>430</v>
      </c>
      <c r="W29" s="5">
        <f t="shared" si="3"/>
        <v>1355</v>
      </c>
      <c r="X29" s="6">
        <f t="shared" si="3"/>
        <v>783</v>
      </c>
    </row>
    <row r="30" spans="1:25" s="43" customFormat="1">
      <c r="A30"/>
      <c r="B30" s="33" t="s">
        <v>38</v>
      </c>
      <c r="C30" s="44">
        <f t="shared" ref="C30:K30" si="4">(C19-C15)/900</f>
        <v>0.85333333333333339</v>
      </c>
      <c r="D30" s="44">
        <f t="shared" si="4"/>
        <v>0.12777777777777777</v>
      </c>
      <c r="E30" s="44">
        <f t="shared" si="4"/>
        <v>1.1077777777777778</v>
      </c>
      <c r="F30" s="44">
        <f t="shared" si="4"/>
        <v>0.44333333333333336</v>
      </c>
      <c r="G30" s="44">
        <f t="shared" si="4"/>
        <v>0.24555555555555555</v>
      </c>
      <c r="H30" s="44">
        <f t="shared" si="4"/>
        <v>-0.17888888888888888</v>
      </c>
      <c r="I30" s="44">
        <f t="shared" si="4"/>
        <v>0.38444444444444442</v>
      </c>
      <c r="J30" s="44">
        <f t="shared" si="4"/>
        <v>-0.18444444444444444</v>
      </c>
      <c r="K30" s="77">
        <f t="shared" si="4"/>
        <v>0.33777777777777779</v>
      </c>
      <c r="M30" s="33" t="s">
        <v>38</v>
      </c>
      <c r="N30" s="44">
        <f t="shared" ref="N30:X30" si="5">(N19-N15)/900</f>
        <v>-6.5555555555555561E-2</v>
      </c>
      <c r="O30" s="44">
        <f t="shared" si="5"/>
        <v>7.0000000000000007E-2</v>
      </c>
      <c r="P30" s="44">
        <f t="shared" si="5"/>
        <v>6.222222222222222E-2</v>
      </c>
      <c r="Q30" s="44">
        <f t="shared" si="5"/>
        <v>-0.19222222222222221</v>
      </c>
      <c r="R30" s="44">
        <f t="shared" si="5"/>
        <v>0.34666666666666668</v>
      </c>
      <c r="S30" s="44">
        <f t="shared" si="5"/>
        <v>-0.24666666666666667</v>
      </c>
      <c r="T30" s="44">
        <f t="shared" si="5"/>
        <v>0.14444444444444443</v>
      </c>
      <c r="U30" s="44">
        <f t="shared" si="5"/>
        <v>-9.2222222222222219E-2</v>
      </c>
      <c r="V30" s="44">
        <f t="shared" si="5"/>
        <v>-0.98888888888888893</v>
      </c>
      <c r="W30" s="44">
        <f t="shared" si="5"/>
        <v>0.28666666666666668</v>
      </c>
      <c r="X30" s="77">
        <f t="shared" si="5"/>
        <v>-0.62888888888888894</v>
      </c>
    </row>
    <row r="31" spans="1:25" s="43" customFormat="1">
      <c r="A31" s="12"/>
      <c r="B31" s="72" t="s">
        <v>7</v>
      </c>
      <c r="C31" s="73">
        <f t="shared" ref="C31:K31" si="6">C19/C15</f>
        <v>2.5835051546391754</v>
      </c>
      <c r="D31" s="73">
        <f t="shared" si="6"/>
        <v>1.1104707012487993</v>
      </c>
      <c r="E31" s="73">
        <f t="shared" si="6"/>
        <v>3.0020080321285141</v>
      </c>
      <c r="F31" s="73">
        <f t="shared" si="6"/>
        <v>1.3892682926829267</v>
      </c>
      <c r="G31" s="73">
        <f t="shared" si="6"/>
        <v>1.3611111111111112</v>
      </c>
      <c r="H31" s="73">
        <f t="shared" si="6"/>
        <v>0.84534101825168106</v>
      </c>
      <c r="I31" s="73">
        <f t="shared" si="6"/>
        <v>1.2730860299921074</v>
      </c>
      <c r="J31" s="73">
        <f t="shared" si="6"/>
        <v>0.85932203389830508</v>
      </c>
      <c r="K31" s="74">
        <f t="shared" si="6"/>
        <v>1.290909090909091</v>
      </c>
      <c r="M31" s="72" t="s">
        <v>7</v>
      </c>
      <c r="N31" s="73">
        <f t="shared" ref="N31:X31" si="7">N19/N15</f>
        <v>0.82228915662650603</v>
      </c>
      <c r="O31" s="73">
        <f t="shared" si="7"/>
        <v>1.0639593908629441</v>
      </c>
      <c r="P31" s="73">
        <f t="shared" si="7"/>
        <v>1.0506787330316743</v>
      </c>
      <c r="Q31" s="73">
        <f t="shared" si="7"/>
        <v>0.85784716516023007</v>
      </c>
      <c r="R31" s="73">
        <f t="shared" si="7"/>
        <v>1.3611111111111112</v>
      </c>
      <c r="S31" s="73">
        <f t="shared" si="7"/>
        <v>0.81637717121588094</v>
      </c>
      <c r="T31" s="73">
        <f t="shared" si="7"/>
        <v>1.1529411764705881</v>
      </c>
      <c r="U31" s="73">
        <f t="shared" si="7"/>
        <v>0.89035667107001326</v>
      </c>
      <c r="V31" s="73">
        <f t="shared" si="7"/>
        <v>0.32575757575757575</v>
      </c>
      <c r="W31" s="73">
        <f t="shared" si="7"/>
        <v>1.2351868732907931</v>
      </c>
      <c r="X31" s="74">
        <f t="shared" si="7"/>
        <v>0.58042994810971094</v>
      </c>
    </row>
    <row r="33" spans="1:28" ht="15">
      <c r="A33" s="7"/>
      <c r="B33" s="67"/>
      <c r="C33" s="7" t="s">
        <v>41</v>
      </c>
      <c r="D33" s="7" t="s">
        <v>42</v>
      </c>
      <c r="E33" s="7" t="s">
        <v>26</v>
      </c>
      <c r="F33" s="7" t="s">
        <v>27</v>
      </c>
      <c r="K33" s="7"/>
      <c r="Z33" s="29"/>
      <c r="AA33" s="29"/>
      <c r="AB33" s="29"/>
    </row>
    <row r="34" spans="1:28">
      <c r="A34" s="7"/>
      <c r="B34" s="7" t="s">
        <v>2</v>
      </c>
      <c r="C34" s="69">
        <f>AVERAGE(C15:K15)</f>
        <v>910.44444444444446</v>
      </c>
      <c r="D34" s="69">
        <f>AVERAGE(N15:X15)</f>
        <v>1007.7272727272727</v>
      </c>
      <c r="E34" s="69">
        <f>STDEV(C15:K15)/SQRT($C$38-1)</f>
        <v>104.97709736996073</v>
      </c>
      <c r="F34" s="69">
        <f>STDEV(N15:X15)/SQRT(COUNT(N15:X15)-1)</f>
        <v>93.874500361822513</v>
      </c>
      <c r="K34" s="7"/>
    </row>
    <row r="35" spans="1:28">
      <c r="A35" s="7"/>
      <c r="B35" s="7" t="s">
        <v>3</v>
      </c>
      <c r="C35" s="69">
        <f>AVERAGE(C19:K19)</f>
        <v>1224.1111111111111</v>
      </c>
      <c r="D35" s="69">
        <f>AVERAGE(N19:X19)</f>
        <v>901</v>
      </c>
      <c r="E35" s="69">
        <f>STDEV(C19:K19)/SQRT($C$38-1)</f>
        <v>96.918852081980802</v>
      </c>
      <c r="F35" s="69">
        <f>STDEV(N19:X19)/SQRT(COUNT(N19:X19)-1)</f>
        <v>104.24557544567537</v>
      </c>
      <c r="H35" s="7" t="s">
        <v>28</v>
      </c>
      <c r="I35" s="7" t="s">
        <v>29</v>
      </c>
      <c r="J35" s="7" t="s">
        <v>30</v>
      </c>
      <c r="K35" s="7"/>
    </row>
    <row r="36" spans="1:28">
      <c r="A36" s="7"/>
      <c r="B36" s="7" t="s">
        <v>38</v>
      </c>
      <c r="C36" s="57">
        <f>AVERAGE(C30:K30)</f>
        <v>0.34851851851851856</v>
      </c>
      <c r="D36" s="57">
        <f>AVERAGE(N30:X30)</f>
        <v>-0.11858585858585859</v>
      </c>
      <c r="E36" s="57">
        <f>STDEV(C30:K30)/SQRT($C$38-1)</f>
        <v>0.15120580162296829</v>
      </c>
      <c r="F36" s="57">
        <f>STDEV(N30:X30)/SQRT(COUNT(N30:X30)-1)</f>
        <v>0.12495204916426109</v>
      </c>
      <c r="H36" s="12" t="s">
        <v>12</v>
      </c>
      <c r="I36" s="7" t="s">
        <v>12</v>
      </c>
      <c r="J36" s="43" t="s">
        <v>35</v>
      </c>
      <c r="K36" s="7"/>
    </row>
    <row r="37" spans="1:28">
      <c r="A37" s="7"/>
      <c r="B37" s="7" t="s">
        <v>7</v>
      </c>
      <c r="C37" s="57">
        <f>AVERAGE(C31:K31)</f>
        <v>1.5238912738735233</v>
      </c>
      <c r="D37" s="44">
        <f>AVERAGE(N31:X31)</f>
        <v>0.92335772479154798</v>
      </c>
      <c r="E37" s="57">
        <f>STDEV(C31:K31)/SQRT($C$38-1)</f>
        <v>0.26641176769158265</v>
      </c>
      <c r="F37" s="57">
        <f>STDEV(N31:X31)/SQRT(COUNT(N31:X31)-1)</f>
        <v>9.3772025116439089E-2</v>
      </c>
      <c r="H37" s="58">
        <f>TTEST(C20:K20,C16:K16,2,1)</f>
        <v>4.0093583713318087E-2</v>
      </c>
      <c r="I37" s="68">
        <f>TTEST(N19:X19,N15:X15,2,1)</f>
        <v>0.34302982899482226</v>
      </c>
      <c r="J37" s="59">
        <f>TTEST(C30:K30,N30:X30,2,2)</f>
        <v>2.0728264871869767E-2</v>
      </c>
      <c r="K37" s="7"/>
    </row>
    <row r="38" spans="1:28">
      <c r="A38" s="7"/>
      <c r="B38" s="7" t="s">
        <v>17</v>
      </c>
      <c r="C38" s="69">
        <f>COUNT(C7:K7)</f>
        <v>9</v>
      </c>
      <c r="D38" s="69">
        <f>COUNT(N7:X7)</f>
        <v>11</v>
      </c>
      <c r="E38" s="44"/>
      <c r="F38" s="44"/>
      <c r="H38" s="1"/>
      <c r="I38" s="44"/>
      <c r="J38" s="44" t="s">
        <v>36</v>
      </c>
      <c r="K38" s="7"/>
    </row>
    <row r="39" spans="1:28">
      <c r="A39" s="7"/>
      <c r="B39"/>
      <c r="C39"/>
      <c r="D39"/>
      <c r="E39"/>
      <c r="F39"/>
      <c r="H39"/>
      <c r="I39" s="2"/>
      <c r="J39" s="59">
        <f>TTEST(C31:K31,N31:X31,2,2)</f>
        <v>2.5548602823227767E-2</v>
      </c>
    </row>
    <row r="40" spans="1:28">
      <c r="A40" s="7"/>
      <c r="K40" s="7"/>
    </row>
    <row r="41" spans="1:28">
      <c r="J41" s="44"/>
      <c r="K41" s="7"/>
    </row>
    <row r="42" spans="1:28">
      <c r="B42"/>
      <c r="J42" s="1"/>
      <c r="K42" s="7"/>
    </row>
    <row r="43" spans="1:28">
      <c r="B43"/>
      <c r="J43" s="1"/>
    </row>
    <row r="44" spans="1:28">
      <c r="B44"/>
    </row>
    <row r="49" spans="2:17" ht="15">
      <c r="B49" s="29"/>
    </row>
    <row r="54" spans="2:17" ht="15">
      <c r="Q54" s="29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 c-e (IP OTA)</vt:lpstr>
      <vt:lpstr>Fig 1 g-i (NAc AP OTA)</vt:lpstr>
    </vt:vector>
  </TitlesOfParts>
  <Company>BEAR LAB, 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 Dölen</dc:creator>
  <cp:lastModifiedBy>Stanford</cp:lastModifiedBy>
  <dcterms:created xsi:type="dcterms:W3CDTF">2011-07-28T04:18:54Z</dcterms:created>
  <dcterms:modified xsi:type="dcterms:W3CDTF">2013-06-26T19:49:17Z</dcterms:modified>
</cp:coreProperties>
</file>