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600" tabRatio="500"/>
  </bookViews>
  <sheets>
    <sheet name="Sheet1" sheetId="1" r:id="rId1"/>
  </sheets>
  <definedNames>
    <definedName name="hmm.sum" localSheetId="0">Sheet1!$A$1:$V$175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3" i="1" l="1"/>
  <c r="A175" i="1"/>
  <c r="A174" i="1"/>
  <c r="A173" i="1"/>
  <c r="A172" i="1"/>
  <c r="A171" i="1"/>
  <c r="A26" i="1"/>
  <c r="A170" i="1"/>
  <c r="A169" i="1"/>
  <c r="A168" i="1"/>
  <c r="A167" i="1"/>
  <c r="A3" i="1"/>
  <c r="A166" i="1"/>
  <c r="A165" i="1"/>
  <c r="A164" i="1"/>
  <c r="A163" i="1"/>
  <c r="A162" i="1"/>
  <c r="A161" i="1"/>
  <c r="A160" i="1"/>
  <c r="A159" i="1"/>
  <c r="A44" i="1"/>
  <c r="A48" i="1"/>
  <c r="A6" i="1"/>
  <c r="A11" i="1"/>
  <c r="A158" i="1"/>
  <c r="A157" i="1"/>
  <c r="A17" i="1"/>
  <c r="A156" i="1"/>
  <c r="A155" i="1"/>
  <c r="A154" i="1"/>
  <c r="A153" i="1"/>
  <c r="A152" i="1"/>
  <c r="A31" i="1"/>
  <c r="A25" i="1"/>
  <c r="A151" i="1"/>
  <c r="A30" i="1"/>
  <c r="A150" i="1"/>
  <c r="A50" i="1"/>
  <c r="A38" i="1"/>
  <c r="A15" i="1"/>
  <c r="A29" i="1"/>
  <c r="A35" i="1"/>
  <c r="A49" i="1"/>
  <c r="A149" i="1"/>
  <c r="A148" i="1"/>
  <c r="A37" i="1"/>
  <c r="A147" i="1"/>
  <c r="A146" i="1"/>
  <c r="A145" i="1"/>
  <c r="A144" i="1"/>
  <c r="A143" i="1"/>
  <c r="A142" i="1"/>
  <c r="A141" i="1"/>
  <c r="A140" i="1"/>
  <c r="A7" i="1"/>
  <c r="A12" i="1"/>
  <c r="A22" i="1"/>
  <c r="A139" i="1"/>
  <c r="A138" i="1"/>
  <c r="A137" i="1"/>
  <c r="A136" i="1"/>
  <c r="A135" i="1"/>
  <c r="A134" i="1"/>
  <c r="A16" i="1"/>
  <c r="A41" i="1"/>
  <c r="A133" i="1"/>
  <c r="A14" i="1"/>
  <c r="A132" i="1"/>
  <c r="A131" i="1"/>
  <c r="A130" i="1"/>
  <c r="A129" i="1"/>
  <c r="A128" i="1"/>
  <c r="A127" i="1"/>
  <c r="A126" i="1"/>
  <c r="A125" i="1"/>
  <c r="A124" i="1"/>
  <c r="A8" i="1"/>
  <c r="A123" i="1"/>
  <c r="A122" i="1"/>
  <c r="A121" i="1"/>
  <c r="A120" i="1"/>
  <c r="A13" i="1"/>
  <c r="A119" i="1"/>
  <c r="A118" i="1"/>
  <c r="A117" i="1"/>
  <c r="A34" i="1"/>
  <c r="A116" i="1"/>
  <c r="A115" i="1"/>
  <c r="A114" i="1"/>
  <c r="A113" i="1"/>
  <c r="A112" i="1"/>
  <c r="A32" i="1"/>
  <c r="A40" i="1"/>
  <c r="A111" i="1"/>
  <c r="A110" i="1"/>
  <c r="A43" i="1"/>
  <c r="A109" i="1"/>
  <c r="A108" i="1"/>
  <c r="A107" i="1"/>
  <c r="A24" i="1"/>
  <c r="A106" i="1"/>
  <c r="A105" i="1"/>
  <c r="A104" i="1"/>
  <c r="A103" i="1"/>
  <c r="A102" i="1"/>
  <c r="A101" i="1"/>
  <c r="A100" i="1"/>
  <c r="A47" i="1"/>
  <c r="A99" i="1"/>
  <c r="A46" i="1"/>
  <c r="A98" i="1"/>
  <c r="A97" i="1"/>
  <c r="A96" i="1"/>
  <c r="A95" i="1"/>
  <c r="A94" i="1"/>
  <c r="A93" i="1"/>
  <c r="A92" i="1"/>
  <c r="A91" i="1"/>
  <c r="A42" i="1"/>
  <c r="A90" i="1"/>
  <c r="A4" i="1"/>
  <c r="A39" i="1"/>
  <c r="A45" i="1"/>
  <c r="A19" i="1"/>
  <c r="A89" i="1"/>
  <c r="A88" i="1"/>
  <c r="A87" i="1"/>
  <c r="A86" i="1"/>
  <c r="A85" i="1"/>
  <c r="A27" i="1"/>
  <c r="A84" i="1"/>
  <c r="A83" i="1"/>
  <c r="A82" i="1"/>
  <c r="A81" i="1"/>
  <c r="A80" i="1"/>
  <c r="A79" i="1"/>
  <c r="A78" i="1"/>
  <c r="A28" i="1"/>
  <c r="A77" i="1"/>
  <c r="A10" i="1"/>
  <c r="A21" i="1"/>
  <c r="A76" i="1"/>
  <c r="A2" i="1"/>
  <c r="A75" i="1"/>
  <c r="A74" i="1"/>
  <c r="A73" i="1"/>
  <c r="A20" i="1"/>
  <c r="A9" i="1"/>
  <c r="A5" i="1"/>
  <c r="A72" i="1"/>
  <c r="A71" i="1"/>
  <c r="A70" i="1"/>
  <c r="A69" i="1"/>
  <c r="A68" i="1"/>
  <c r="A1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36" i="1"/>
  <c r="A54" i="1"/>
  <c r="A33" i="1"/>
  <c r="A53" i="1"/>
  <c r="A52" i="1"/>
  <c r="A51" i="1"/>
</calcChain>
</file>

<file path=xl/connections.xml><?xml version="1.0" encoding="utf-8"?>
<connections xmlns="http://schemas.openxmlformats.org/spreadsheetml/2006/main">
  <connection id="1" name="hmm.sum.csv" type="6" refreshedVersion="0" background="1" saveData="1">
    <textPr fileType="mac" sourceFile="Macintosh HD:Users:simakov:Desktop:hmm.sum.csv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<sst xmlns="http://schemas.openxmlformats.org/spreadsheetml/2006/main" count="1191" uniqueCount="281">
  <si>
    <t>ClusID</t>
  </si>
  <si>
    <t>Tissue</t>
  </si>
  <si>
    <t>Anc</t>
  </si>
  <si>
    <t>Ova</t>
  </si>
  <si>
    <t>Psg</t>
  </si>
  <si>
    <t>St15</t>
  </si>
  <si>
    <t>Retina</t>
  </si>
  <si>
    <t>Sub</t>
  </si>
  <si>
    <t>Sucker</t>
  </si>
  <si>
    <t>Testes</t>
  </si>
  <si>
    <t>Viscera</t>
  </si>
  <si>
    <t>Supra</t>
  </si>
  <si>
    <t>OL</t>
  </si>
  <si>
    <t>Skin</t>
  </si>
  <si>
    <t>Seq</t>
  </si>
  <si>
    <t>EffSeq</t>
  </si>
  <si>
    <t>Length</t>
  </si>
  <si>
    <t>EvalUP90</t>
  </si>
  <si>
    <t>Desc</t>
  </si>
  <si>
    <t>Desc2</t>
  </si>
  <si>
    <t>UP90hit</t>
  </si>
  <si>
    <t>Complete?</t>
  </si>
  <si>
    <t>diff</t>
  </si>
  <si>
    <t>Ocbimv22006099m(l1,l2),0-L2_BuccalGanglia.id20603.tr449741,0-L2_BuccalGanglia.id20602.tr486334,0-L2_SG.id114860.tr399303,0-L2_OL.id129798.tr106938,0-L2_VL.id7870.tr235566,0-L2_GFL.id25470.tr109716,0-L2_SG.id114465.tr243856,3-WoodsHole_oy157f10.y1,3-WoodsHole_oy95d12.y1,0-L2_VL.id41848.tr273975,0-L2_GFL.id78565.tr94308,0-L2_BuccalGanglia.id27042.tr284123,0-L2_OL.id37918.tr308386,0-L2_SG.id69177.tr219586,3-WoodsHole_oy110g04.y1</t>
  </si>
  <si>
    <t>NA</t>
  </si>
  <si>
    <t>nohit</t>
  </si>
  <si>
    <t>complete</t>
  </si>
  <si>
    <t>Ocbimv22002955m(l1,l2),0-L2_VL.id77164.tr134650,0-L2_GFL.id57187.tr140485,0-L2_VL.id77163.tr134650,0-L2_SG.id70740.tr263516,0-L2_BuccalGanglia.id85579.tr50373,0-L2_OL.id69699.tr217942,0-L2_OL.id69698.tr217942,0-L2_BuccalGanglia.id85580.tr50373,0-L2_OL.id69701.tr217942,0-L2_SG.id70741.tr263516,0-L2_OL.id69700.tr217942</t>
  </si>
  <si>
    <t>0-L2_SG.id78332.tr73888,Ocbimv22032479m(l1,l2)</t>
  </si>
  <si>
    <t>Ocbimv22036579m(l1,-),0-L2_VL.id55153.tr115629,0-L2_VL.id55159.tr115629,0-L2_BuccalGanglia.id100554.tr165034,0-L2_SG.id85364.tr256912,0-L2_BuccalGanglia.id100551.tr165034,0-L2_GFL.id53200.tr27347,0-L2_GFL.id53202.tr27347,0-L2_OL.id113465.tr204794,0-L2_VL.id55158.tr115629</t>
  </si>
  <si>
    <t>UniRef90_F6ZS15</t>
  </si>
  <si>
    <t>Uncharacterized protein n=1 Tax=Ciona</t>
  </si>
  <si>
    <t>yeshit</t>
  </si>
  <si>
    <t>Ocbimv22010547m(-,l2),1-UI-S-GG1Euprymna_UI-S-GG1-aaw-g-22-0-UI.s1,1-UI-S-GN0Euprymna_UI-S-GN0-abl-a-15-0-UI.s1,1-UI-S-GS1Euprymna_UI-S-GS1-acj-a-01-0-UI.s1</t>
  </si>
  <si>
    <t>Ocbimv22004298m(l1,-),0-L2_GFL.id108770.tr222768</t>
  </si>
  <si>
    <t>UniRef90_G9NBF0</t>
  </si>
  <si>
    <t>Uncharacterized protein n=1 Tax=Hypoc</t>
  </si>
  <si>
    <t>0-L2_SG.id87769.tr132063,0-L2_OL.id59473.tr86523,0-L2_VL.id26202.tr75023,0-L2_BuccalGanglia.id87446.tr41109,0-L2_BuccalGanglia.id125604.tr59089,0-L2_BuccalGanglia.id125594.tr59089,0-L2_BuccalGanglia.id125597.tr59089,0-L2_VL.id26203.tr75023,0-L2_BuccalGanglia.id125600.tr59089,0-L2_OL.id59471.tr86523,0-L2_BuccalGanglia.id125606.tr59089,0-L2_BuccalGanglia.id125593.tr59089,0-L2_GFL.id85368.tr144386,0-L2_SG.id87768.tr132063,3-WoodsHole_oy137f05.y2,Ocbimv22018445m(l1,l2),Ocbimv22018451m(l1,l2)</t>
  </si>
  <si>
    <t>Ocbimv22039041m(l1,l2),0-L2_BuccalGanglia.id4055.tr245461,0-L2_SG.id34221.tr121674</t>
  </si>
  <si>
    <t>partial</t>
  </si>
  <si>
    <t>0-L2_SG.id19864.tr168527,0-L2_VL.id20462.tr151036,0-L2_BuccalGanglia.id24678.tr55553,3-WoodsHole_oy125g06.y1,0-L2_OL.id11480.tr317893,3-WoodsHole_oy63f04.y1,0-L2_GFL.id60898.tr131967,Ocbimv22039163m(l1,l2)</t>
  </si>
  <si>
    <t>Ocbimv22005111m(l1,l2),3-WoodsHole_oy254e10.y1,0-L2_OL.id51776.tr171511,3-WoodsHole_oy142a04.y1,3-WoodsHole_oy88d11.y1,3-WoodsHole_oy204c04.y1,0-L2_VL.id78682.tr31866,0-L2_SG.id110470.tr50581,3-WoodsHole_oy18d05.y2,3-WoodsHole_oy45e12.y1,3-WoodsHole_oy160f10.y1,0-L2_BuccalGanglia.id101595.tr48102,3-WoodsHole_oy130b05.y1</t>
  </si>
  <si>
    <t>5-Sepiaofficinalis_FO179621,Ocbimv22016667m(l1,-)</t>
  </si>
  <si>
    <t>0-L2_GFL.id62839.tr60811,0-L2_GFL.id62842.tr60811,0-L2_VL.id50728.tr201699,0-L2_VL.id50727.tr201699,0-L2_VL.id50729.tr201699,0-L2_VL.id50730.tr201699,0-L2_OL.id43921.tr69760,0-L2_VL.id50732.tr201699,0-L2_VL.id50734.tr201699,0-L2_GFL.id62840.tr60811,0-L2_OL.id43922.tr69760,0-L2_SG.id79141.tr51426,0-L2_SG.id79137.tr51426,0-L2_VL.id50735.tr201699,0-L2_BuccalGanglia.id90144.tr42744,0-L2_VL.id50731.tr201699,0-L2_BuccalGanglia.id90143.tr42744,Ocbimv22035718m(l1,-),0-L2_VL.id11707.tr212512,0-L2_OL.id26254.tr48141</t>
  </si>
  <si>
    <t>Ocbimv22013358m(l1,-),0-L2_GFL.id75073.tr80243,0-L2_BuccalGanglia.id125025.tr238286,0-L2_BuccalGanglia.id125040.tr238286,0-L2_BuccalGanglia.id125035.tr238286,0-L2_SG.id112576.tr307705</t>
  </si>
  <si>
    <t>Ocbimv22004836m(l1,-),5-Sepiaofficinalis_FO199260,5-Sepiaofficinalis_FO177819,0-L2_VL.id70933.tr8731,0-L2_OL.id64763.tr156183,3-WoodsHole_oy146f08.y1,0-L2_BuccalGanglia.id64594.tr117050,0-L2_SG.id60600.tr54806,0-L2_SG.id60599.tr54806,0-L2_GFL.id78169.tr32187</t>
  </si>
  <si>
    <t>Ocbimv22036796m(l1,-),0-L2_OL.id48190.tr193778,0-L2_VL.id97211.tr81029,0-L2_SG.id86021.tr40702,0-L2_GFL.id31124.tr63654,0-L2_SG.id86018.tr40702,0-L2_VL.id97212.tr81029,0-L2_BuccalGanglia.id38207.tr122989,0-L2_OL.id48189.tr193778</t>
  </si>
  <si>
    <t>Ocbimv22005890m(l1,-),0-L2_GFL.id93229.tr66163,0-L2_VL.id39096.tr157587,0-L2_VL.id39095.tr157587,0-L2_OL.id97101.tr166499,0-L2_SG.id94075.tr33215,0-L2_SG.id94076.tr33215,0-L2_OL.id97100.tr166499,0-L2_GFL.id93228.tr66163,0-L2_BuccalGanglia.id93287.tr21330,0-L2_BuccalGanglia.id93286.tr21330</t>
  </si>
  <si>
    <t>Ocbimv22003523m(l1,-),0-L2_OL.id32060.tr63177,0-L2_GFL.id38364.tr261803</t>
  </si>
  <si>
    <t>Ocbimv22037740m(l1,l2),0-L2_GFL.id6266.tr59074,0-L2_VL.id125752.tr6604</t>
  </si>
  <si>
    <t>Ocbimv22012015m(l1,-),1-UI-S-GU0Euprymna_UI-S-GU0-adn-l-14-0-UI.s1,1-UI-S-GU1Euprymna_UI-S-GU1-aed-d-07-0-UI.s1,1-UI-S-GU1Euprymna_UI-S-GU1-aeg-k-24-0-UI.s1,0-L2_VL.id31182.tr63346,0-L2_OL.id67835.tr219103,0-L2_BuccalGanglia.id45778.tr88364,0-L2_OL.id67837.tr219103</t>
  </si>
  <si>
    <t>Ocbimv22009304m(l1,-),0-L2_VL.id65260.tr11215,0-L2_VL.id65261.tr11215,0-L2_SG.id97284.tr25132,0-L2_SG.id97276.tr25132,0-L2_VL.id65265.tr11215,0-L2_OL.id70687.tr13737</t>
  </si>
  <si>
    <t>UniRef90_V4A4C5</t>
  </si>
  <si>
    <t>Uncharacterized protein n=1 Tax=Lotti</t>
  </si>
  <si>
    <t>Ocbimv22024442m(l1,l2),0-L2_OL.id73381.tr198255,0-L2_BuccalGanglia.id96750.tr169428,0-L2_VL.id103862.tr82681,0-L2_SG.id75451.tr170212,0-L2_GFL.id51467.tr37513</t>
  </si>
  <si>
    <t>Ocbimv22009297m(l1,-),0-L2_BuccalGanglia.id18146.tr84240,5-Sepiaofficinalis_FO188868</t>
  </si>
  <si>
    <t>Ocbimv22002417m(l1,l2),0-L2_VL.id23982.tr427388,0-L2_BuccalGanglia.id62066.tr93741,0-L2_GFL.id38247.tr67191,0-L2_OL.id53024.tr199361,0-L2_OL.id53025.tr199361,0-L2_SG.id49129.tr49090,0-L2_SG.id49130.tr49090</t>
  </si>
  <si>
    <t>Ocbimv22005312m(l1,l2),5-Sepiaofficinalis_FO196070,5-Sepiaofficinalis_FO178364</t>
  </si>
  <si>
    <t>Ocbimv22033072m(l1,l2),0-L2_OL.id71725.tr64279,0-L2_OL.id71724.tr64279,0-L2_BuccalGanglia.id79440.tr236774,0-L2_BuccalGanglia.id79441.tr236774,0-L2_SG.id99514.tr199239,0-L2_GFL.id49137.tr104901,0-L2_VL.id82857.tr294904,0-L2_BuccalGanglia.id79439.tr236774</t>
  </si>
  <si>
    <t>0-L2_SG.id46692.tr161609,0-L2_BuccalGanglia.id102454.tr10837,Ocbimv22003119m(l1,-)</t>
  </si>
  <si>
    <t>UniRef90_Q6VS81</t>
  </si>
  <si>
    <t>Hox class homeodomain-containing prot</t>
  </si>
  <si>
    <t>0-L2_OL.id126818.tr186761,Ocbimv22030205m(l1,-),5-Sepiaofficinalis_FO176987</t>
  </si>
  <si>
    <t>UniRef90_UPI0003F07AB1</t>
  </si>
  <si>
    <t>PREDICTED: Fanconi anemia group C pro</t>
  </si>
  <si>
    <t>Ocbimv22013844m(l1,l2),2-Northernpygmy_DB913282,0-L2_VL.id129736.tr393490,0-L2_GFL.id34167.tr22006</t>
  </si>
  <si>
    <t>UniRef90_V3ZYC4</t>
  </si>
  <si>
    <t>Ocbimv22015754m(l1,l2),0-L2_BuccalGanglia.id150890.tr145429,0-L2_VL.id23655.tr136281</t>
  </si>
  <si>
    <t>0-L2_BuccalGanglia.id141201.tr155875,Ocbimv22016001m(l1,-)</t>
  </si>
  <si>
    <t>Ocbimv22007690m(l1,l2),0-L2_BuccalGanglia.id75898.tr233615,0-L2_GFL.id74109.tr76559,0-L2_OL.id78642.tr229909,0-L2_VL.id62977.tr158075,0-L2_SG.id95799.tr223282,0-L2_BuccalGanglia.id75897.tr233615,0-L2_BuccalGanglia.id75899.tr233615,0-L2_OL.id78643.tr229909,0-L2_VL.id62978.tr158075</t>
  </si>
  <si>
    <t>none</t>
  </si>
  <si>
    <t>1-UI-S-HH0Euprymna_UI-S-HH0-ady-c-07-0-UI.s1,1-UI-S-HH0Euprymna_UI-S-HH0-add-a-21-0-UI.s1,Ocbimv22039837m(l1,-)</t>
  </si>
  <si>
    <t>UniRef90_UPI0002B4A3CD</t>
  </si>
  <si>
    <t>PREDICTED: uncharacterized protein LO</t>
  </si>
  <si>
    <t>Ocbimv22000497m(l1,-),5-Sepiaofficinalis_FO183749</t>
  </si>
  <si>
    <t>Ocbimv22038479m(l1,-),0-L2_BuccalGanglia.id48143.tr66130,0-L2_VL.id40606.tr31145,0-L2_GFL.id21936.tr33480,0-L2_VL.id40607.tr31145,0-L2_GFL.id21935.tr33480,0-L2_SG.id13201.tr59236,0-L2_SG.id13202.tr59236,0-L2_BuccalGanglia.id48142.tr66130,0-L2_OL.id15709.tr253122</t>
  </si>
  <si>
    <t>UniRef90_V4B3P6</t>
  </si>
  <si>
    <t>Ocbimv22022425m(-,l2),5-Sepiaofficinalis_FO185393</t>
  </si>
  <si>
    <t>UniRef90_H3FS51</t>
  </si>
  <si>
    <t>Uncharacterized protein n=1 Tax=Prist</t>
  </si>
  <si>
    <t>Ocbimv22012465m(l1,-),0-L2_OL.id44352.tr121172,0-L2_SG.id31720.tr57267,0-L2_VL.id59636.tr101755,0-L2_BuccalGanglia.id51266.tr43022</t>
  </si>
  <si>
    <t>Ocbimv22027620m(l1,-),0-L2_SG.id114446.tr332310</t>
  </si>
  <si>
    <t>UniRef90_UPI00026578DF</t>
  </si>
  <si>
    <t>PREDICTED: protein giant-lens-like n=</t>
  </si>
  <si>
    <t>Ocbimv22013525m(l1,-),1-UI-S-GN1Euprymna_UI-S-GN1-abp-k-11-0-UI.s1,0-L2_VL.id28454.tr119468,0-L2_OL.id77571.tr131222</t>
  </si>
  <si>
    <t>0-L2_OL.id60795.tr93989,0-L2_GFL.id20850.tr213327,0-L2_VL.id55742.tr171589,0-L2_SG.id75125.tr49730,0-L2_BuccalGanglia.id101991.tr52544,Ocbimv22010579m(l1,l2)</t>
  </si>
  <si>
    <t>5-Sepiaofficinalis_FO198254,Ocbimv22008564m(l1,l2)</t>
  </si>
  <si>
    <t>Ocbimv22009551m(l1,-),0-L2_GFL.id10819.tr78189,0-L2_BuccalGanglia.id30903.tr82493,0-L2_SG.id43906.tr119837,1-UI-S-GG1Euprymna_UI-S-GG1-abg-l-04-0-UI.s1,5-Sepiaofficinalis_FO186822,5-Sepiaofficinalis_FO171091,5-Sepiaofficinalis_FO188548,5-Sepiaofficinalis_FO185833,5-Sepiaofficinalis_FO196695,5-Sepiaofficinalis_FO171389,5-Sepiaofficinalis_FO188922,5-Sepiaofficinalis_FO172699,5-Sepiaofficinalis_FO200184,5-Sepiaofficinalis_FO199060,5-Sepiaofficinalis_FO162009,5-Sepiaofficinalis_FO202202,5-Sepiaofficinalis_FO181698,5-Sepiaofficinalis_FO187681,5-Sepiaofficinalis_FO187005</t>
  </si>
  <si>
    <t>Ocbimv22012869m(l1,l2),1-UI-S-GN1Euprymna_UI-S-GN1-aca-c-13-0-UI.s1,1-UI-S-GN1Euprymna_UI-S-GN1-abn-g-19-0-UI.s1,5-Sepiaofficinalis_FO171076,0-L2_SG.id60856.tr318691,0-L2_BuccalGanglia.id57978.tr62532,0-L2_GFL.id67829.tr254614,0-L2_VL.id90196.tr42033,0-L2_VL.id90195.tr42033,0-L2_GFL.id67830.tr254614,0-L2_OL.id81972.tr109600,0-L2_OL.id81971.tr109600</t>
  </si>
  <si>
    <t>5-Sepiaofficinalis_FO201055,Ocbimv22024362m(l1,l2)</t>
  </si>
  <si>
    <t>0-L2_SG.id27072.tr136588,Ocbimv22013439m(l1,-)</t>
  </si>
  <si>
    <t>0-L2_SG.id28281.tr203974,0-L2_VL.id72957.tr72790,0-L2_BuccalGanglia.id25438.tr350248,Ocbimv22030112m(l1,-),0-L2_VL.id74472.tr222314,0-L2_VL.id74469.tr222314,5-Sepiaofficinalis_FO172302</t>
  </si>
  <si>
    <t>UniRef90_V4A4I0</t>
  </si>
  <si>
    <t>Ocbimv22005384m(l1,l2),1-UI-S-HH0Euprymna_UI-S-HH0-adw-l-24-0-UI.s1,0-L2_BuccalGanglia.id54568.tr82978,0-L2_VL.id74638.tr423462,0-L2_BuccalGanglia.id54569.tr233068,0-L2_SG.id97238.tr69714,0-L2_SG.id97241.tr69714,0-L2_BuccalGanglia.id54572.tr280281,0-L2_OL.id27724.tr115822,0-L2_GFL.id93926.tr292988,0-L2_OL.id27723.tr74316,0-L2_GFL.id93923.tr292988</t>
  </si>
  <si>
    <t>Ocbimv22012507m(l1,l2),0-L2_OL.id122554.tr223953,5-Sepiaofficinalis_FO171276</t>
  </si>
  <si>
    <t>Ocbimv22024108m(l1,l2),0-L2_SG.id91208.tr218541,0-L2_GFL.id83249.tr50917,0-L2_SG.id91206.tr218541,0-L2_GFL.id83250.tr50917,0-L2_GFL.id83243.tr50917,0-L2_BuccalGanglia.id71799.tr126839,0-L2_VL.id92723.tr134391,0-L2_OL.id108925.tr120679,0-L2_SG.id91203.tr218541</t>
  </si>
  <si>
    <t>5-Sepiaofficinalis_FO161961,Ocbimv22030831m(l1,-)</t>
  </si>
  <si>
    <t>Ocbimv22008323m(l1,l2),0-L2_SG.id33481.tr65967</t>
  </si>
  <si>
    <t>Ocbimv22001430m(l1,-),0-L2_BuccalGanglia.id130977.tr142283,0-L2_GFL.id25739.tr14071,0-L2_SG.id126217.tr134963,0-L2_VL.id113843.tr175088,0-L2_OL.id121790.tr82891</t>
  </si>
  <si>
    <t>UniRef90_V4APM2</t>
  </si>
  <si>
    <t>0-L2_BuccalGanglia.id135131.tr138704,Ocbimv22013696m(l1,l2)</t>
  </si>
  <si>
    <t>UniRef90_V3ZU74</t>
  </si>
  <si>
    <t>Ocbimv22006124m(l1,-),0-L2_BuccalGanglia.id143777.tr61718</t>
  </si>
  <si>
    <t>UniRef90_UPI00035A0FE9</t>
  </si>
  <si>
    <t>PREDICTED: protein very KIND-like n=1</t>
  </si>
  <si>
    <t>Ocbimv22023497m(l1,l2),0-L2_OL.id73267.tr22191,0-L2_OL.id65612.tr69882,0-L2_GFL.id65127.tr90384,0-L2_VL.id79928.tr129533,0-L2_SG.id76016.tr129801,0-L2_BuccalGanglia.id93318.tr167537,0-L2_SG.id76017.tr129801</t>
  </si>
  <si>
    <t>UniRef90_UPI0002B43081</t>
  </si>
  <si>
    <t>PREDICTED: proto-oncogene tyrosine-pr</t>
  </si>
  <si>
    <t>Ocbimv22003823m(l1,l2),2-Northernpygmy_DB914896,3-WoodsHole_oy236a05.y1,3-WoodsHole_oy277g08.y3,0-L2_SG.id112716.tr164207,0-L2_BuccalGanglia.id64730.tr167886,0-L2_OL.id114939.tr142839,0-L2_VL.id108934.tr113452,0-L2_GFL.id101747.tr219562,3-WoodsHole_oy07f05.y1,3-WoodsHole_oy23c11.y1,3-WoodsHole_oy14a11.y2,3-WoodsHole_oy01c02.y1</t>
  </si>
  <si>
    <t>Ocbimv22017631m(l1,-),0-L2_SG.id17221.tr35944</t>
  </si>
  <si>
    <t>UniRef90_S4PYL5</t>
  </si>
  <si>
    <t>Uncharacterized protein (Fragment) n=</t>
  </si>
  <si>
    <t>3-WoodsHole_oy47e07.y1,Ocbimv22028706m(l1,l2)</t>
  </si>
  <si>
    <t>Ocbimv22030553m(l1,-),0-L2_VL.id54339.tr159157,0-L2_OL.id16533.tr155568,0-L2_BuccalGanglia.id48840.tr7637,0-L2_SG.id72609.tr113890,0-L2_GFL.id58016.tr52581,0-L2_SG.id72608.tr113890</t>
  </si>
  <si>
    <t>0-L2_BuccalGanglia.id141685.tr250711,Ocbimv22032506m(l1,-)</t>
  </si>
  <si>
    <t>Ocbimv22038456m(l1,l2),3-WoodsHole_oy182e01.y1</t>
  </si>
  <si>
    <t>3-WoodsHole_oy274b04.y3,0-L2_SG.id19756.tr9683,3-WoodsHole_oy132d06.y1,0-L2_BuccalGanglia.id33617.tr475496,0-L2_VL.id30665.tr33590,3-WoodsHole_oy45g09.y1,0-L2_OL.id48712.tr128407,0-L2_GFL.id36197.tr276803,Ocbimv22015015m(l1,l2)</t>
  </si>
  <si>
    <t>Ocbimv22036567m(l1,-),0-L2_BuccalGanglia.id21241.tr7813,0-L2_GFL.id3119.tr16803,0-L2_OL.id45215.tr58534,0-L2_VL.id35101.tr150124,0-L2_GFL.id21461.tr33179,0-L2_BuccalGanglia.id41217.tr384986,0-L2_SG.id27558.tr173502,0-L2_SG.id27557.tr173502,0-L2_BuccalGanglia.id21243.tr80520,0-L2_SG.id1503.tr32496,0-L2_OL.id45213.tr156624,0-L2_OL.id45214.tr156624</t>
  </si>
  <si>
    <t>Ocbimv22038130m(l1,-),0-L2_BuccalGanglia.id36851.tr5801</t>
  </si>
  <si>
    <t>0-L2_SG.id8161.tr115968,Ocbimv22007870m(l1,l2)</t>
  </si>
  <si>
    <t>Ocbimv22016148m(l1,l2),5-Sepiaofficinalis_FO169576,0-L2_GFL.id52898.tr208319,0-L2_SG.id92931.tr261897,0-L2_OL.id103429.tr86838,0-L2_OL.id103428.tr86838,0-L2_VL.id60500.tr135640,0-L2_BuccalGanglia.id75187.tr272658,0-L2_SG.id92937.tr261897</t>
  </si>
  <si>
    <t>UniRef90_A6QPK3</t>
  </si>
  <si>
    <t>LOC539067 protein n=18 Tax=Laurasiath</t>
  </si>
  <si>
    <t>Ocbimv22007577m(l1,l2),1-UI-S-GU0Euprymna_UI-S-GU0-ado-i-22-0-UI.s1,1-UI-S-GS1Euprymna_UI-S-GS1-acr-l-20-0-UI.s1,0-L2_OL.id82856.tr58846,0-L2_BuccalGanglia.id50920.tr326264,0-L2_SG.id24735.tr4647,0-L2_VL.id74779.tr70481,0-L2_GFL.id32432.tr46383</t>
  </si>
  <si>
    <t>0-L2_OL.id55600.tr151487,0-L2_VL.id60885.tr89927,0-L2_BuccalGanglia.id55293.tr193859,0-L2_GFL.id60148.tr136330,0-L2_OL.id55599.tr151487,0-L2_SG.id46779.tr253136,Ocbimv22018581m(l1,-)</t>
  </si>
  <si>
    <t>UniRef90_UPI0001CBA740</t>
  </si>
  <si>
    <t>PREDICTED: hypothetical protein n=1 T</t>
  </si>
  <si>
    <t>Ocbimv22001467m(l1,l2),0-L2_BuccalGanglia.id146086.tr284933</t>
  </si>
  <si>
    <t>Ocbimv22018225m(l1,l2),0-L2_BuccalGanglia.id20965.tr84079,0-L2_SG.id23332.tr163635,0-L2_OL.id36975.tr19090,0-L2_VL.id25944.tr6442,0-L2_GFL.id37671.tr3096</t>
  </si>
  <si>
    <t>0-L2_OL.id13799.tr286708,Ocbimv22009353m(l1,-),0-L2_OL.id118655.tr51091</t>
  </si>
  <si>
    <t>Ocbimv22016160m(l1,-),5-Sepiaofficinalis_FO162430,5-Sepiaofficinalis_FO168127,5-Sepiaofficinalis_FO194964</t>
  </si>
  <si>
    <t>0-L2_VL.id42514.tr217780,0-L2_SG.id20448.tr173687,0-L2_BuccalGanglia.id28981.tr145634,0-L2_OL.id38755.tr20196,Ocbimv22003085m(l1,-),0-L2_OL.id40441.tr223970,0-L2_SG.id113963.tr121112,0-L2_BuccalGanglia.id126541.tr58262,0-L2_VL.id34638.tr157827,5-Sepiaofficinalis_FO180043,5-Sepiaofficinalis_FO166888</t>
  </si>
  <si>
    <t>Ocbimv22032562m(l1,-),0-L2_OL.id76839.tr96763,0-L2_BuccalGanglia.id57184.tr6195,0-L2_SG.id85421.tr178513,0-L2_GFL.id23688.tr272784,5-Sepiaofficinalis_FO196732,5-Sepiaofficinalis_FO190579,5-Sepiaofficinalis_FO199030,5-Sepiaofficinalis_FO198116,5-Sepiaofficinalis_FO185588,5-Sepiaofficinalis_FO179694,5-Sepiaofficinalis_FO184912,5-Sepiaofficinalis_FO199656,5-Sepiaofficinalis_FO198379</t>
  </si>
  <si>
    <t>5-Sepiaofficinalis_FO179521,5-Sepiaofficinalis_FO160475,Ocbimv22007455m(l1,-)</t>
  </si>
  <si>
    <t>Ocbimv22029401m(l1,-),1-UI-S-GB1Euprymna_UI-S-GB1-aam-a-17-0-UI.s1,1-UI-S-GB1Euprymna_UI-S-GB1-aao-a-05-0-UI.s1</t>
  </si>
  <si>
    <t>UniRef90_V3ZP14</t>
  </si>
  <si>
    <t>Ocbimv22011147m(l1,-),0-L2_SG.id118751.tr80205,0-L2_VL.id24804.tr328705</t>
  </si>
  <si>
    <t>Ocbimv22015239m(l1,-),0-L2_BuccalGanglia.id84640.tr66995,0-L2_SG.id70767.tr458580,0-L2_VL.id76720.tr55354,0-L2_OL.id66940.tr84941</t>
  </si>
  <si>
    <t>Ocbimv22036387m(l1,-),5-Sepiaofficinalis_FO186189,0-L2_OL.id54045.tr95222,0-L2_SG.id93192.tr91680,0-L2_SG.id93191.tr91680,0-L2_SG.id93190.tr81289,0-L2_BuccalGanglia.id92390.tr304511,0-L2_BuccalGanglia.id92388.tr304511,0-L2_BuccalGanglia.id92391.tr304511,0-L2_VL.id65980.tr131860,0-L2_GFL.id78162.tr62018,0-L2_BuccalGanglia.id92389.tr304511,0-L2_OL.id54049.tr95222,0-L2_VL.id65979.tr186539,0-L2_VL.id65978.tr186539,0-L2_GFL.id78161.tr92606,0-L2_SG.id93193.tr81289,0-L2_GFL.id78160.tr92606,0-L2_OL.id54047.tr4430,0-L2_OL.id54048.tr68567</t>
  </si>
  <si>
    <t>Ocbimv22016059m(l1,l2),1-UI-S-HH0Euprymna_UI-S-HH0-adu-d-10-0-UI.s1,1-UI-S-GN1Euprymna_UI-S-GN1-abo-n-24-0-UI.s1,1-UI-S-GN1Euprymna_UI-S-GN1-abt-k-23-0-UI.s1,1-UI-S-GU0Euprymna_UI-S-GU0-ado-l-03-0-UI.s1,1-UI-S-GU0Euprymna_UI-S-GU0-adl-h-12-0-UI.s1</t>
  </si>
  <si>
    <t>UniRef90_D3B8S9</t>
  </si>
  <si>
    <t>Involucrin repeat-containing protein</t>
  </si>
  <si>
    <t>Ocbimv22002584m(l1,-),0-L2_VL.id24644.tr215721</t>
  </si>
  <si>
    <t>Ocbimv22015772m(l1,l2),0-L2_SG.id119258.tr154330,0-L2_GFL.id11815.tr132235</t>
  </si>
  <si>
    <t>0-L2_OL.id123198.tr332574,0-L2_SG.id868.tr155875,0-L2_OL.id13666.tr278606,1-UI-S-GS1Euprymna_UI-S-GS1-acv-l-19-0-UI.s1,Ocbimv22013357m(l1,-),1-UI-S-HH0Euprymna_UI-S-HH0-adu-i-15-0-UI.s1,0-L2_SG.id112583.tr135584,5-Sepiaofficinalis_FO194145,0-L2_BuccalGanglia.id125033.tr238286,0-L2_SG.id112586.tr135584,0-L2_BuccalGanglia.id125036.tr238286,0-L2_BuccalGanglia.id125041.tr238286,0-L2_BuccalGanglia.id125039.tr238286,0-L2_BuccalGanglia.id125026.tr238286,0-L2_BuccalGanglia.id125038.tr238286,0-L2_SG.id112580.tr135584,0-L2_BuccalGanglia.id125029.tr238286,0-L2_BuccalGanglia.id125031.tr238286,0-L2_SG.id60213.tr77691,0-L2_BuccalGanglia.id77277.tr47227,0-L2_SG.id60211.tr161230,0-L2_BuccalGanglia.id77282.tr47227</t>
  </si>
  <si>
    <t>UniRef90_C3YZC0</t>
  </si>
  <si>
    <t>Putative uncharacterized protein n=1</t>
  </si>
  <si>
    <t>Ocbimv22011886m(l1,l2),5-Sepiaofficinalis_FO170441</t>
  </si>
  <si>
    <t>UniRef90_D7GYE3</t>
  </si>
  <si>
    <t>Ocbimv22007187m(l1,l2),0-L2_BuccalGanglia.id43607.tr113602,0-L2_GFL.id63436.tr141227,0-L2_OL.id54085.tr54990,0-L2_SG.id76648.tr329005,0-L2_SG.id76647.tr329005,0-L2_BuccalGanglia.id43608.tr113602,5-Sepiaofficinalis_FO169352,5-Sepiaofficinalis_FO202947</t>
  </si>
  <si>
    <t>Ocbimv22033936m(l1,l2),0-L2_GFL.id34301.tr70185,0-L2_OL.id75605.tr96333,0-L2_SG.id35176.tr102784,0-L2_VL.id111374.tr18734,0-L2_GFL.id34300.tr70185,0-L2_BuccalGanglia.id125940.tr82393</t>
  </si>
  <si>
    <t>Ocbimv22012913m(l1,l2),0-L2_OL.id23119.tr133927,5-Sepiaofficinalis_FO168450,5-Sepiaofficinalis_FO186752,5-Sepiaofficinalis_FO180343,5-Sepiaofficinalis_FO191698</t>
  </si>
  <si>
    <t>Ocbimv22015961m(l1,-),0-L2_VL.id82763.tr4164,0-L2_VL.id82762.tr4164,0-L2_VL.id82761.tr4164,0-L2_VL.id82754.tr4164,0-L2_VL.id82755.tr4164,0-L2_VL.id82758.tr4164,0-L2_VL.id82760.tr4164,0-L2_VL.id82757.tr4164,0-L2_VL.id82753.tr4164,0-L2_VL.id82759.tr4164,0-L2_VL.id82756.tr4164,0-L2_VL.id82764.tr4164,0-L2_SG.id21530.tr375496</t>
  </si>
  <si>
    <t>0-L2_OL.id29343.tr277751,Ocbimv22023403m(l1,-)</t>
  </si>
  <si>
    <t>Ocbimv22008274m(l1,-),3-WoodsHole_oy257a10.y1,3-WoodsHole_oy63a09.y1,0-L2_OL.id53617.tr228369,0-L2_GFL.id56701.tr164822,0-L2_BuccalGanglia.id67350.tr61451,0-L2_SG.id58616.tr188100,0-L2_VL.id55492.tr144660,3-WoodsHole_oy213f07.y1,3-WoodsHole_oy132g11.y1,3-WoodsHole_oy41f05.y1,3-WoodsHole_oy64a09.y1</t>
  </si>
  <si>
    <t>UniRef90_R7T395</t>
  </si>
  <si>
    <t>Uncharacterized protein n=1 Tax=Capit</t>
  </si>
  <si>
    <t>Ocbimv22026960m(l1,l2),0-L2_BuccalGanglia.id27688.tr61996,0-L2_OL.id20742.tr69981,0-L2_SG.id23133.tr157467</t>
  </si>
  <si>
    <t>Ocbimv22018650m(l1,-),0-L2_BuccalGanglia.id54456.tr224190,0-L2_VL.id92113.tr69684,0-L2_SG.id39390.tr79567,0-L2_BuccalGanglia.id54457.tr224190,0-L2_OL.id17872.tr135954</t>
  </si>
  <si>
    <t>Ocbimv22014827m(l1,l2),0-L2_BuccalGanglia.id58957.tr59103,0-L2_OL.id49759.tr74863,0-L2_GFL.id35031.tr55611,0-L2_VL.id59172.tr226711,0-L2_SG.id38212.tr310599,0-L2_BuccalGanglia.id58958.tr59103,0-L2_OL.id49760.tr74863,5-Sepiaofficinalis_FO183466,5-Sepiaofficinalis_FO182445,5-Sepiaofficinalis_FO192890</t>
  </si>
  <si>
    <t>Ocbimv22022125m(l1,l2),0-L2_GFL.id57282.tr199967,0-L2_OL.id61489.tr144119,0-L2_OL.id61488.tr144119,0-L2_BuccalGanglia.id59068.tr137709,0-L2_BuccalGanglia.id59071.tr137709,0-L2_BuccalGanglia.id59070.tr137709,0-L2_SG.id67089.tr1640,0-L2_SG.id67091.tr1640,0-L2_VL.id57421.tr188546,0-L2_SG.id67092.tr1640,0-L2_VL.id57423.tr188546,0-L2_BuccalGanglia.id59069.tr137709,0-L2_OL.id61490.tr144119,0-L2_GFL.id57281.tr199967,0-L2_VL.id57422.tr188546,0-L2_SG.id67090.tr1640</t>
  </si>
  <si>
    <t>UniRef90_UPI000359FBC1</t>
  </si>
  <si>
    <t>PREDICTED: WAS/WASL-interacting prote</t>
  </si>
  <si>
    <t>0-L2_VL.id27615.tr76743,0-L2_SG.id41658.tr79085,0-L2_OL.id35253.tr324392,0-L2_VL.id27614.tr210146,0-L2_BuccalGanglia.id35461.tr81032,5-Sepiaofficinalis_FO165430,5-Sepiaofficinalis_FO160742,5-Sepiaofficinalis_FO166357,5-Sepiaofficinalis_FO162225,Ocbimv22007274m(l1,l2),0-L2_OL.id36732.tr36717,0-L2_SG.id41662.tr324703,0-L2_GFL.id8099.tr265301,0-L2_VL.id40416.tr72509,0-L2_VL.id40417.tr72509,0-L2_BuccalGanglia.id35460.tr283108</t>
  </si>
  <si>
    <t>Ocbimv22000192m(-,l2),0-L2_GFL.id110202.tr22894,0-L2_OL.id61386.tr141698,0-L2_VL.id71303.tr134457,0-L2_BuccalGanglia.id67165.tr11641,0-L2_BuccalGanglia.id67168.tr79920,0-L2_BuccalGanglia.id67167.tr79920,0-L2_OL.id61387.tr141698,0-L2_SG.id124263.tr326866,0-L2_VL.id71302.tr134457,0-L2_BuccalGanglia.id67166.tr11641</t>
  </si>
  <si>
    <t>0-L2_SG.id36921.tr83088,Ocbimv22002528m(l1,-)</t>
  </si>
  <si>
    <t>0-L2_SG.id34289.tr83276,0-L2_BuccalGanglia.id40779.tr52917,0-L2_GFL.id34503.tr131280,0-L2_VL.id36328.tr102665,0-L2_OL.id47522.tr89939,0-L2_BuccalGanglia.id40780.tr235779,0-L2_GFL.id34505.tr102470,0-L2_VL.id36329.tr192257,0-L2_OL.id47523.tr419563,Ocbimv22014582m(l1,-)</t>
  </si>
  <si>
    <t>Ocbimv22010237m(l1,-),5-Sepiaofficinalis_FO169543,5-Sepiaofficinalis_FO195464</t>
  </si>
  <si>
    <t>UniRef90_U3IBG8</t>
  </si>
  <si>
    <t>Ocbimv22001452m(l1,l2),5-Sepiaofficinalis_FO196084,0-L2_BuccalGanglia.id48756.tr46141,0-L2_SG.id53565.tr290352,0-L2_OL.id88330.tr201349,0-L2_GFL.id44239.tr4849,0-L2_VL.id36096.tr388296</t>
  </si>
  <si>
    <t>Ocbimv22020066m(l1,l2),0-L2_BuccalGanglia.id30672.tr290177,0-L2_BuccalGanglia.id30673.tr290177,0-L2_SG.id69599.tr59022</t>
  </si>
  <si>
    <t>Ocbimv22007086m(l1,-),1-UI-S-GS1Euprymna_UI-S-GS1-acr-p-05-0-UI.s1,5-Sepiaofficinalis_FO187364,0-L2_OL.id61719.tr7730,0-L2_VL.id50442.tr84111,0-L2_BuccalGanglia.id68952.tr1957,0-L2_GFL.id72568.tr146996,0-L2_SG.id87265.tr70018</t>
  </si>
  <si>
    <t>Ocbimv22030472m(l1,-),0-L2_BuccalGanglia.id78072.tr88200,0-L2_SG.id62206.tr298173,0-L2_VL.id71536.tr39031,0-L2_VL.id71537.tr39031,0-L2_OL.id85824.tr314841</t>
  </si>
  <si>
    <t>1-UI-S-GG1Euprymna_UI-S-GG1-aay-m-24-0-UI.s1,Ocbimv22033126m(l1,l2)</t>
  </si>
  <si>
    <t>0-L2_BuccalGanglia.id130609.tr50276,0-L2_SG.id129838.tr86038,Ocbimv22009552m(l1,l2)</t>
  </si>
  <si>
    <t>Ocbimv22017493m(l1,l2),1-UI-S-GG1Euprymna_UI-S-GG1-aay-j-15-0-UI.s1,0-L2_SG.id90243.tr18312,0-L2_GFL.id96256.tr5022,0-L2_BuccalGanglia.id103233.tr26635,0-L2_GFL.id96255.tr5022,0-L2_VL.id66368.tr57636,0-L2_VL.id66369.tr57636,0-L2_BuccalGanglia.id103235.tr26635,0-L2_GFL.id96254.tr5022,0-L2_SG.id90242.tr18312,0-L2_SG.id90244.tr18312,0-L2_BuccalGanglia.id103234.tr26635,0-L2_OL.id64090.tr62805,0-L2_OL.id64091.tr62805</t>
  </si>
  <si>
    <t>Ocbimv22008150m(l1,l2),0-L2_OL.id28764.tr317865,0-L2_BuccalGanglia.id26545.tr290486,0-L2_VL.id64936.tr121307</t>
  </si>
  <si>
    <t>Ocbimv22025768m(l1,-),0-L2_OL.id20489.tr144390,0-L2_BuccalGanglia.id16213.tr64988,0-L2_VL.id27469.tr61847</t>
  </si>
  <si>
    <t>Ocbimv22038352m(l1,-),0-L2_OL.id128460.tr135361,0-L2_SG.id131278.tr271585</t>
  </si>
  <si>
    <t>UniRef90_F2USX4</t>
  </si>
  <si>
    <t>Ocbimv22027783m(l1,l2),0-L2_VL.id60346.tr205769,0-L2_OL.id77338.tr85378,0-L2_BuccalGanglia.id29822.tr54645</t>
  </si>
  <si>
    <t>Ocbimv22005441m(l1,-),0-L2_OL.id23694.tr430198,0-L2_BuccalGanglia.id40771.tr39476</t>
  </si>
  <si>
    <t>UniRef90_UPI000359DE3A</t>
  </si>
  <si>
    <t>1-UI-S-HH0Euprymna_UI-S-HH0-adv-l-20-0-UI.s1,Ocbimv22019305m(l1,l2)</t>
  </si>
  <si>
    <t>UniRef90_U6K936</t>
  </si>
  <si>
    <t>Uncharacterized protein n=1 Tax=Eimer</t>
  </si>
  <si>
    <t>0-L2_BuccalGanglia.id124695.tr191171,0-L2_VL.id31690.tr243876,0-L2_SG.id112855.tr118429,0-L2_OL.id39690.tr588,0-L2_GFL.id9848.tr107191,Ocbimv22024123m(l1,-)</t>
  </si>
  <si>
    <t>Ocbimv22024590m(l1,-),5-Sepiaofficinalis_FO173525,5-Sepiaofficinalis_FO181700,5-Sepiaofficinalis_FO191013,0-L2_VL.id56389.tr204697,0-L2_VL.id56381.tr204697,3-WoodsHole_oy223g01.y1,3-WoodsHole_oy77b06.y1,3-WoodsHole_oy70e12.y1,3-WoodsHole_oy82a06.y1,0-L2_GFL.id79268.tr33051,3-WoodsHole_oy158b11.y1,0-L2_OL.id98368.tr59632,3-WoodsHole_oy127f10.y1,0-L2_BuccalGanglia.id77335.tr85284,0-L2_SG.id79651.tr93925,3-WoodsHole_oy279e02.y3,0-L2_OL.id98367.tr59632,0-L2_BuccalGanglia.id77336.tr85284,3-WoodsHole_oy284f02.y1,0-L2_GFL.id79267.tr33051,3-WoodsHole_oy243c05.y2,3-WoodsHole_oy188d06.y1,3-WoodsHole_oy265g01.y1,3-WoodsHole_oy203b08.y1,3-WoodsHole_oy15b07.y2,0-L2_VL.id56387.tr204697,3-WoodsHole_oy122c04.y1,0-L2_VL.id56386.tr204697,5-Sepiaofficinalis_FO188311,5-Sepiaofficinalis_FO200079,5-Sepiaofficinalis_FO189698,5-Sepiaofficinalis_FO179308,5-Sepiaofficinalis_FO197575,5-Sepiaofficinalis_FO190201,5-Sepiaofficinalis_FO176408,5-Sepiaofficinalis_FO187791,5-Sepiaofficinalis_FO192677,5-Sepiaofficinalis_FO173094,5-Sepiaofficinalis_FO165720,5-Sepiaofficinalis_FO170963,5-Sepiaofficinalis_FO197766,5-Sepiaofficinalis_FO189280,5-Sepiaofficinalis_FO192086,5-Sepiaofficinalis_FO191923,5-Sepiaofficinalis_FO165319,5-Sepiaofficinalis_FO171512,5-Sepiaofficinalis_FO187730,5-Sepiaofficinalis_FO169519,5-Sepiaofficinalis_FO160263,5-Sepiaofficinalis_FO181659,5-Sepiaofficinalis_FO168643,5-Sepiaofficinalis_FO189422,5-Sepiaofficinalis_FO185841,5-Sepiaofficinalis_FO168736,5-Sepiaofficinalis_FO189306,5-Sepiaofficinalis_FO170460,5-Sepiaofficinalis_FO173246,5-Sepiaofficinalis_FO192868,5-Sepiaofficinalis_FO163110,5-Sepiaofficinalis_FO166537,5-Sepiaofficinalis_FO184491,5-Sepiaofficinalis_FO183116,5-Sepiaofficinalis_FO187829,5-Sepiaofficinalis_FO200460,5-Sepiaofficinalis_FO171429,5-Sepiaofficinalis_FO168551,5-Sepiaofficinalis_FO165987,5-Sepiaofficinalis_FO191801,5-Sepiaofficinalis_FO165489,2-Northernpygmy_DB915932,5-Sepiaofficinalis_FO186921,5-Sepiaofficinalis_FO185209,5-Sepiaofficinalis_FO199653,5-Sepiaofficinalis_FO178304,5-Sepiaofficinalis_FO169833,5-Sepiaofficinalis_FO165555,5-Sepiaofficinalis_FO200856,5-Sepiaofficinalis_FO180054,5-Sepiaofficinalis_FO202176,5-Sepiaofficinalis_FO178025,5-Sepiaofficinalis_FO198076,5-Sepiaofficinalis_FO165957,5-Sepiaofficinalis_FO193982,5-Sepiaofficinalis_FO190931,5-Sepiaofficinalis_FO197542,5-Sepiaofficinalis_FO202736,5-Sepiaofficinalis_FO189720,5-Sepiaofficinalis_FO166266,5-Sepiaofficinalis_FO162040,5-Sepiaofficinalis_FO179167,5-Sepiaofficinalis_FO200808,5-Sepiaofficinalis_FO196600,5-Sepiaofficinalis_FO192486,5-Sepiaofficinalis_FO185138,5-Sepiaofficinalis_FO199460,5-Sepiaofficinalis_FO174213,5-Sepiaofficinalis_FO173632,5-Sepiaofficinalis_FO172632,5-Sepiaofficinalis_FO177182,5-Sepiaofficinalis_FO169745,5-Sepiaofficinalis_FO167251,5-Sepiaofficinalis_FO181250,5-Sepiaofficinalis_FO200292,5-Sepiaofficinalis_FO195476,5-Sepiaofficinalis_FO196628</t>
  </si>
  <si>
    <t>Ocbimv22016068m(l1,l2),0-L2_SG.id55080.tr57316,0-L2_OL.id117342.tr191799,0-L2_BuccalGanglia.id62463.tr260345,0-L2_GFL.id32361.tr75969,0-L2_GFL.id32360.tr75969</t>
  </si>
  <si>
    <t>Ocbimv22013828m(l1,-),0-L2_SG.id7584.tr268499,5-Sepiaofficinalis_FO201042</t>
  </si>
  <si>
    <t>Ocbimv22020942m(l1,l2),5-Sepiaofficinalis_FO169779,5-Sepiaofficinalis_FO186767,5-Sepiaofficinalis_FO161669,5-Sepiaofficinalis_FO186376</t>
  </si>
  <si>
    <t>Ocbimv22005785m(l1,-),0-L2_OL.id21663.tr134729,0-L2_BuccalGanglia.id39465.tr45191</t>
  </si>
  <si>
    <t>Ocbimv22010092m(l1,-),0-L2_OL.id24979.tr11392,0-L2_VL.id21469.tr87003,0-L2_BuccalGanglia.id47409.tr8435</t>
  </si>
  <si>
    <t>UniRef90_V3YX86</t>
  </si>
  <si>
    <t>Ocbimv22000757m(l1,l2),1-UI-S-HH0Euprymna_UI-S-HH0-ady-h-13-0-UI.s1,0-L2_VL.id45534.tr62239,0-L2_BuccalGanglia.id24391.tr84862,0-L2_SG.id1583.tr359662,0-L2_GFL.id49001.tr69061,5-Sepiaofficinalis_FO170541,5-Sepiaofficinalis_FO202055,5-Sepiaofficinalis_FO197200,5-Sepiaofficinalis_FO159685,5-Sepiaofficinalis_FO191451,5-Sepiaofficinalis_FO173182</t>
  </si>
  <si>
    <t>UniRef90_UPI0001CB9652</t>
  </si>
  <si>
    <t>PREDICTED: chromatin assembly factor</t>
  </si>
  <si>
    <t>Ocbimv22029953m(l1,-),0-L2_VL.id4266.tr142808</t>
  </si>
  <si>
    <t>UniRef90_K1PSU4</t>
  </si>
  <si>
    <t>Uncharacterized protein n=1 Tax=Crass</t>
  </si>
  <si>
    <t>0-L2_BuccalGanglia.id137626.tr167185,Ocbimv22033489m(l1,-),5-Sepiaofficinalis_FO173644,5-Sepiaofficinalis_FO181228</t>
  </si>
  <si>
    <t>0-L2_BuccalGanglia.id59622.tr226206,0-L2_SG.id55018.tr131708,0-L2_GFL.id34960.tr164047,Ocbimv22031419m(l1,-),Ocbimv22017548m(l1,-),0-L2_BuccalGanglia.id77000.tr63196,0-L2_VL.id32944.tr160794,0-L2_SG.id89163.tr123134,0-L2_BuccalGanglia.id77001.tr63196,0-L2_SG.id89160.tr123134,0-L2_VL.id32945.tr160794,0-L2_GFL.id28621.tr57853,0-L2_OL.id27682.tr160479,0-L2_BuccalGanglia.id22680.tr64797,1-UI-S-HH0Euprymna_UI-S-HH0-aea-f-24-0-UI.s1,0-L2_OL.id2994.tr28970,0-L2_SG.id51978.tr37312,0-L2_OL.id39564.tr296758,0-L2_OL.id39565.tr296758,0-L2_BuccalGanglia.id66852.tr138174,0-L2_BuccalGanglia.id66853.tr138174,0-L2_BuccalGanglia.id66850.tr138174,0-L2_BuccalGanglia.id66849.tr138174,0-L2_OL.id2995.tr188738,0-L2_SG.id51977.tr159699</t>
  </si>
  <si>
    <t>Ocbimv22014253m(l1,-),0-L2_SG.id30782.tr55002,0-L2_BuccalGanglia.id29092.tr257445</t>
  </si>
  <si>
    <t>Ocbimv22022807m(l1,-),0-L2_GFL.id19552.tr25475,0-L2_SG.id19345.tr109128,0-L2_VL.id133660.tr172924</t>
  </si>
  <si>
    <t>Ocbimv22001448m(l1,l2),0-L2_BuccalGanglia.id10957.tr74848,0-L2_SG.id1376.tr65713</t>
  </si>
  <si>
    <t>Ocbimv22013453m(l1,l2),0-L2_GFL.id91859.tr148278,0-L2_BuccalGanglia.id111466.tr61406,0-L2_GFL.id91860.tr148278</t>
  </si>
  <si>
    <t>0-L2_OL.id64410.tr321841,Ocbimv22024302m(l1,l2)</t>
  </si>
  <si>
    <t>Ocbimv22002440m(l1,l2),0-L2_SG.id53999.tr151521,0-L2_BuccalGanglia.id56959.tr73013,0-L2_VL.id28450.tr344163,0-L2_SG.id53998.tr151521,0-L2_GFL.id29118.tr240980,0-L2_OL.id23252.tr318114,0-L2_OL.id23253.tr259085</t>
  </si>
  <si>
    <t>Ocbimv22030113m(l1,-),5-Sepiaofficinalis_FO198005,5-Sepiaofficinalis_FO195756,5-Sepiaofficinalis_FO173612,5-Sepiaofficinalis_FO161302,5-Sepiaofficinalis_FO177026,5-Sepiaofficinalis_FO167711,5-Sepiaofficinalis_FO190391,5-Sepiaofficinalis_FO165254,5-Sepiaofficinalis_FO178755,5-Sepiaofficinalis_FO163898</t>
  </si>
  <si>
    <t>UniRef90_K1PZD0</t>
  </si>
  <si>
    <t>Ocbimv22025658m(l1,-),0-L2_OL.id126635.tr223728</t>
  </si>
  <si>
    <t>Ocbimv22030117m(l1,-),Ocbimv22035547m(l1,-),5-Sepiaofficinalis_FO162031,5-Sepiaofficinalis_FO196645,5-Sepiaofficinalis_FO161015,5-Sepiaofficinalis_FO168751,5-Sepiaofficinalis_FO164201,5-Sepiaofficinalis_FO201734,5-Sepiaofficinalis_FO180696,5-Sepiaofficinalis_FO170584,5-Sepiaofficinalis_FO192441,5-Sepiaofficinalis_FO160541,5-Sepiaofficinalis_FO177265,5-Sepiaofficinalis_FO166780,0-L2_VL.id46372.tr58846,0-L2_VL.id48921.tr162064,0-L2_BuccalGanglia.id57705.tr165063,0-L2_GFL.id37913.tr81440</t>
  </si>
  <si>
    <t>0-L2_BuccalGanglia.id56423.tr137854,0-L2_OL.id42058.tr221229,0-L2_GFL.id27198.tr62926,0-L2_VL.id57761.tr283987,0-L2_SG.id40235.tr50460,Ocbimv22019240m(l1,-)</t>
  </si>
  <si>
    <t>UniRef90_V9LJX1</t>
  </si>
  <si>
    <t>TTD non-photosensitive 1 protein-like</t>
  </si>
  <si>
    <t>Ocbimv22003468m(l1,l2),1-UI-S-GU0Euprymna_UI-S-GU0-adk-g-06-0-UI.s1,0-L2_OL.id3057.tr62878,0-L2_VL.id4990.tr9422,0-L2_BuccalGanglia.id133562.tr342004</t>
  </si>
  <si>
    <t>UniRef90_F2UCI7</t>
  </si>
  <si>
    <t>Ocbimv22024088m(l1,l2),0-L2_SG.id54713.tr86864,0-L2_OL.id72574.tr1179,0-L2_BuccalGanglia.id109383.tr35062,0-L2_GFL.id19523.tr215313,0-L2_VL.id17203.tr17576</t>
  </si>
  <si>
    <t>UniRef90_B9Q6A1</t>
  </si>
  <si>
    <t>Uncharacterized protein n=3 Tax=Toxop</t>
  </si>
  <si>
    <t>Ocbimv22035277m(l1,-),0-L2_SG.id21030.tr46258</t>
  </si>
  <si>
    <t>UniRef90_V3ZRY2</t>
  </si>
  <si>
    <t>Ocbimv22038053m(l1,-),0-L2_BuccalGanglia.id26531.tr160096,0-L2_VL.id43698.tr92081</t>
  </si>
  <si>
    <t>UniRef90_UPI00035987A9</t>
  </si>
  <si>
    <t>PREDICTED: P17/29C-like protein DDB_G</t>
  </si>
  <si>
    <t>Ocbimv22004891m(l1,-),5-Sepiaofficinalis_FO168246,5-Sepiaofficinalis_FO166427,5-Sepiaofficinalis_FO168476,5-Sepiaofficinalis_FO181811,5-Sepiaofficinalis_FO180170</t>
  </si>
  <si>
    <t>UniRef90_Q6TW98</t>
  </si>
  <si>
    <t>Visual GTP-binding protein gamma subu</t>
  </si>
  <si>
    <t>Ocbimv22031626m(l1,l2),5-Sepiaofficinalis_FO191684,0-L2_SG.id3755.tr139992,0-L2_VL.id47387.tr227276,0-L2_BuccalGanglia.id128996.tr61698,0-L2_VL.id47386.tr227276,0-L2_OL.id48880.tr34041,0-L2_OL.id48881.tr34041</t>
  </si>
  <si>
    <t>Ocbimv22012644m(-,l2),0-L2_VL.id54114.tr333591,0-L2_SG.id68414.tr30167,0-L2_OL.id10567.tr111158,0-L2_GFL.id63958.tr32846,0-L2_BuccalGanglia.id81241.tr5256,5-Sepiaofficinalis_FO183149</t>
  </si>
  <si>
    <t>UniRef90_B4NR53</t>
  </si>
  <si>
    <t>GK21261 n=1 Tax=Drosophila willistoni</t>
  </si>
  <si>
    <t>Ocbimv22022041m(l1,l2),0-L2_OL.id5314.tr74576,0-L2_BuccalGanglia.id133868.tr284117,0-L2_VL.id50131.tr303872</t>
  </si>
  <si>
    <t>Ocbimv22030870m(l1,l2),0-L2_BuccalGanglia.id21605.tr70729,0-L2_SG.id114407.tr326985,0-L2_OL.id5157.tr135475</t>
  </si>
  <si>
    <t>UniRef90_V4A723</t>
  </si>
  <si>
    <t>Ocbimv22034904m(l1,l2),0-L2_BuccalGanglia.id99125.tr25196,0-L2_BuccalGanglia.id99127.tr25196,0-L2_BuccalGanglia.id99130.tr25196,0-L2_BuccalGanglia.id99126.tr25196,0-L2_GFL.id58301.tr297162,0-L2_GFL.id58299.tr297162,0-L2_GFL.id58302.tr297162,0-L2_GFL.id58303.tr297162,0-L2_SG.id97286.tr25132,0-L2_BuccalGanglia.id99129.tr25196,0-L2_BuccalGanglia.id99124.tr25196,0-L2_OL.id70686.tr13737,0-L2_SG.id97280.tr25132,0-L2_SG.id97285.tr25132,0-L2_OL.id70684.tr13737,0-L2_VL.id65262.tr11215,0-L2_VL.id65263.tr11215,0-L2_SG.id97288.tr25132,0-L2_SG.id97287.tr25132,0-L2_SG.id97289.tr25132,0-L2_GFL.id58305.tr297162,0-L2_VL.id65264.tr11215,0-L2_SG.id97281.tr25132</t>
  </si>
  <si>
    <t>5-Sepiaofficinalis_FO197022,0-L2_VL.id50218.tr234991,0-L2_SG.id53977.tr51821,0-L2_BuccalGanglia.id101875.tr56607,0-L2_GFL.id43771.tr64546,0-L2_VL.id50219.tr234991,0-L2_SG.id53976.tr51821,0-L2_BuccalGanglia.id101874.tr56607,0-L2_OL.id40277.tr288635,Ocbimv22020075m(l1,l2),0-L2_OL.id95506.tr150800,0-L2_GFL.id196.tr140682,0-L2_VL.id81230.tr348158,0-L2_OL.id95505.tr150800</t>
  </si>
  <si>
    <t>Ocbimv22007132m(l1,-),0-L2_OL.id48620.tr235287</t>
  </si>
  <si>
    <t>5-Sepiaofficinalis_FO185229,5-Sepiaofficinalis_FO201865,5-Sepiaofficinalis_FO179241,5-Sepiaofficinalis_FO202996,5-Sepiaofficinalis_FO178853,5-Sepiaofficinalis_FO186428,5-Sepiaofficinalis_FO168927,5-Sepiaofficinalis_FO198346,5-Sepiaofficinalis_FO184832,5-Sepiaofficinalis_FO161751,5-Sepiaofficinalis_FO169633,5-Sepiaofficinalis_FO197078,5-Sepiaofficinalis_FO200421,5-Sepiaofficinalis_FO181149,5-Sepiaofficinalis_FO160097,5-Sepiaofficinalis_FO186689,5-Sepiaofficinalis_FO201342,5-Sepiaofficinalis_FO175292,5-Sepiaofficinalis_FO196069,5-Sepiaofficinalis_FO183024,5-Sepiaofficinalis_FO184179,5-Sepiaofficinalis_FO184168,5-Sepiaofficinalis_FO166256,5-Sepiaofficinalis_FO162518,5-Sepiaofficinalis_FO177003,5-Sepiaofficinalis_FO195113,5-Sepiaofficinalis_FO194922,5-Sepiaofficinalis_FO160096,5-Sepiaofficinalis_FO162282,5-Sepiaofficinalis_FO172084,5-Sepiaofficinalis_FO186509,5-Sepiaofficinalis_FO169958,5-Sepiaofficinalis_FO181208,5-Sepiaofficinalis_FO163510,5-Sepiaofficinalis_FO166489,5-Sepiaofficinalis_FO162790,5-Sepiaofficinalis_FO186738,5-Sepiaofficinalis_FO201049,5-Sepiaofficinalis_FO199681,5-Sepiaofficinalis_FO165781,5-Sepiaofficinalis_FO183448,5-Sepiaofficinalis_FO176114,5-Sepiaofficinalis_FO183002,5-Sepiaofficinalis_FO185043,5-Sepiaofficinalis_FO196516,Ocbimv22023262m(l1,l2)</t>
  </si>
  <si>
    <t>Ocbimv22039433m(l1,l2),5-Sepiaofficinalis_FO166403,5-Sepiaofficinalis_FO200389</t>
  </si>
  <si>
    <t>0-L2_BuccalGanglia.id48616.tr317794,0-L2_VL.id90405.tr180983,0-L2_GFL.id26365.tr171893,Ocbimv22021555m(l1,-),0-L2_VL.id90418.tr113970</t>
  </si>
  <si>
    <t>0-L2_BuccalGanglia.id47094.tr36867,Ocbimv22014761m(l1,-)</t>
  </si>
  <si>
    <t>UniRef90_C3ZVQ8</t>
  </si>
  <si>
    <t>Ocbimv22002225m(l1,l2),0-L2_GFL.id43970.tr190515,0-L2_VL.id31771.tr79623,0-L2_SG.id95907.tr218381,0-L2_GFL.id43971.tr190515,0-L2_SG.id95908.tr218381,0-L2_BuccalGanglia.id45330.tr114128,1-UI-S-GS1Euprymna_UI-S-GS1-ack-l-16-0-UI.s1</t>
  </si>
  <si>
    <t>0-L2_OL.id55414.tr51845,0-L2_OL.id55415.tr51845,0-L2_OL.id55413.tr51845,0-L2_VL.id40945.tr64729,Ocbimv22027599m(l1,l2)</t>
  </si>
  <si>
    <t>Ocbimv22027723m(l1,l2),0-L2_GFL.id1480.tr11484,0-L2_BuccalGanglia.id52008.tr72266,0-L2_BuccalGanglia.id52009.tr72266,0-L2_OL.id70204.tr24753,0-L2_OL.id70203.tr24753,0-L2_VL.id49702.tr160790,0-L2_VL.id49703.tr160790,0-L2_SG.id47387.tr222624,0-L2_SG.id47386.tr222624,5-Sepiaofficinalis_FO201458,5-Sepiaofficinalis_FO167357,5-Sepiaofficinalis_FO185235</t>
  </si>
  <si>
    <t>UniRef90_V4A1E5</t>
  </si>
  <si>
    <t>Ocbimv22026410m(l1,l2),5-Sepiaofficinalis_FO180004</t>
  </si>
  <si>
    <t>UniRef90_E2AD13</t>
  </si>
  <si>
    <t>Putative uncharacterized protein (Fra</t>
  </si>
  <si>
    <t>0-L2_BuccalGanglia.id42834.tr292217,0-L2_GFL.id20419.tr221022,0-L2_SG.id98893.tr381272,Ocbimv22005608m(l1,-),5-Sepiaofficinalis_FO159758,0-L2_SG.id98890.tr153404,0-L2_BuccalGanglia.id42835.tr219226,0-L2_VL.id47029.tr286888,0-L2_OL.id47562.tr173476,0-L2_GFL.id20420.tr65316,0-L2_VL.id47028.tr286888</t>
  </si>
  <si>
    <t>UniRef90_UPI0003C1B212</t>
  </si>
  <si>
    <t>Ocbimv22008142m(l1,-),0-L2_OL.id111943.tr161228,0-L2_GFL.id10866.tr89464,0-L2_BuccalGanglia.id70994.tr227965,0-L2_VL.id18611.tr89377,0-L2_SG.id31439.tr205731,0-L2_BuccalGanglia.id28853.tr69063,0-L2_GFL.id10654.tr54204,0-L2_VL.id7278.tr368744,5-Sepiaofficinalis_FO202943,5-Sepiaofficinalis_FO192493,5-Sepiaofficinalis_FO199846,5-Sepiaofficinalis_FO180131</t>
  </si>
  <si>
    <t>UniRef90_UPI00034FA67A</t>
  </si>
  <si>
    <t>PREDICTED: obscurin-like n=1 Tax=Xeno</t>
  </si>
  <si>
    <t>Ocbimv22022571m(l1,-),5-Sepiaofficinalis_FO193400,0-L2_OL.id128157.tr140954,0-L2_OL.id4814.tr145116</t>
  </si>
  <si>
    <t>Ocbimv22019051m(l1,l2),0-L2_VL.id23742.tr188435,0-L2_GFL.id32471.tr138984</t>
  </si>
  <si>
    <t>Ocbimv22001180m(l1,l2),5-Sepiaofficinalis_FO189080,0-L2_OL.id44180.tr322104,0-L2_VL.id124044.tr62736,5-Sepiaofficinalis_FO173027,5-Sepiaofficinalis_FO193846,5-Sepiaofficinalis_FO176547,5-Sepiaofficinalis_FO160176,5-Sepiaofficinalis_FO171143,5-Sepiaofficinalis_FO176360,5-Sepiaofficinalis_FO187962,5-Sepiaofficinalis_FO167435,5-Sepiaofficinalis_FO202288</t>
  </si>
  <si>
    <t>Ocbimv22020650m(l1,l2),0-L2_OL.id79954.tr331272,0-L2_VL.id67842.tr191880,0-L2_BuccalGanglia.id73592.tr11625,0-L2_SG.id68940.tr330538,0-L2_BuccalGanglia.id73597.tr11625,0-L2_OL.id79959.tr331272,0-L2_VL.id67849.tr191880,0-L2_OL.id79953.tr331272,0-L2_BuccalGanglia.id73593.tr11625,0-L2_VL.id67851.tr191880,0-L2_VL.id67850.tr191880,0-L2_BuccalGanglia.id73595.tr11625,0-L2_VL.id67848.tr191880,0-L2_SG.id68941.tr330538,0-L2_BuccalGanglia.id73596.tr11625,0-L2_BuccalGanglia.id73599.tr11625,0-L2_VL.id67847.tr191880,0-L2_OL.id79952.tr331272,0-L2_VL.id67837.tr191880,0-L2_OL.id79955.tr331272,0-L2_SG.id68942.tr330538,0-L2_VL.id67838.tr191880,0-L2_BuccalGanglia.id73590.tr11625,0-L2_SG.id68944.tr330538,0-L2_VL.id67843.tr191880,0-L2_BuccalGanglia.id73598.tr11625,0-L2_VL.id67844.tr191880,0-L2_OL.id79957.tr331272,0-L2_GFL.id62799.tr26165,0-L2_GFL.id62798.tr26165,0-L2_GFL.id62796.tr26165,0-L2_BuccalGanglia.id73594.tr11625,0-L2_VL.id67841.tr191880,0-L2_GFL.id62800.tr26165,0-L2_SG.id68943.tr330538,0-L2_OL.id79956.tr331272,0-L2_VL.id67840.tr191880,0-L2_BuccalGanglia.id73591.tr11625,0-L2_OL.id79958.tr331272,0-L2_SG.id68939.tr330538,0-L2_GFL.id62797.tr26165,0-L2_GFL.id62801.tr26165</t>
  </si>
  <si>
    <t>Ocbimv22029770m(l1,l2),0-L2_VL.id132007.tr135012,5-Sepiaofficinalis_FO191974</t>
  </si>
  <si>
    <t>0-L2_OL.id31892.tr63408,Ocbimv22011536m(l1,l2)</t>
  </si>
  <si>
    <t>Ocbimv22027984m(l1,l2),0-L2_OL.id54509.tr321053,0-L2_VL.id93892.tr162590,0-L2_VL.id93893.tr162590,0-L2_VL.id93891.tr162590</t>
  </si>
  <si>
    <t>0-L2_BuccalGanglia.id39916.tr26960,Ocbimv22026967m(l1,-)</t>
  </si>
  <si>
    <t>Ocbimv22021525m(-,l2),5-Sepiaofficinalis_FO203150,5-Sepiaofficinalis_FO194984,0-L2_GFL.id44538.tr27150,0-L2_VL.id56160.tr99273,0-L2_OL.id43564.tr123534,0-L2_BuccalGanglia.id48653.tr39078,0-L2_BuccalGanglia.id48649.tr39078,0-L2_BuccalGanglia.id48648.tr39078,0-L2_BuccalGanglia.id48647.tr39078</t>
  </si>
  <si>
    <t>UniRef90_C5L9G5</t>
  </si>
  <si>
    <t>Transposable element Tc3 transposase,</t>
  </si>
  <si>
    <t>Ocbimv22006951m(l1,l2),0-L2_BuccalGanglia.id105804.tr132502,0-L2_OL.id113566.tr357899</t>
  </si>
  <si>
    <t>0-L2_VL.id589.tr187745,Ocbimv22017146m(l1,l2)</t>
  </si>
  <si>
    <t>0-L2_BuccalGanglia.id72379.tr38755,0-L2_SG.id107976.tr370320,0-L2_OL.id64468.tr75560,0-L2_VL.id109856.tr2728,0-L2_SG.id107980.tr370320,0-L2_GFL.id73399.tr4505,Ocbimv22007404m(l1,l2)</t>
  </si>
  <si>
    <t>Ocbimv22032420m(l1,-),0-L2_GFL.id14974.tr124155,0-L2_BuccalGanglia.id32349.tr264578,0-L2_VL.id24793.tr65745</t>
  </si>
  <si>
    <t>Ocbimv22009460m(l1,-),5-Sepiaofficinalis_FO200852</t>
  </si>
  <si>
    <t>UniRef90_UPI000359E49D</t>
  </si>
  <si>
    <t>0-L2_VL.id101911.tr242978,0-L2_OL.id94314.tr112666,0-L2_BuccalGanglia.id112805.tr220728,Ocbimv22033804m(l1,-)</t>
  </si>
  <si>
    <t>Ocbimv22010012m(l1,l2),5-Sepiaofficinalis_FO181599,5-Sepiaofficinalis_FO200713</t>
  </si>
  <si>
    <t>Ocbimv22028001m(l1,l2),0-L2_BuccalGanglia.id43323.tr297794,0-L2_OL.id44255.tr158246,0-L2_SG.id43211.tr73600</t>
  </si>
  <si>
    <t>Ocbimv22022880m(l1,-),0-L2_SG.id17832.tr306824,1-UI-S-HH0Euprymna_UI-S-HH0-adu-d-24-0-UI.s1</t>
  </si>
  <si>
    <t>0-L2_VL.id22039.tr158437,1-UI-S-HH0Euprymna_UI-S-HH0-adg-i-15-0-UI.s1,1-UI-S-HH0Euprymna_UI-S-HH0-ady-i-10-0-UI.s1,Ocbimv22013356m(l1,-),Ocbimv22013360m(l1,-),Ocbimv22031874m(l1,-),Ocbimv22013355m(l1,-),5-Sepiaofficinalis_FO168931,0-L2_BuccalGanglia.id125022.tr238286,0-L2_GFL.id75072.tr80243,0-L2_BuccalGanglia.id125043.tr238286,0-L2_BuccalGanglia.id125030.tr238286,0-L2_SG.id55381.tr414102,0-L2_SG.id55380.tr29143,0-L2_SG.id112584.tr135584,0-L2_BuccalGanglia.id125027.tr238286,0-L2_BuccalGanglia.id125044.tr238286,0-L2_BuccalGanglia.id125034.tr238286,0-L2_BuccalGanglia.id125028.tr238286,0-L2_BuccalGanglia.id125024.tr238286</t>
  </si>
  <si>
    <t>partial,complete</t>
  </si>
  <si>
    <t>0-L2_OL.id21183.tr282390,Ocbimv22013664m(-,l2)</t>
  </si>
  <si>
    <t>UniRef90_K1P4U3</t>
  </si>
  <si>
    <t>PDZ domain-containing protein 6 n=1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</si>
</sst>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E+00"/>
  </numFmts>
  <fonts count="3" x14ac:knownFonts="1">
    <font>
      <sz val="12"/>
      <color theme="1"/>
      <name val="Calibri"/>
      <family val="2"/>
      <scheme val="minor"/>
    </font>
    <font>
      <u/>
      <sz val="12"/>
      <color rgb="FF0000FF"/>
      <name val="Calibri"/>
      <scheme val="minor"/>
    </font>
    <font>
      <b/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hmm.sum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5"/>
  <sheetViews>
    <sheetView tabSelected="1" topLeftCell="G38" workbookViewId="0">
      <selection activeCell="I48" sqref="I48"/>
    </sheetView>
  </sheetViews>
  <sheetFormatPr baseColWidth="10" defaultRowHeight="15" x14ac:dyDescent="0"/>
  <cols>
    <col min="1" max="1" width="6.33203125" style="2" bestFit="1" customWidth="1"/>
    <col min="2" max="2" width="6.6640625" bestFit="1" customWidth="1"/>
    <col min="3" max="14" width="6.6640625" style="5" customWidth="1"/>
    <col min="15" max="15" width="57.33203125" customWidth="1"/>
    <col min="16" max="16" width="6.33203125" bestFit="1" customWidth="1"/>
    <col min="17" max="17" width="6.83203125" bestFit="1" customWidth="1"/>
    <col min="18" max="18" width="8.83203125" bestFit="1" customWidth="1"/>
    <col min="19" max="19" width="23.1640625" bestFit="1" customWidth="1"/>
    <col min="20" max="20" width="35" bestFit="1" customWidth="1"/>
    <col min="21" max="21" width="7.83203125" bestFit="1" customWidth="1"/>
    <col min="22" max="22" width="14.6640625" bestFit="1" customWidth="1"/>
  </cols>
  <sheetData>
    <row r="1" spans="1:22" s="3" customFormat="1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2">
        <f>HYPERLINK("http://hydra.cos.uni-heidelberg.de/cgi-bin/perl/getCephData.pl?clusid=3695",3695)</f>
        <v>3695</v>
      </c>
      <c r="B2" t="s">
        <v>70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t="s">
        <v>71</v>
      </c>
      <c r="P2">
        <v>0.57999999999999996</v>
      </c>
      <c r="Q2">
        <v>180</v>
      </c>
      <c r="R2" s="1">
        <v>3.2999999999999999E-36</v>
      </c>
      <c r="S2" t="s">
        <v>72</v>
      </c>
      <c r="T2" t="s">
        <v>73</v>
      </c>
      <c r="U2" t="s">
        <v>32</v>
      </c>
      <c r="V2" t="s">
        <v>26</v>
      </c>
    </row>
    <row r="3" spans="1:22">
      <c r="A3" s="2">
        <f>HYPERLINK("http://hydra.cos.uni-heidelberg.de/cgi-bin/perl/getCephData.pl?clusid=13248",13248)</f>
        <v>13248</v>
      </c>
      <c r="B3" t="s">
        <v>22</v>
      </c>
      <c r="C3" s="5">
        <v>6.6672000426700802E-7</v>
      </c>
      <c r="D3" s="5">
        <v>5.0844661170754198E-6</v>
      </c>
      <c r="E3" s="5">
        <v>9.5976940964071705E-8</v>
      </c>
      <c r="F3" s="5">
        <v>1.0914102466505301E-7</v>
      </c>
      <c r="G3" s="5">
        <v>4.0694391737671104E-6</v>
      </c>
      <c r="H3" s="5">
        <v>2.06334676561218E-7</v>
      </c>
      <c r="I3" s="5">
        <v>3.7696663019765797E-8</v>
      </c>
      <c r="J3" s="5">
        <v>1.16621378964094E-6</v>
      </c>
      <c r="K3" s="5">
        <v>4.4270140603626698E-6</v>
      </c>
      <c r="L3" s="5">
        <v>1.3185348594298001E-6</v>
      </c>
      <c r="M3" s="5">
        <v>4.3039744798372803E-6</v>
      </c>
      <c r="N3" s="5">
        <v>1.8150761568746402E-8</v>
      </c>
      <c r="O3" t="s">
        <v>263</v>
      </c>
      <c r="P3">
        <v>0.64</v>
      </c>
      <c r="Q3">
        <v>127</v>
      </c>
      <c r="R3" s="1">
        <v>1.1E-28</v>
      </c>
      <c r="S3" t="s">
        <v>264</v>
      </c>
      <c r="T3" t="s">
        <v>265</v>
      </c>
      <c r="U3" t="s">
        <v>32</v>
      </c>
      <c r="V3" t="s">
        <v>26</v>
      </c>
    </row>
    <row r="4" spans="1:22">
      <c r="A4" s="2">
        <f>HYPERLINK("http://hydra.cos.uni-heidelberg.de/cgi-bin/perl/getCephData.pl?clusid=11883",11883)</f>
        <v>11883</v>
      </c>
      <c r="B4" t="s">
        <v>22</v>
      </c>
      <c r="C4" s="5">
        <v>5.2782000337804804E-7</v>
      </c>
      <c r="D4" s="5">
        <v>4.8019957772379E-7</v>
      </c>
      <c r="E4" s="5">
        <v>3.5191545020159601E-7</v>
      </c>
      <c r="F4" s="5">
        <v>1.3824529790906699E-6</v>
      </c>
      <c r="G4" s="5">
        <v>3.5268472839314998E-7</v>
      </c>
      <c r="H4" s="5">
        <v>2.06334676561218E-7</v>
      </c>
      <c r="I4" s="5">
        <v>1.30053487418192E-6</v>
      </c>
      <c r="J4" s="5">
        <v>1.4377978228450001E-7</v>
      </c>
      <c r="K4" s="5">
        <v>5.1648497370897798E-7</v>
      </c>
      <c r="L4" s="5">
        <v>3.1146492742436302E-7</v>
      </c>
      <c r="M4" s="5">
        <v>6.1485349711961197E-7</v>
      </c>
      <c r="N4" s="5">
        <v>1.2524025482434999E-6</v>
      </c>
      <c r="O4" t="s">
        <v>105</v>
      </c>
      <c r="P4">
        <v>0.71</v>
      </c>
      <c r="Q4">
        <v>291</v>
      </c>
      <c r="R4" s="1">
        <v>1.3000000000000001E-27</v>
      </c>
      <c r="S4" t="s">
        <v>106</v>
      </c>
      <c r="T4" t="s">
        <v>107</v>
      </c>
      <c r="U4" t="s">
        <v>32</v>
      </c>
      <c r="V4" t="s">
        <v>26</v>
      </c>
    </row>
    <row r="5" spans="1:22">
      <c r="A5" s="2">
        <f>HYPERLINK("http://hydra.cos.uni-heidelberg.de/cgi-bin/perl/getCephData.pl?clusid=15916",15916)</f>
        <v>15916</v>
      </c>
      <c r="B5" t="s">
        <v>22</v>
      </c>
      <c r="C5" s="5">
        <v>5.6393400360917797E-6</v>
      </c>
      <c r="D5" s="5">
        <v>0</v>
      </c>
      <c r="E5" s="5">
        <v>4.7988470482035899E-8</v>
      </c>
      <c r="F5" s="5">
        <v>9.4043182919720705E-6</v>
      </c>
      <c r="G5" s="5">
        <v>0</v>
      </c>
      <c r="H5" s="5">
        <v>6.0923028184654403E-6</v>
      </c>
      <c r="I5" s="5">
        <v>0</v>
      </c>
      <c r="J5" s="5">
        <v>0</v>
      </c>
      <c r="K5" s="5">
        <v>0</v>
      </c>
      <c r="L5" s="5">
        <v>2.5955410618696901E-7</v>
      </c>
      <c r="M5" s="5">
        <v>2.6732760744331001E-8</v>
      </c>
      <c r="N5" s="5">
        <v>1.70617158746216E-6</v>
      </c>
      <c r="O5" t="s">
        <v>59</v>
      </c>
      <c r="P5">
        <v>0.59</v>
      </c>
      <c r="Q5">
        <v>212</v>
      </c>
      <c r="R5" s="1">
        <v>4.4999999999999997E-23</v>
      </c>
      <c r="S5" t="s">
        <v>60</v>
      </c>
      <c r="T5" t="s">
        <v>61</v>
      </c>
      <c r="U5" t="s">
        <v>32</v>
      </c>
      <c r="V5" t="s">
        <v>39</v>
      </c>
    </row>
    <row r="6" spans="1:22">
      <c r="A6" s="2">
        <f>HYPERLINK("http://hydra.cos.uni-heidelberg.de/cgi-bin/perl/getCephData.pl?clusid=27672",27672)</f>
        <v>27672</v>
      </c>
      <c r="B6" t="s">
        <v>22</v>
      </c>
      <c r="C6" s="5">
        <v>1.9446000124454401E-7</v>
      </c>
      <c r="D6" s="5">
        <v>0</v>
      </c>
      <c r="E6" s="5">
        <v>7.9980784136726395E-8</v>
      </c>
      <c r="F6" s="5">
        <v>3.6380341555017702E-8</v>
      </c>
      <c r="G6" s="5">
        <v>1.8990716144246501E-7</v>
      </c>
      <c r="H6" s="5">
        <v>1.15113030081522E-6</v>
      </c>
      <c r="I6" s="5">
        <v>1.50786652079063E-7</v>
      </c>
      <c r="J6" s="5">
        <v>7.9877656824722197E-8</v>
      </c>
      <c r="K6" s="5">
        <v>1.1251994070088499E-6</v>
      </c>
      <c r="L6" s="5">
        <v>2.1698723277230602E-6</v>
      </c>
      <c r="M6" s="5">
        <v>2.4059484669897901E-7</v>
      </c>
      <c r="N6" s="5">
        <v>7.2603046274985395E-8</v>
      </c>
      <c r="O6" t="s">
        <v>247</v>
      </c>
      <c r="P6">
        <v>0.61</v>
      </c>
      <c r="Q6">
        <v>153</v>
      </c>
      <c r="R6" s="1">
        <v>2.1000000000000001E-16</v>
      </c>
      <c r="S6" t="s">
        <v>248</v>
      </c>
      <c r="T6" t="s">
        <v>249</v>
      </c>
      <c r="U6" t="s">
        <v>32</v>
      </c>
      <c r="V6" t="s">
        <v>26</v>
      </c>
    </row>
    <row r="7" spans="1:22">
      <c r="A7" s="2">
        <f>HYPERLINK("http://hydra.cos.uni-heidelberg.de/cgi-bin/perl/getCephData.pl?clusid=23846",23846)</f>
        <v>23846</v>
      </c>
      <c r="B7" t="s">
        <v>22</v>
      </c>
      <c r="C7" s="5">
        <v>2.5752060164813198E-5</v>
      </c>
      <c r="D7" s="5">
        <v>7.3442288357756097E-7</v>
      </c>
      <c r="E7" s="5">
        <v>5.0227932437864199E-6</v>
      </c>
      <c r="F7" s="5">
        <v>2.3119707058213699E-5</v>
      </c>
      <c r="G7" s="5">
        <v>1.8176828309493101E-5</v>
      </c>
      <c r="H7" s="5">
        <v>1.46389023160275E-5</v>
      </c>
      <c r="I7" s="5">
        <v>1.8697544857803898E-5</v>
      </c>
      <c r="J7" s="5">
        <v>1.91706376379333E-6</v>
      </c>
      <c r="K7" s="5">
        <v>7.7657204975528493E-6</v>
      </c>
      <c r="L7" s="5">
        <v>2.7626939062541001E-5</v>
      </c>
      <c r="M7" s="5">
        <v>1.7349561723070801E-5</v>
      </c>
      <c r="N7" s="5">
        <v>9.4928483004543496E-6</v>
      </c>
      <c r="O7" t="s">
        <v>197</v>
      </c>
      <c r="P7">
        <v>0.6</v>
      </c>
      <c r="Q7">
        <v>2065</v>
      </c>
      <c r="R7" s="1">
        <v>7.3999999999999999E-16</v>
      </c>
      <c r="S7" t="s">
        <v>198</v>
      </c>
      <c r="T7" t="s">
        <v>199</v>
      </c>
      <c r="U7" t="s">
        <v>32</v>
      </c>
      <c r="V7" t="s">
        <v>26</v>
      </c>
    </row>
    <row r="8" spans="1:22">
      <c r="A8" s="2">
        <f>HYPERLINK("http://hydra.cos.uni-heidelberg.de/cgi-bin/perl/getCephData.pl?clusid=15537",15537)</f>
        <v>15537</v>
      </c>
      <c r="B8" t="s">
        <v>22</v>
      </c>
      <c r="C8" s="5">
        <v>8.3340000533376002E-8</v>
      </c>
      <c r="D8" s="5">
        <v>0</v>
      </c>
      <c r="E8" s="5">
        <v>0</v>
      </c>
      <c r="F8" s="5">
        <v>6.8031238707883002E-6</v>
      </c>
      <c r="G8" s="5">
        <v>0</v>
      </c>
      <c r="H8" s="5">
        <v>7.60180387330803E-8</v>
      </c>
      <c r="I8" s="5">
        <v>5.8429827680637002E-7</v>
      </c>
      <c r="J8" s="5">
        <v>2.2046233283623302E-6</v>
      </c>
      <c r="K8" s="5">
        <v>0</v>
      </c>
      <c r="L8" s="5">
        <v>3.1146492742436301E-8</v>
      </c>
      <c r="M8" s="5">
        <v>0</v>
      </c>
      <c r="N8" s="5">
        <v>3.8116599294367399E-7</v>
      </c>
      <c r="O8" t="s">
        <v>167</v>
      </c>
      <c r="P8">
        <v>0.7</v>
      </c>
      <c r="Q8">
        <v>430</v>
      </c>
      <c r="R8" s="1">
        <v>7.7999999999999996E-14</v>
      </c>
      <c r="S8" t="s">
        <v>168</v>
      </c>
      <c r="T8" t="s">
        <v>111</v>
      </c>
      <c r="U8" t="s">
        <v>32</v>
      </c>
      <c r="V8" t="s">
        <v>26</v>
      </c>
    </row>
    <row r="9" spans="1:22">
      <c r="A9" s="2">
        <f>HYPERLINK("http://hydra.cos.uni-heidelberg.de/cgi-bin/perl/getCephData.pl?clusid=25448",25448)</f>
        <v>25448</v>
      </c>
      <c r="B9" t="s">
        <v>22</v>
      </c>
      <c r="C9" s="5">
        <v>1.0834200069338901E-6</v>
      </c>
      <c r="D9" s="5">
        <v>1.12988135935009E-6</v>
      </c>
      <c r="E9" s="5">
        <v>8.6379246867664601E-7</v>
      </c>
      <c r="F9" s="5">
        <v>4.5293525235997002E-6</v>
      </c>
      <c r="G9" s="5">
        <v>1.8990716144246499E-6</v>
      </c>
      <c r="H9" s="5">
        <v>1.49864133502358E-6</v>
      </c>
      <c r="I9" s="5">
        <v>1.48901818928075E-6</v>
      </c>
      <c r="J9" s="5">
        <v>9.3137347857626106E-6</v>
      </c>
      <c r="K9" s="5">
        <v>4.9803908179080005E-7</v>
      </c>
      <c r="L9" s="5">
        <v>2.4501907624049902E-6</v>
      </c>
      <c r="M9" s="5">
        <v>9.0891386530725199E-7</v>
      </c>
      <c r="N9" s="5">
        <v>1.8695284415808799E-6</v>
      </c>
      <c r="O9" t="s">
        <v>62</v>
      </c>
      <c r="P9">
        <v>0.78</v>
      </c>
      <c r="Q9">
        <v>480</v>
      </c>
      <c r="R9" s="1">
        <v>1.6E-11</v>
      </c>
      <c r="S9" t="s">
        <v>63</v>
      </c>
      <c r="T9" t="s">
        <v>64</v>
      </c>
      <c r="U9" t="s">
        <v>32</v>
      </c>
      <c r="V9" t="s">
        <v>26</v>
      </c>
    </row>
    <row r="10" spans="1:22">
      <c r="A10" s="2">
        <f>HYPERLINK("http://hydra.cos.uni-heidelberg.de/cgi-bin/perl/getCephData.pl?clusid=11644",11644)</f>
        <v>11644</v>
      </c>
      <c r="B10" t="s">
        <v>22</v>
      </c>
      <c r="C10" s="5">
        <v>8.0562000515596799E-7</v>
      </c>
      <c r="D10" s="5">
        <v>2.5422330585377102E-7</v>
      </c>
      <c r="E10" s="5">
        <v>3.1992313654690602E-8</v>
      </c>
      <c r="F10" s="5">
        <v>1.29150212520313E-6</v>
      </c>
      <c r="G10" s="5">
        <v>1.0580541851794501E-6</v>
      </c>
      <c r="H10" s="5">
        <v>5.7556515040760797E-7</v>
      </c>
      <c r="I10" s="5">
        <v>2.2617997811859499E-7</v>
      </c>
      <c r="J10" s="5">
        <v>7.9877656824722197E-8</v>
      </c>
      <c r="K10" s="5">
        <v>3.6891783836355601E-7</v>
      </c>
      <c r="L10" s="5">
        <v>1.21471321695502E-6</v>
      </c>
      <c r="M10" s="5">
        <v>1.0158449082845799E-6</v>
      </c>
      <c r="N10" s="5">
        <v>6.8972893961236203E-7</v>
      </c>
      <c r="O10" t="s">
        <v>77</v>
      </c>
      <c r="P10">
        <v>0.68</v>
      </c>
      <c r="Q10">
        <v>125</v>
      </c>
      <c r="R10" s="1">
        <v>2.9E-11</v>
      </c>
      <c r="S10" t="s">
        <v>78</v>
      </c>
      <c r="T10" t="s">
        <v>79</v>
      </c>
      <c r="U10" t="s">
        <v>32</v>
      </c>
      <c r="V10" t="s">
        <v>26</v>
      </c>
    </row>
    <row r="11" spans="1:22">
      <c r="A11" s="2">
        <f>HYPERLINK("http://hydra.cos.uni-heidelberg.de/cgi-bin/perl/getCephData.pl?clusid=25456",25456)</f>
        <v>25456</v>
      </c>
      <c r="B11" t="s">
        <v>9</v>
      </c>
      <c r="C11" s="5">
        <v>6.1116000391142401E-7</v>
      </c>
      <c r="D11" s="5">
        <v>0</v>
      </c>
      <c r="E11" s="5">
        <v>0</v>
      </c>
      <c r="F11" s="5">
        <v>0</v>
      </c>
      <c r="G11" s="5">
        <v>0</v>
      </c>
      <c r="H11" s="5">
        <v>8.6877758552091801E-8</v>
      </c>
      <c r="I11" s="5">
        <v>1.3193832056918001E-7</v>
      </c>
      <c r="J11" s="5">
        <v>8.2913007784061699E-6</v>
      </c>
      <c r="K11" s="5">
        <v>0</v>
      </c>
      <c r="L11" s="5">
        <v>9.3439478227309001E-8</v>
      </c>
      <c r="M11" s="5">
        <v>1.60396564465986E-7</v>
      </c>
      <c r="N11" s="5">
        <v>0</v>
      </c>
      <c r="O11" t="s">
        <v>245</v>
      </c>
      <c r="P11">
        <v>1.08</v>
      </c>
      <c r="Q11">
        <v>559</v>
      </c>
      <c r="R11" s="1">
        <v>5.4999999999999997E-11</v>
      </c>
      <c r="S11" t="s">
        <v>246</v>
      </c>
      <c r="T11" t="s">
        <v>53</v>
      </c>
      <c r="U11" t="s">
        <v>32</v>
      </c>
      <c r="V11" t="s">
        <v>26</v>
      </c>
    </row>
    <row r="12" spans="1:22">
      <c r="A12" s="2">
        <f>HYPERLINK("http://hydra.cos.uni-heidelberg.de/cgi-bin/perl/getCephData.pl?clusid=26712",26712)</f>
        <v>26712</v>
      </c>
      <c r="B12" t="s">
        <v>22</v>
      </c>
      <c r="C12" s="5">
        <v>1.66680001066752E-7</v>
      </c>
      <c r="D12" s="5">
        <v>5.6494067967504697E-8</v>
      </c>
      <c r="E12" s="5">
        <v>3.1992313654690602E-8</v>
      </c>
      <c r="F12" s="5">
        <v>5.89725336606836E-5</v>
      </c>
      <c r="G12" s="5">
        <v>4.34073511868492E-7</v>
      </c>
      <c r="H12" s="5">
        <v>4.6696795221749301E-7</v>
      </c>
      <c r="I12" s="5">
        <v>7.2000626367752701E-6</v>
      </c>
      <c r="J12" s="5">
        <v>7.7481327119980608E-6</v>
      </c>
      <c r="K12" s="5">
        <v>8.4851102823617797E-7</v>
      </c>
      <c r="L12" s="5">
        <v>5.2949037662141799E-7</v>
      </c>
      <c r="M12" s="5">
        <v>1.33663803721655E-7</v>
      </c>
      <c r="N12" s="5">
        <v>4.7554995310115499E-6</v>
      </c>
      <c r="O12" t="s">
        <v>194</v>
      </c>
      <c r="P12">
        <v>1.1599999999999999</v>
      </c>
      <c r="Q12">
        <v>339</v>
      </c>
      <c r="R12" s="1">
        <v>7.8999999999999999E-11</v>
      </c>
      <c r="S12" t="s">
        <v>195</v>
      </c>
      <c r="T12" t="s">
        <v>196</v>
      </c>
      <c r="U12" t="s">
        <v>32</v>
      </c>
      <c r="V12" t="s">
        <v>26</v>
      </c>
    </row>
    <row r="13" spans="1:22">
      <c r="A13" s="2">
        <f>HYPERLINK("http://hydra.cos.uni-heidelberg.de/cgi-bin/perl/getCephData.pl?clusid=13199",13199)</f>
        <v>13199</v>
      </c>
      <c r="B13" t="s">
        <v>22</v>
      </c>
      <c r="C13" s="5">
        <v>6.1393800392920303E-5</v>
      </c>
      <c r="D13" s="5">
        <v>6.4968178162630398E-7</v>
      </c>
      <c r="E13" s="5">
        <v>1.43645488309561E-5</v>
      </c>
      <c r="F13" s="5">
        <v>3.5707305236249798E-5</v>
      </c>
      <c r="G13" s="5">
        <v>1.3407445597838101E-4</v>
      </c>
      <c r="H13" s="5">
        <v>4.8010821319849699E-5</v>
      </c>
      <c r="I13" s="5">
        <v>3.18348319201922E-5</v>
      </c>
      <c r="J13" s="5">
        <v>3.4666903061929498E-6</v>
      </c>
      <c r="K13" s="5">
        <v>2.2540879924013299E-5</v>
      </c>
      <c r="L13" s="5">
        <v>7.4408971161680395E-5</v>
      </c>
      <c r="M13" s="5">
        <v>3.1491192156821902E-5</v>
      </c>
      <c r="N13" s="5">
        <v>3.1382666752362501E-5</v>
      </c>
      <c r="O13" t="s">
        <v>160</v>
      </c>
      <c r="P13">
        <v>0.69</v>
      </c>
      <c r="Q13">
        <v>860</v>
      </c>
      <c r="R13" s="1">
        <v>2.1E-10</v>
      </c>
      <c r="S13" t="s">
        <v>161</v>
      </c>
      <c r="T13" t="s">
        <v>162</v>
      </c>
      <c r="U13" t="s">
        <v>32</v>
      </c>
      <c r="V13" t="s">
        <v>26</v>
      </c>
    </row>
    <row r="14" spans="1:22">
      <c r="A14" s="2">
        <f>HYPERLINK("http://hydra.cos.uni-heidelberg.de/cgi-bin/perl/getCephData.pl?clusid=23683",23683)</f>
        <v>23683</v>
      </c>
      <c r="B14" t="s">
        <v>22</v>
      </c>
      <c r="C14" s="5">
        <v>1.29454800828511E-5</v>
      </c>
      <c r="D14" s="5">
        <v>1.4123516991876201E-7</v>
      </c>
      <c r="E14" s="5">
        <v>8.0780591978093704E-6</v>
      </c>
      <c r="F14" s="5">
        <v>1.036839734318E-6</v>
      </c>
      <c r="G14" s="5">
        <v>1.35647972458904E-7</v>
      </c>
      <c r="H14" s="5">
        <v>5.0389099960213202E-6</v>
      </c>
      <c r="I14" s="5">
        <v>6.6157643599689001E-6</v>
      </c>
      <c r="J14" s="5">
        <v>5.1441210995121098E-5</v>
      </c>
      <c r="K14" s="5">
        <v>1.1786924935715601E-5</v>
      </c>
      <c r="L14" s="5">
        <v>3.0212097960163201E-6</v>
      </c>
      <c r="M14" s="5">
        <v>9.5168628249818197E-6</v>
      </c>
      <c r="N14" s="5">
        <v>3.3760416517868199E-6</v>
      </c>
      <c r="O14" t="s">
        <v>178</v>
      </c>
      <c r="P14">
        <v>0.72</v>
      </c>
      <c r="Q14">
        <v>1195</v>
      </c>
      <c r="R14" s="1">
        <v>4.0999999999999998E-10</v>
      </c>
      <c r="S14" t="s">
        <v>179</v>
      </c>
      <c r="T14" t="s">
        <v>146</v>
      </c>
      <c r="U14" t="s">
        <v>32</v>
      </c>
      <c r="V14" t="s">
        <v>26</v>
      </c>
    </row>
    <row r="15" spans="1:22">
      <c r="A15" s="2">
        <f>HYPERLINK("http://hydra.cos.uni-heidelberg.de/cgi-bin/perl/getCephData.pl?clusid=14679",14679)</f>
        <v>14679</v>
      </c>
      <c r="B15" t="s">
        <v>22</v>
      </c>
      <c r="C15" s="5">
        <v>8.0006400512040992E-6</v>
      </c>
      <c r="D15" s="5">
        <v>9.3215212146382805E-7</v>
      </c>
      <c r="E15" s="5">
        <v>8.3180015502195504E-7</v>
      </c>
      <c r="F15" s="5">
        <v>5.3661003793651101E-6</v>
      </c>
      <c r="G15" s="5">
        <v>3.2284217445219099E-6</v>
      </c>
      <c r="H15" s="5">
        <v>2.6009028966532499E-5</v>
      </c>
      <c r="I15" s="5">
        <v>1.00386213621636E-4</v>
      </c>
      <c r="J15" s="5">
        <v>5.1121700367822196E-7</v>
      </c>
      <c r="K15" s="5">
        <v>8.3375431470163597E-6</v>
      </c>
      <c r="L15" s="5">
        <v>1.16695526141661E-5</v>
      </c>
      <c r="M15" s="5">
        <v>1.2190138899414901E-5</v>
      </c>
      <c r="N15" s="5">
        <v>8.0044858518171506E-5</v>
      </c>
      <c r="O15" t="s">
        <v>220</v>
      </c>
      <c r="P15">
        <v>0.59</v>
      </c>
      <c r="Q15">
        <v>571</v>
      </c>
      <c r="R15" s="1">
        <v>2.0000000000000001E-9</v>
      </c>
      <c r="S15" t="s">
        <v>221</v>
      </c>
      <c r="T15" t="s">
        <v>53</v>
      </c>
      <c r="U15" t="s">
        <v>32</v>
      </c>
      <c r="V15" t="s">
        <v>26</v>
      </c>
    </row>
    <row r="16" spans="1:22">
      <c r="A16" s="2">
        <f>HYPERLINK("http://hydra.cos.uni-heidelberg.de/cgi-bin/perl/getCephData.pl?clusid=26476",26476)</f>
        <v>26476</v>
      </c>
      <c r="B16" t="s">
        <v>22</v>
      </c>
      <c r="C16" s="5">
        <v>9.4174200602714903E-6</v>
      </c>
      <c r="D16" s="5">
        <v>3.3896440780502801E-7</v>
      </c>
      <c r="E16" s="5">
        <v>6.6384050833482997E-6</v>
      </c>
      <c r="F16" s="5">
        <v>3.3288012522841199E-6</v>
      </c>
      <c r="G16" s="5">
        <v>1.01735979344178E-5</v>
      </c>
      <c r="H16" s="5">
        <v>3.1058798682372802E-6</v>
      </c>
      <c r="I16" s="5">
        <v>1.64545934081278E-5</v>
      </c>
      <c r="J16" s="5">
        <v>2.3899394921956902E-5</v>
      </c>
      <c r="K16" s="5">
        <v>4.6114729795444501E-6</v>
      </c>
      <c r="L16" s="5">
        <v>3.6441396508650502E-6</v>
      </c>
      <c r="M16" s="5">
        <v>9.4099317820044907E-6</v>
      </c>
      <c r="N16" s="5">
        <v>1.21973117741976E-5</v>
      </c>
      <c r="O16" t="s">
        <v>183</v>
      </c>
      <c r="P16">
        <v>0.64</v>
      </c>
      <c r="Q16">
        <v>613</v>
      </c>
      <c r="R16" s="1">
        <v>2.7000000000000002E-9</v>
      </c>
      <c r="S16" t="s">
        <v>184</v>
      </c>
      <c r="T16" t="s">
        <v>185</v>
      </c>
      <c r="U16" t="s">
        <v>32</v>
      </c>
      <c r="V16" t="s">
        <v>26</v>
      </c>
    </row>
    <row r="17" spans="1:22">
      <c r="A17" s="2">
        <f>HYPERLINK("http://hydra.cos.uni-heidelberg.de/cgi-bin/perl/getCephData.pl?clusid=25214",25214)</f>
        <v>25214</v>
      </c>
      <c r="B17" t="s">
        <v>22</v>
      </c>
      <c r="C17" s="5">
        <v>1.9446000124454401E-7</v>
      </c>
      <c r="D17" s="5">
        <v>1.4123516991876201E-7</v>
      </c>
      <c r="E17" s="5">
        <v>7.9980784136726395E-8</v>
      </c>
      <c r="F17" s="5">
        <v>1.3151493472138899E-5</v>
      </c>
      <c r="G17" s="5">
        <v>0</v>
      </c>
      <c r="H17" s="5">
        <v>1.52036077466161E-7</v>
      </c>
      <c r="I17" s="5">
        <v>1.8094398249487599E-6</v>
      </c>
      <c r="J17" s="5">
        <v>9.7930007267109507E-6</v>
      </c>
      <c r="K17" s="5">
        <v>1.4941172453723999E-6</v>
      </c>
      <c r="L17" s="5">
        <v>1.86878956454618E-7</v>
      </c>
      <c r="M17" s="5">
        <v>1.33663803721655E-7</v>
      </c>
      <c r="N17" s="5">
        <v>1.14349797883102E-6</v>
      </c>
      <c r="O17" t="s">
        <v>241</v>
      </c>
      <c r="P17">
        <v>0.67</v>
      </c>
      <c r="Q17">
        <v>274</v>
      </c>
      <c r="R17" s="1">
        <v>2.7999999999999998E-9</v>
      </c>
      <c r="S17" t="s">
        <v>242</v>
      </c>
      <c r="T17" t="s">
        <v>146</v>
      </c>
      <c r="U17" t="s">
        <v>32</v>
      </c>
      <c r="V17" t="s">
        <v>26</v>
      </c>
    </row>
    <row r="18" spans="1:22">
      <c r="A18" s="2">
        <f>HYPERLINK("http://hydra.cos.uni-heidelberg.de/cgi-bin/perl/getCephData.pl?clusid=16077",16077)</f>
        <v>16077</v>
      </c>
      <c r="B18" t="s">
        <v>22</v>
      </c>
      <c r="C18" s="5">
        <v>8.61180005511552E-7</v>
      </c>
      <c r="D18" s="5">
        <v>0</v>
      </c>
      <c r="E18" s="5">
        <v>0</v>
      </c>
      <c r="F18" s="5">
        <v>2.0009187855259701E-7</v>
      </c>
      <c r="G18" s="5">
        <v>0</v>
      </c>
      <c r="H18" s="5">
        <v>4.8868739185551596E-7</v>
      </c>
      <c r="I18" s="5">
        <v>7.7278159190520004E-7</v>
      </c>
      <c r="J18" s="5">
        <v>0</v>
      </c>
      <c r="K18" s="5">
        <v>0</v>
      </c>
      <c r="L18" s="5">
        <v>3.7375791290923601E-7</v>
      </c>
      <c r="M18" s="5">
        <v>5.6138797563095001E-7</v>
      </c>
      <c r="N18" s="5">
        <v>5.4452284706239098E-7</v>
      </c>
      <c r="O18" t="s">
        <v>51</v>
      </c>
      <c r="P18">
        <v>0.59</v>
      </c>
      <c r="Q18">
        <v>304</v>
      </c>
      <c r="R18" s="1">
        <v>3.1E-9</v>
      </c>
      <c r="S18" t="s">
        <v>52</v>
      </c>
      <c r="T18" t="s">
        <v>53</v>
      </c>
      <c r="U18" t="s">
        <v>32</v>
      </c>
      <c r="V18" t="s">
        <v>26</v>
      </c>
    </row>
    <row r="19" spans="1:22">
      <c r="A19" s="2">
        <f>HYPERLINK("http://hydra.cos.uni-heidelberg.de/cgi-bin/perl/getCephData.pl?clusid=17339",17339)</f>
        <v>17339</v>
      </c>
      <c r="B19" t="s">
        <v>9</v>
      </c>
      <c r="C19" s="5">
        <v>0</v>
      </c>
      <c r="D19" s="5">
        <v>0</v>
      </c>
      <c r="E19" s="5">
        <v>0</v>
      </c>
      <c r="F19" s="5">
        <v>1.8190170777508801E-8</v>
      </c>
      <c r="G19" s="5">
        <v>0</v>
      </c>
      <c r="H19" s="5">
        <v>1.95474956742207E-7</v>
      </c>
      <c r="I19" s="5">
        <v>0</v>
      </c>
      <c r="J19" s="5">
        <v>5.8614224577981203E-5</v>
      </c>
      <c r="K19" s="5">
        <v>0</v>
      </c>
      <c r="L19" s="5">
        <v>0</v>
      </c>
      <c r="M19" s="5">
        <v>0</v>
      </c>
      <c r="N19" s="5">
        <v>0</v>
      </c>
      <c r="O19" t="s">
        <v>98</v>
      </c>
      <c r="P19">
        <v>0.66</v>
      </c>
      <c r="Q19">
        <v>179</v>
      </c>
      <c r="R19" s="1">
        <v>6.4000000000000002E-9</v>
      </c>
      <c r="S19" t="s">
        <v>99</v>
      </c>
      <c r="T19" t="s">
        <v>53</v>
      </c>
      <c r="U19" t="s">
        <v>32</v>
      </c>
      <c r="V19" t="s">
        <v>26</v>
      </c>
    </row>
    <row r="20" spans="1:22">
      <c r="A20" s="2">
        <f>HYPERLINK("http://hydra.cos.uni-heidelberg.de/cgi-bin/perl/getCephData.pl?clusid=11140",11140)</f>
        <v>11140</v>
      </c>
      <c r="B20" t="s">
        <v>22</v>
      </c>
      <c r="C20" s="5">
        <v>3.3947160217261799E-5</v>
      </c>
      <c r="D20" s="5">
        <v>1.92079831089516E-6</v>
      </c>
      <c r="E20" s="5">
        <v>7.00631669037724E-6</v>
      </c>
      <c r="F20" s="5">
        <v>1.94634827319345E-5</v>
      </c>
      <c r="G20" s="5">
        <v>2.5854503550667099E-5</v>
      </c>
      <c r="H20" s="5">
        <v>3.3795448076763699E-5</v>
      </c>
      <c r="I20" s="5">
        <v>2.15436429157962E-5</v>
      </c>
      <c r="J20" s="5">
        <v>2.9394977711497799E-5</v>
      </c>
      <c r="K20" s="5">
        <v>2.3075810789640401E-5</v>
      </c>
      <c r="L20" s="5">
        <v>3.4759485900558901E-5</v>
      </c>
      <c r="M20" s="5">
        <v>2.4540674363295801E-5</v>
      </c>
      <c r="N20" s="5">
        <v>2.70446347374321E-5</v>
      </c>
      <c r="O20" t="s">
        <v>65</v>
      </c>
      <c r="P20">
        <v>0.91</v>
      </c>
      <c r="Q20">
        <v>246</v>
      </c>
      <c r="R20" s="1">
        <v>1E-8</v>
      </c>
      <c r="S20" t="s">
        <v>66</v>
      </c>
      <c r="T20" t="s">
        <v>53</v>
      </c>
      <c r="U20" t="s">
        <v>32</v>
      </c>
      <c r="V20" t="s">
        <v>26</v>
      </c>
    </row>
    <row r="21" spans="1:22">
      <c r="A21" s="2">
        <f>HYPERLINK("http://hydra.cos.uni-heidelberg.de/cgi-bin/perl/getCephData.pl?clusid=14724",14724)</f>
        <v>14724</v>
      </c>
      <c r="B21" t="s">
        <v>9</v>
      </c>
      <c r="C21" s="5">
        <v>3.6114000231129601E-7</v>
      </c>
      <c r="D21" s="5">
        <v>1.6948220390251401E-7</v>
      </c>
      <c r="E21" s="5">
        <v>0</v>
      </c>
      <c r="F21" s="5">
        <v>0</v>
      </c>
      <c r="G21" s="5">
        <v>0</v>
      </c>
      <c r="H21" s="5">
        <v>4.2352907294144801E-7</v>
      </c>
      <c r="I21" s="5">
        <v>1.8848331509882898E-8</v>
      </c>
      <c r="J21" s="5">
        <v>1.4170296320705699E-5</v>
      </c>
      <c r="K21" s="5">
        <v>0</v>
      </c>
      <c r="L21" s="5">
        <v>9.3439478227309001E-8</v>
      </c>
      <c r="M21" s="5">
        <v>3.7425865042063301E-7</v>
      </c>
      <c r="N21" s="5">
        <v>0</v>
      </c>
      <c r="O21" t="s">
        <v>75</v>
      </c>
      <c r="P21">
        <v>0.77</v>
      </c>
      <c r="Q21">
        <v>204</v>
      </c>
      <c r="R21" s="1">
        <v>1.3000000000000001E-8</v>
      </c>
      <c r="S21" t="s">
        <v>76</v>
      </c>
      <c r="T21" t="s">
        <v>53</v>
      </c>
      <c r="U21" t="s">
        <v>32</v>
      </c>
      <c r="V21" t="s">
        <v>26</v>
      </c>
    </row>
    <row r="22" spans="1:22">
      <c r="A22" s="2">
        <f>HYPERLINK("http://hydra.cos.uni-heidelberg.de/cgi-bin/perl/getCephData.pl?clusid=24933",24933)</f>
        <v>24933</v>
      </c>
      <c r="B22" t="s">
        <v>22</v>
      </c>
      <c r="C22" s="5">
        <v>1.93904401240988E-5</v>
      </c>
      <c r="D22" s="5">
        <v>5.6494067967504697E-8</v>
      </c>
      <c r="E22" s="5">
        <v>4.7988470482035899E-8</v>
      </c>
      <c r="F22" s="5">
        <v>9.4588888043046005E-7</v>
      </c>
      <c r="G22" s="5">
        <v>0</v>
      </c>
      <c r="H22" s="5">
        <v>8.7529341741232502E-6</v>
      </c>
      <c r="I22" s="5">
        <v>7.3508492888543395E-7</v>
      </c>
      <c r="J22" s="5">
        <v>2.5560850183911098E-7</v>
      </c>
      <c r="K22" s="5">
        <v>1.1067535150906701E-7</v>
      </c>
      <c r="L22" s="5">
        <v>7.9215913208263098E-6</v>
      </c>
      <c r="M22" s="5">
        <v>1.97020446685719E-5</v>
      </c>
      <c r="N22" s="5">
        <v>3.63015231374927E-7</v>
      </c>
      <c r="O22" t="s">
        <v>192</v>
      </c>
      <c r="P22">
        <v>0.67</v>
      </c>
      <c r="Q22">
        <v>211</v>
      </c>
      <c r="R22" s="1">
        <v>1.7E-8</v>
      </c>
      <c r="S22" t="s">
        <v>193</v>
      </c>
      <c r="T22" t="s">
        <v>53</v>
      </c>
      <c r="U22" t="s">
        <v>32</v>
      </c>
      <c r="V22" t="s">
        <v>39</v>
      </c>
    </row>
    <row r="23" spans="1:22">
      <c r="A23" s="2">
        <f>HYPERLINK("http://hydra.cos.uni-heidelberg.de/cgi-bin/perl/getCephData.pl?clusid=1911",1911)</f>
        <v>1911</v>
      </c>
      <c r="B23" t="s">
        <v>6</v>
      </c>
      <c r="C23" s="5">
        <v>2.7780000177791999E-8</v>
      </c>
      <c r="D23" s="5">
        <v>0</v>
      </c>
      <c r="E23" s="5">
        <v>3.1992313654690602E-8</v>
      </c>
      <c r="F23" s="5">
        <v>1.8190170777508801E-8</v>
      </c>
      <c r="G23" s="5">
        <v>1.6874607773887599E-5</v>
      </c>
      <c r="H23" s="5">
        <v>2.3891383601825198E-7</v>
      </c>
      <c r="I23" s="5">
        <v>3.5811829868777498E-7</v>
      </c>
      <c r="J23" s="5">
        <v>0</v>
      </c>
      <c r="K23" s="5">
        <v>6.0871443329986696E-7</v>
      </c>
      <c r="L23" s="5">
        <v>1.3496813521722399E-7</v>
      </c>
      <c r="M23" s="5">
        <v>8.5544834381859003E-7</v>
      </c>
      <c r="N23" s="5">
        <v>1.08904569412478E-7</v>
      </c>
      <c r="O23" t="s">
        <v>278</v>
      </c>
      <c r="P23">
        <v>0.56999999999999995</v>
      </c>
      <c r="Q23">
        <v>191</v>
      </c>
      <c r="R23" s="1">
        <v>2.9000000000000002E-8</v>
      </c>
      <c r="S23" t="s">
        <v>279</v>
      </c>
      <c r="T23" t="s">
        <v>280</v>
      </c>
      <c r="U23" t="s">
        <v>32</v>
      </c>
      <c r="V23" t="s">
        <v>26</v>
      </c>
    </row>
    <row r="24" spans="1:22">
      <c r="A24" s="2">
        <f>HYPERLINK("http://hydra.cos.uni-heidelberg.de/cgi-bin/perl/getCephData.pl?clusid=9786",9786)</f>
        <v>9786</v>
      </c>
      <c r="B24" t="s">
        <v>8</v>
      </c>
      <c r="C24" s="5">
        <v>5.5560000355583997E-8</v>
      </c>
      <c r="D24" s="5">
        <v>0</v>
      </c>
      <c r="E24" s="5">
        <v>0</v>
      </c>
      <c r="F24" s="5">
        <v>3.2742307399515898E-7</v>
      </c>
      <c r="G24" s="5">
        <v>0</v>
      </c>
      <c r="H24" s="5">
        <v>1.52036077466161E-7</v>
      </c>
      <c r="I24" s="5">
        <v>2.09027996444602E-5</v>
      </c>
      <c r="J24" s="5">
        <v>3.8341275275866702E-7</v>
      </c>
      <c r="K24" s="5">
        <v>0</v>
      </c>
      <c r="L24" s="5">
        <v>0</v>
      </c>
      <c r="M24" s="5">
        <v>4.8118969339795697E-7</v>
      </c>
      <c r="N24" s="5">
        <v>5.4996807553301504E-6</v>
      </c>
      <c r="O24" t="s">
        <v>134</v>
      </c>
      <c r="P24">
        <v>0.67</v>
      </c>
      <c r="Q24">
        <v>1758</v>
      </c>
      <c r="R24" s="1">
        <v>4.9999999999999998E-8</v>
      </c>
      <c r="S24" t="s">
        <v>135</v>
      </c>
      <c r="T24" t="s">
        <v>53</v>
      </c>
      <c r="U24" t="s">
        <v>32</v>
      </c>
      <c r="V24" t="s">
        <v>26</v>
      </c>
    </row>
    <row r="25" spans="1:22">
      <c r="A25" s="2">
        <f>HYPERLINK("http://hydra.cos.uni-heidelberg.de/cgi-bin/perl/getCephData.pl?clusid=3871",3871)</f>
        <v>3871</v>
      </c>
      <c r="B25" t="s">
        <v>22</v>
      </c>
      <c r="C25" s="5">
        <v>4.33368002773555E-6</v>
      </c>
      <c r="D25" s="5">
        <v>2.5422330585377102E-7</v>
      </c>
      <c r="E25" s="5">
        <v>7.9980784136726503E-7</v>
      </c>
      <c r="F25" s="5">
        <v>6.9122648954533601E-7</v>
      </c>
      <c r="G25" s="5">
        <v>3.0927737720630099E-6</v>
      </c>
      <c r="H25" s="5">
        <v>2.8235271529429802E-6</v>
      </c>
      <c r="I25" s="5">
        <v>4.27857125274342E-6</v>
      </c>
      <c r="J25" s="5">
        <v>6.3902125459777797E-8</v>
      </c>
      <c r="K25" s="5">
        <v>1.3465501100269799E-6</v>
      </c>
      <c r="L25" s="5">
        <v>4.2047765202289101E-6</v>
      </c>
      <c r="M25" s="5">
        <v>2.2188191417794699E-6</v>
      </c>
      <c r="N25" s="5">
        <v>2.9404233741369099E-6</v>
      </c>
      <c r="O25" t="s">
        <v>233</v>
      </c>
      <c r="P25">
        <v>0.59</v>
      </c>
      <c r="Q25">
        <v>154</v>
      </c>
      <c r="R25" s="1">
        <v>6.2999999999999995E-8</v>
      </c>
      <c r="S25" t="s">
        <v>234</v>
      </c>
      <c r="T25" t="s">
        <v>53</v>
      </c>
      <c r="U25" t="s">
        <v>32</v>
      </c>
      <c r="V25" t="s">
        <v>26</v>
      </c>
    </row>
    <row r="26" spans="1:22">
      <c r="A26" s="2">
        <f>HYPERLINK("http://hydra.cos.uni-heidelberg.de/cgi-bin/perl/getCephData.pl?clusid=20214",20214)</f>
        <v>20214</v>
      </c>
      <c r="B26" t="s">
        <v>22</v>
      </c>
      <c r="C26" s="5">
        <v>2.7780000177791999E-8</v>
      </c>
      <c r="D26" s="5">
        <v>0</v>
      </c>
      <c r="E26" s="5">
        <v>3.8390776385628698E-7</v>
      </c>
      <c r="F26" s="5">
        <v>6.0027563565779204E-7</v>
      </c>
      <c r="G26" s="5">
        <v>8.1388783475342299E-8</v>
      </c>
      <c r="H26" s="5">
        <v>7.81899826968826E-7</v>
      </c>
      <c r="I26" s="5">
        <v>3.4002390043828803E-5</v>
      </c>
      <c r="J26" s="5">
        <v>0</v>
      </c>
      <c r="K26" s="5">
        <v>1.5457657427433E-5</v>
      </c>
      <c r="L26" s="5">
        <v>2.5955410618696901E-7</v>
      </c>
      <c r="M26" s="5">
        <v>8.0198282232992895E-8</v>
      </c>
      <c r="N26" s="5">
        <v>3.4450145457480598E-5</v>
      </c>
      <c r="O26" t="s">
        <v>270</v>
      </c>
      <c r="P26">
        <v>0.61</v>
      </c>
      <c r="Q26">
        <v>359</v>
      </c>
      <c r="R26" s="1">
        <v>2.3999999999999998E-7</v>
      </c>
      <c r="S26" t="s">
        <v>271</v>
      </c>
      <c r="T26" t="s">
        <v>73</v>
      </c>
      <c r="U26" t="s">
        <v>32</v>
      </c>
      <c r="V26" t="s">
        <v>26</v>
      </c>
    </row>
    <row r="27" spans="1:22">
      <c r="A27" s="2">
        <f>HYPERLINK("http://hydra.cos.uni-heidelberg.de/cgi-bin/perl/getCephData.pl?clusid=8405",8405)</f>
        <v>8405</v>
      </c>
      <c r="B27" t="s">
        <v>22</v>
      </c>
      <c r="C27" s="5">
        <v>2.7780000177792E-7</v>
      </c>
      <c r="D27" s="5">
        <v>1.1524789865371001E-5</v>
      </c>
      <c r="E27" s="5">
        <v>2.8313197584401198E-6</v>
      </c>
      <c r="F27" s="5">
        <v>4.23830979115956E-6</v>
      </c>
      <c r="G27" s="5">
        <v>2.1161083703589002E-6</v>
      </c>
      <c r="H27" s="5">
        <v>7.49320667511792E-7</v>
      </c>
      <c r="I27" s="5">
        <v>8.7738983178505006E-5</v>
      </c>
      <c r="J27" s="5">
        <v>3.0513264907043901E-6</v>
      </c>
      <c r="K27" s="5">
        <v>1.40926614254878E-5</v>
      </c>
      <c r="L27" s="5">
        <v>1.2562418739449299E-6</v>
      </c>
      <c r="M27" s="5">
        <v>2.4059484669897901E-7</v>
      </c>
      <c r="N27" s="5">
        <v>7.14776990577232E-5</v>
      </c>
      <c r="O27" t="s">
        <v>91</v>
      </c>
      <c r="P27">
        <v>0.7</v>
      </c>
      <c r="Q27">
        <v>234</v>
      </c>
      <c r="R27" s="1">
        <v>4.4999999999999998E-7</v>
      </c>
      <c r="S27" t="s">
        <v>92</v>
      </c>
      <c r="T27" t="s">
        <v>53</v>
      </c>
      <c r="U27" t="s">
        <v>32</v>
      </c>
      <c r="V27" t="s">
        <v>26</v>
      </c>
    </row>
    <row r="28" spans="1:22">
      <c r="A28" s="2">
        <f>HYPERLINK("http://hydra.cos.uni-heidelberg.de/cgi-bin/perl/getCephData.pl?clusid=15302",15302)</f>
        <v>15302</v>
      </c>
      <c r="B28" t="s">
        <v>22</v>
      </c>
      <c r="C28" s="5">
        <v>1.3890000088896E-7</v>
      </c>
      <c r="D28" s="5">
        <v>1.12988135935009E-6</v>
      </c>
      <c r="E28" s="5">
        <v>6.0785395943912104E-7</v>
      </c>
      <c r="F28" s="5">
        <v>2.0009187855259701E-7</v>
      </c>
      <c r="G28" s="5">
        <v>2.2246267483260199E-6</v>
      </c>
      <c r="H28" s="5">
        <v>2.7149299547528698E-7</v>
      </c>
      <c r="I28" s="5">
        <v>2.2617997811859499E-7</v>
      </c>
      <c r="J28" s="5">
        <v>3.1951062729888899E-8</v>
      </c>
      <c r="K28" s="5">
        <v>3.0435721664993302E-6</v>
      </c>
      <c r="L28" s="5">
        <v>8.9286612528317497E-7</v>
      </c>
      <c r="M28" s="5">
        <v>3.7425865042063301E-7</v>
      </c>
      <c r="N28" s="5">
        <v>0</v>
      </c>
      <c r="O28" t="s">
        <v>81</v>
      </c>
      <c r="P28">
        <v>0.42</v>
      </c>
      <c r="Q28">
        <v>234</v>
      </c>
      <c r="R28" s="1">
        <v>1.1000000000000001E-6</v>
      </c>
      <c r="S28" t="s">
        <v>82</v>
      </c>
      <c r="T28" t="s">
        <v>83</v>
      </c>
      <c r="U28" t="s">
        <v>32</v>
      </c>
      <c r="V28" t="s">
        <v>26</v>
      </c>
    </row>
    <row r="29" spans="1:22">
      <c r="A29" s="2">
        <f>HYPERLINK("http://hydra.cos.uni-heidelberg.de/cgi-bin/perl/getCephData.pl?clusid=28139",28139)</f>
        <v>28139</v>
      </c>
      <c r="B29" t="s">
        <v>22</v>
      </c>
      <c r="C29" s="5">
        <v>1.35844200869403E-5</v>
      </c>
      <c r="D29" s="5">
        <v>6.7510411221168102E-6</v>
      </c>
      <c r="E29" s="5">
        <v>6.7343820243123699E-6</v>
      </c>
      <c r="F29" s="5">
        <v>1.0241066147737501E-5</v>
      </c>
      <c r="G29" s="5">
        <v>1.3754704407332799E-5</v>
      </c>
      <c r="H29" s="5">
        <v>7.9493149075164007E-6</v>
      </c>
      <c r="I29" s="5">
        <v>9.8388290481588806E-6</v>
      </c>
      <c r="J29" s="5">
        <v>1.8691371696985001E-6</v>
      </c>
      <c r="K29" s="5">
        <v>1.0403483041852299E-5</v>
      </c>
      <c r="L29" s="5">
        <v>1.33929918792476E-5</v>
      </c>
      <c r="M29" s="5">
        <v>1.9915906754526599E-5</v>
      </c>
      <c r="N29" s="5">
        <v>9.1479838306481703E-6</v>
      </c>
      <c r="O29" t="s">
        <v>217</v>
      </c>
      <c r="P29">
        <v>0.61</v>
      </c>
      <c r="Q29">
        <v>305</v>
      </c>
      <c r="R29" s="1">
        <v>1.1000000000000001E-6</v>
      </c>
      <c r="S29" t="s">
        <v>218</v>
      </c>
      <c r="T29" t="s">
        <v>219</v>
      </c>
      <c r="U29" t="s">
        <v>32</v>
      </c>
      <c r="V29" t="s">
        <v>26</v>
      </c>
    </row>
    <row r="30" spans="1:22">
      <c r="A30" s="2">
        <f>HYPERLINK("http://hydra.cos.uni-heidelberg.de/cgi-bin/perl/getCephData.pl?clusid=23816",23816)</f>
        <v>23816</v>
      </c>
      <c r="B30" t="s">
        <v>22</v>
      </c>
      <c r="C30" s="5">
        <v>1.23621000791174E-5</v>
      </c>
      <c r="D30" s="5">
        <v>8.75658053496323E-7</v>
      </c>
      <c r="E30" s="5">
        <v>1.1997117620508999E-6</v>
      </c>
      <c r="F30" s="5">
        <v>8.6330550510056901E-5</v>
      </c>
      <c r="G30" s="5">
        <v>1.2126928737826E-5</v>
      </c>
      <c r="H30" s="5">
        <v>9.1221646479696408E-6</v>
      </c>
      <c r="I30" s="5">
        <v>8.9341091356844995E-6</v>
      </c>
      <c r="J30" s="5">
        <v>1.2365061276467E-5</v>
      </c>
      <c r="K30" s="5">
        <v>4.0212044381627599E-6</v>
      </c>
      <c r="L30" s="5">
        <v>9.4270051367107298E-6</v>
      </c>
      <c r="M30" s="5">
        <v>1.39010355870521E-5</v>
      </c>
      <c r="N30" s="5">
        <v>9.4565467773168595E-6</v>
      </c>
      <c r="O30" t="s">
        <v>229</v>
      </c>
      <c r="P30">
        <v>0.54</v>
      </c>
      <c r="Q30">
        <v>159</v>
      </c>
      <c r="R30" s="1">
        <v>1.9E-6</v>
      </c>
      <c r="S30" t="s">
        <v>230</v>
      </c>
      <c r="T30" t="s">
        <v>231</v>
      </c>
      <c r="U30" t="s">
        <v>32</v>
      </c>
      <c r="V30" t="s">
        <v>26</v>
      </c>
    </row>
    <row r="31" spans="1:22">
      <c r="A31" s="2">
        <f>HYPERLINK("http://hydra.cos.uni-heidelberg.de/cgi-bin/perl/getCephData.pl?clusid=23492",23492)</f>
        <v>23492</v>
      </c>
      <c r="B31" t="s">
        <v>22</v>
      </c>
      <c r="C31" s="5">
        <v>3.81141602439306E-5</v>
      </c>
      <c r="D31" s="5">
        <v>0</v>
      </c>
      <c r="E31" s="5">
        <v>1.5996156827345301E-8</v>
      </c>
      <c r="F31" s="5">
        <v>1.6080110967317798E-5</v>
      </c>
      <c r="G31" s="5">
        <v>2.5230522877356099E-6</v>
      </c>
      <c r="H31" s="5">
        <v>3.0037985019385699E-5</v>
      </c>
      <c r="I31" s="5">
        <v>0</v>
      </c>
      <c r="J31" s="5">
        <v>1.4377978228450001E-7</v>
      </c>
      <c r="K31" s="5">
        <v>9.2229459590888896E-8</v>
      </c>
      <c r="L31" s="5">
        <v>3.6690568450590001E-5</v>
      </c>
      <c r="M31" s="5">
        <v>7.2338850574159606E-5</v>
      </c>
      <c r="N31" s="5">
        <v>7.2603046274985395E-8</v>
      </c>
      <c r="O31" t="s">
        <v>235</v>
      </c>
      <c r="P31">
        <v>0.79</v>
      </c>
      <c r="Q31">
        <v>300</v>
      </c>
      <c r="R31" s="1">
        <v>2.9000000000000002E-6</v>
      </c>
      <c r="S31" t="s">
        <v>52</v>
      </c>
      <c r="T31" t="s">
        <v>53</v>
      </c>
      <c r="U31" t="s">
        <v>32</v>
      </c>
      <c r="V31" t="s">
        <v>26</v>
      </c>
    </row>
    <row r="32" spans="1:22">
      <c r="A32" s="2">
        <f>HYPERLINK("http://hydra.cos.uni-heidelberg.de/cgi-bin/perl/getCephData.pl?clusid=24417",24417)</f>
        <v>24417</v>
      </c>
      <c r="B32" t="s">
        <v>70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t="s">
        <v>147</v>
      </c>
      <c r="P32">
        <v>0.67</v>
      </c>
      <c r="Q32">
        <v>185</v>
      </c>
      <c r="R32" s="1">
        <v>3.8E-6</v>
      </c>
      <c r="S32" t="s">
        <v>148</v>
      </c>
      <c r="T32" t="s">
        <v>146</v>
      </c>
      <c r="U32" t="s">
        <v>32</v>
      </c>
      <c r="V32" t="s">
        <v>39</v>
      </c>
    </row>
    <row r="33" spans="1:22">
      <c r="A33" s="2">
        <f>HYPERLINK("http://hydra.cos.uni-heidelberg.de/cgi-bin/perl/getCephData.pl?clusid=1677",1677)</f>
        <v>1677</v>
      </c>
      <c r="B33" t="s">
        <v>22</v>
      </c>
      <c r="C33" s="5">
        <v>1.7306940110764399E-5</v>
      </c>
      <c r="D33" s="5">
        <v>1.6496267846511402E-5</v>
      </c>
      <c r="E33" s="5">
        <v>1.12452982496237E-5</v>
      </c>
      <c r="F33" s="5">
        <v>2.6539459164385399E-5</v>
      </c>
      <c r="G33" s="5">
        <v>2.5094874904897202E-5</v>
      </c>
      <c r="H33" s="5">
        <v>2.6193644203455701E-5</v>
      </c>
      <c r="I33" s="5">
        <v>4.0203491110580298E-5</v>
      </c>
      <c r="J33" s="5">
        <v>8.5149582175153901E-6</v>
      </c>
      <c r="K33" s="5">
        <v>4.5819595524753598E-5</v>
      </c>
      <c r="L33" s="5">
        <v>2.03075132680685E-5</v>
      </c>
      <c r="M33" s="5">
        <v>1.60663892073429E-5</v>
      </c>
      <c r="N33" s="5">
        <v>3.32703459555121E-5</v>
      </c>
      <c r="O33" t="s">
        <v>29</v>
      </c>
      <c r="P33">
        <v>0.74</v>
      </c>
      <c r="Q33">
        <v>376</v>
      </c>
      <c r="R33" s="1">
        <v>4.7999999999999998E-6</v>
      </c>
      <c r="S33" t="s">
        <v>30</v>
      </c>
      <c r="T33" t="s">
        <v>31</v>
      </c>
      <c r="U33" t="s">
        <v>32</v>
      </c>
      <c r="V33" t="s">
        <v>26</v>
      </c>
    </row>
    <row r="34" spans="1:22">
      <c r="A34" s="2">
        <f>HYPERLINK("http://hydra.cos.uni-heidelberg.de/cgi-bin/perl/getCephData.pl?clusid=27705",27705)</f>
        <v>27705</v>
      </c>
      <c r="B34" t="s">
        <v>22</v>
      </c>
      <c r="C34" s="5">
        <v>7.7228400494261794E-6</v>
      </c>
      <c r="D34" s="5">
        <v>3.3190264930908997E-5</v>
      </c>
      <c r="E34" s="5">
        <v>1.9835234465908202E-6</v>
      </c>
      <c r="F34" s="5">
        <v>1.80082690697337E-6</v>
      </c>
      <c r="G34" s="5">
        <v>2.0211547896376699E-5</v>
      </c>
      <c r="H34" s="5">
        <v>2.9929387821195599E-5</v>
      </c>
      <c r="I34" s="5">
        <v>2.9761515454105101E-5</v>
      </c>
      <c r="J34" s="5">
        <v>2.5560850183911098E-7</v>
      </c>
      <c r="K34" s="5">
        <v>1.12335481781703E-5</v>
      </c>
      <c r="L34" s="5">
        <v>5.7309546646082803E-6</v>
      </c>
      <c r="M34" s="5">
        <v>6.5495263823610799E-6</v>
      </c>
      <c r="N34" s="5">
        <v>2.0927828088764601E-5</v>
      </c>
      <c r="O34" t="s">
        <v>154</v>
      </c>
      <c r="P34">
        <v>0.71</v>
      </c>
      <c r="Q34">
        <v>211</v>
      </c>
      <c r="R34" s="1">
        <v>6.9999999999999999E-6</v>
      </c>
      <c r="S34" t="s">
        <v>155</v>
      </c>
      <c r="T34" t="s">
        <v>156</v>
      </c>
      <c r="U34" t="s">
        <v>32</v>
      </c>
      <c r="V34" t="s">
        <v>26</v>
      </c>
    </row>
    <row r="35" spans="1:22">
      <c r="A35" s="2">
        <f>HYPERLINK("http://hydra.cos.uni-heidelberg.de/cgi-bin/perl/getCephData.pl?clusid=26996",26996)</f>
        <v>26996</v>
      </c>
      <c r="B35" t="s">
        <v>22</v>
      </c>
      <c r="C35" s="5">
        <v>7.00056004480358E-6</v>
      </c>
      <c r="D35" s="5">
        <v>0</v>
      </c>
      <c r="E35" s="5">
        <v>3.1992313654690602E-8</v>
      </c>
      <c r="F35" s="5">
        <v>1.6371153699757999E-7</v>
      </c>
      <c r="G35" s="5">
        <v>8.9527661822876499E-7</v>
      </c>
      <c r="H35" s="5">
        <v>5.8208098229901498E-6</v>
      </c>
      <c r="I35" s="5">
        <v>4.14663293217424E-7</v>
      </c>
      <c r="J35" s="5">
        <v>0</v>
      </c>
      <c r="K35" s="5">
        <v>0</v>
      </c>
      <c r="L35" s="5">
        <v>3.2496174094608602E-6</v>
      </c>
      <c r="M35" s="5">
        <v>1.0960431905175701E-6</v>
      </c>
      <c r="N35" s="5">
        <v>0</v>
      </c>
      <c r="O35" t="s">
        <v>215</v>
      </c>
      <c r="P35">
        <v>0.82</v>
      </c>
      <c r="Q35">
        <v>237</v>
      </c>
      <c r="R35" s="1">
        <v>2.5999999999999998E-5</v>
      </c>
      <c r="S35" t="s">
        <v>216</v>
      </c>
      <c r="T35" t="s">
        <v>146</v>
      </c>
      <c r="U35" t="s">
        <v>32</v>
      </c>
      <c r="V35" t="s">
        <v>26</v>
      </c>
    </row>
    <row r="36" spans="1:22">
      <c r="A36" s="2">
        <f>HYPERLINK("http://hydra.cos.uni-heidelberg.de/cgi-bin/perl/getCephData.pl?clusid=12778",12778)</f>
        <v>12778</v>
      </c>
      <c r="B36" t="s">
        <v>8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1.12524539114001E-5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t="s">
        <v>34</v>
      </c>
      <c r="P36">
        <v>0.61</v>
      </c>
      <c r="Q36">
        <v>279</v>
      </c>
      <c r="R36" s="1">
        <v>4.3000000000000002E-5</v>
      </c>
      <c r="S36" t="s">
        <v>35</v>
      </c>
      <c r="T36" t="s">
        <v>36</v>
      </c>
      <c r="U36" t="s">
        <v>32</v>
      </c>
      <c r="V36" t="s">
        <v>26</v>
      </c>
    </row>
    <row r="37" spans="1:22">
      <c r="A37" s="2">
        <f>HYPERLINK("http://hydra.cos.uni-heidelberg.de/cgi-bin/perl/getCephData.pl?clusid=17453",17453)</f>
        <v>17453</v>
      </c>
      <c r="B37" t="s">
        <v>22</v>
      </c>
      <c r="C37" s="5">
        <v>1.9446000124454401E-7</v>
      </c>
      <c r="D37" s="5">
        <v>2.8247033983752402E-8</v>
      </c>
      <c r="E37" s="5">
        <v>4.9588086164770398E-7</v>
      </c>
      <c r="F37" s="5">
        <v>1.01683054646274E-5</v>
      </c>
      <c r="G37" s="5">
        <v>1.08518377967123E-7</v>
      </c>
      <c r="H37" s="5">
        <v>2.28054116199241E-7</v>
      </c>
      <c r="I37" s="5">
        <v>1.8252724234170601E-4</v>
      </c>
      <c r="J37" s="5">
        <v>3.1951062729888899E-8</v>
      </c>
      <c r="K37" s="5">
        <v>1.5125631372905801E-6</v>
      </c>
      <c r="L37" s="5">
        <v>2.07643284949576E-8</v>
      </c>
      <c r="M37" s="5">
        <v>8.0198282232992895E-8</v>
      </c>
      <c r="N37" s="5">
        <v>4.8146710137256601E-4</v>
      </c>
      <c r="O37" t="s">
        <v>208</v>
      </c>
      <c r="P37">
        <v>0.52</v>
      </c>
      <c r="Q37">
        <v>212</v>
      </c>
      <c r="R37" s="1">
        <v>4.5000000000000003E-5</v>
      </c>
      <c r="S37" t="s">
        <v>209</v>
      </c>
      <c r="T37" t="s">
        <v>199</v>
      </c>
      <c r="U37" t="s">
        <v>32</v>
      </c>
      <c r="V37" t="s">
        <v>39</v>
      </c>
    </row>
    <row r="38" spans="1:22">
      <c r="A38" s="2">
        <f>HYPERLINK("http://hydra.cos.uni-heidelberg.de/cgi-bin/perl/getCephData.pl?clusid=20978",20978)</f>
        <v>20978</v>
      </c>
      <c r="B38" t="s">
        <v>22</v>
      </c>
      <c r="C38" s="5">
        <v>2.0835000133344001E-6</v>
      </c>
      <c r="D38" s="5">
        <v>8.4741101951257096E-8</v>
      </c>
      <c r="E38" s="5">
        <v>4.6388854799301302E-7</v>
      </c>
      <c r="F38" s="5">
        <v>4.7658247437073096E-6</v>
      </c>
      <c r="G38" s="5">
        <v>9.7666540170410701E-7</v>
      </c>
      <c r="H38" s="5">
        <v>1.2597274990053301E-6</v>
      </c>
      <c r="I38" s="5">
        <v>3.8450596280161202E-6</v>
      </c>
      <c r="J38" s="5">
        <v>2.2461597099111901E-5</v>
      </c>
      <c r="K38" s="5">
        <v>5.1648497370897798E-7</v>
      </c>
      <c r="L38" s="5">
        <v>2.82394867531423E-6</v>
      </c>
      <c r="M38" s="5">
        <v>1.9514915343361601E-6</v>
      </c>
      <c r="N38" s="5">
        <v>2.7044634737432101E-6</v>
      </c>
      <c r="O38" t="s">
        <v>222</v>
      </c>
      <c r="P38">
        <v>0.83</v>
      </c>
      <c r="Q38">
        <v>426</v>
      </c>
      <c r="R38" s="1">
        <v>7.2999999999999999E-5</v>
      </c>
      <c r="S38" t="s">
        <v>223</v>
      </c>
      <c r="T38" t="s">
        <v>224</v>
      </c>
      <c r="U38" t="s">
        <v>32</v>
      </c>
      <c r="V38" t="s">
        <v>26</v>
      </c>
    </row>
    <row r="39" spans="1:22">
      <c r="A39" s="2">
        <f>HYPERLINK("http://hydra.cos.uni-heidelberg.de/cgi-bin/perl/getCephData.pl?clusid=337",337)</f>
        <v>337</v>
      </c>
      <c r="B39" t="s">
        <v>22</v>
      </c>
      <c r="C39" s="5">
        <v>1.44456000924518E-6</v>
      </c>
      <c r="D39" s="5">
        <v>1.12988135935009E-7</v>
      </c>
      <c r="E39" s="5">
        <v>3.19923136546906E-7</v>
      </c>
      <c r="F39" s="5">
        <v>8.5493802654291502E-7</v>
      </c>
      <c r="G39" s="5">
        <v>1.11231337416301E-6</v>
      </c>
      <c r="H39" s="5">
        <v>1.3900441368334701E-6</v>
      </c>
      <c r="I39" s="5">
        <v>3.3926996717789199E-7</v>
      </c>
      <c r="J39" s="5">
        <v>0</v>
      </c>
      <c r="K39" s="5">
        <v>5.9026854138168904E-7</v>
      </c>
      <c r="L39" s="5">
        <v>6.2292985484872699E-7</v>
      </c>
      <c r="M39" s="5">
        <v>7.4851730084126696E-7</v>
      </c>
      <c r="N39" s="5">
        <v>1.0708949325560401E-6</v>
      </c>
      <c r="O39" t="s">
        <v>102</v>
      </c>
      <c r="P39">
        <v>0.63</v>
      </c>
      <c r="Q39">
        <v>339</v>
      </c>
      <c r="R39" s="1">
        <v>8.2000000000000001E-5</v>
      </c>
      <c r="S39" t="s">
        <v>103</v>
      </c>
      <c r="T39" t="s">
        <v>104</v>
      </c>
      <c r="U39" t="s">
        <v>32</v>
      </c>
      <c r="V39" t="s">
        <v>26</v>
      </c>
    </row>
    <row r="40" spans="1:22">
      <c r="A40" s="2">
        <f>HYPERLINK("http://hydra.cos.uni-heidelberg.de/cgi-bin/perl/getCephData.pl?clusid=3437",3437)</f>
        <v>3437</v>
      </c>
      <c r="B40" t="s">
        <v>22</v>
      </c>
      <c r="C40" s="5">
        <v>0</v>
      </c>
      <c r="D40" s="5">
        <v>0</v>
      </c>
      <c r="E40" s="5">
        <v>1.7595772510079801E-7</v>
      </c>
      <c r="F40" s="5">
        <v>0</v>
      </c>
      <c r="G40" s="5">
        <v>1.08518377967123E-7</v>
      </c>
      <c r="H40" s="5">
        <v>2.28054116199241E-7</v>
      </c>
      <c r="I40" s="5">
        <v>4.7120828774707298E-7</v>
      </c>
      <c r="J40" s="5">
        <v>0</v>
      </c>
      <c r="K40" s="5">
        <v>5.5337675754533397E-8</v>
      </c>
      <c r="L40" s="5">
        <v>2.07643284949576E-8</v>
      </c>
      <c r="M40" s="5">
        <v>0</v>
      </c>
      <c r="N40" s="5">
        <v>8.7123655529982495E-7</v>
      </c>
      <c r="O40" t="s">
        <v>144</v>
      </c>
      <c r="P40">
        <v>2</v>
      </c>
      <c r="Q40">
        <v>289</v>
      </c>
      <c r="R40" s="1">
        <v>9.2E-5</v>
      </c>
      <c r="S40" t="s">
        <v>145</v>
      </c>
      <c r="T40" t="s">
        <v>146</v>
      </c>
      <c r="U40" t="s">
        <v>32</v>
      </c>
      <c r="V40" t="s">
        <v>26</v>
      </c>
    </row>
    <row r="41" spans="1:22">
      <c r="A41" s="2">
        <f>HYPERLINK("http://hydra.cos.uni-heidelberg.de/cgi-bin/perl/getCephData.pl?clusid=15160",15160)</f>
        <v>15160</v>
      </c>
      <c r="B41" t="s">
        <v>22</v>
      </c>
      <c r="C41" s="5">
        <v>6.6394200424922896E-6</v>
      </c>
      <c r="D41" s="5">
        <v>1.44059873317137E-6</v>
      </c>
      <c r="E41" s="5">
        <v>1.2796925461876201E-7</v>
      </c>
      <c r="F41" s="5">
        <v>2.1828204933010601E-7</v>
      </c>
      <c r="G41" s="5">
        <v>0</v>
      </c>
      <c r="H41" s="5">
        <v>2.3565592007254899E-6</v>
      </c>
      <c r="I41" s="5">
        <v>3.7696663019765802E-7</v>
      </c>
      <c r="J41" s="5">
        <v>3.6743722139372197E-7</v>
      </c>
      <c r="K41" s="5">
        <v>1.8445891918177799E-8</v>
      </c>
      <c r="L41" s="5">
        <v>1.72343926508148E-6</v>
      </c>
      <c r="M41" s="5">
        <v>3.2613968108083802E-6</v>
      </c>
      <c r="N41" s="5">
        <v>1.2705533098122499E-7</v>
      </c>
      <c r="O41" t="s">
        <v>181</v>
      </c>
      <c r="P41">
        <v>0.72</v>
      </c>
      <c r="Q41">
        <v>424</v>
      </c>
      <c r="R41" s="1">
        <v>9.2E-5</v>
      </c>
      <c r="S41" t="s">
        <v>182</v>
      </c>
      <c r="T41" t="s">
        <v>73</v>
      </c>
      <c r="U41" t="s">
        <v>32</v>
      </c>
      <c r="V41" t="s">
        <v>26</v>
      </c>
    </row>
    <row r="42" spans="1:22">
      <c r="A42" s="2">
        <f>HYPERLINK("http://hydra.cos.uni-heidelberg.de/cgi-bin/perl/getCephData.pl?clusid=5977",5977)</f>
        <v>5977</v>
      </c>
      <c r="B42" t="s">
        <v>22</v>
      </c>
      <c r="C42" s="5">
        <v>5.6671200362695697E-6</v>
      </c>
      <c r="D42" s="5">
        <v>5.6494067967504697E-8</v>
      </c>
      <c r="E42" s="5">
        <v>7.8381168453991897E-7</v>
      </c>
      <c r="F42" s="5">
        <v>2.2010106640785698E-6</v>
      </c>
      <c r="G42" s="5">
        <v>1.7362940474739701E-6</v>
      </c>
      <c r="H42" s="5">
        <v>2.4977355583726398E-7</v>
      </c>
      <c r="I42" s="5">
        <v>4.6932345459608501E-6</v>
      </c>
      <c r="J42" s="5">
        <v>0</v>
      </c>
      <c r="K42" s="5">
        <v>1.8630350837359599E-6</v>
      </c>
      <c r="L42" s="5">
        <v>2.3878977769201202E-7</v>
      </c>
      <c r="M42" s="5">
        <v>3.20793128931971E-7</v>
      </c>
      <c r="N42" s="5">
        <v>3.5938507906117802E-6</v>
      </c>
      <c r="O42" t="s">
        <v>109</v>
      </c>
      <c r="P42">
        <v>0.66</v>
      </c>
      <c r="Q42">
        <v>793</v>
      </c>
      <c r="R42">
        <v>1.2E-4</v>
      </c>
      <c r="S42" t="s">
        <v>110</v>
      </c>
      <c r="T42" t="s">
        <v>111</v>
      </c>
      <c r="U42" t="s">
        <v>32</v>
      </c>
      <c r="V42" t="s">
        <v>39</v>
      </c>
    </row>
    <row r="43" spans="1:22">
      <c r="A43" s="2">
        <f>HYPERLINK("http://hydra.cos.uni-heidelberg.de/cgi-bin/perl/getCephData.pl?clusid=15538",15538)</f>
        <v>15538</v>
      </c>
      <c r="B43" t="s">
        <v>22</v>
      </c>
      <c r="C43" s="5">
        <v>3.6114000231129601E-7</v>
      </c>
      <c r="D43" s="5">
        <v>6.6098059521980501E-6</v>
      </c>
      <c r="E43" s="5">
        <v>2.2394619558283401E-7</v>
      </c>
      <c r="F43" s="5">
        <v>1.05502990509551E-6</v>
      </c>
      <c r="G43" s="5">
        <v>4.6934198470780698E-5</v>
      </c>
      <c r="H43" s="5">
        <v>2.2805411619924102E-6</v>
      </c>
      <c r="I43" s="5">
        <v>3.39269967177892E-6</v>
      </c>
      <c r="J43" s="5">
        <v>3.81974954935822E-5</v>
      </c>
      <c r="K43" s="5">
        <v>2.5787356901612501E-5</v>
      </c>
      <c r="L43" s="5">
        <v>1.86878956454618E-6</v>
      </c>
      <c r="M43" s="5">
        <v>1.1227759512619E-6</v>
      </c>
      <c r="N43" s="5">
        <v>9.7469589624168004E-6</v>
      </c>
      <c r="O43" t="s">
        <v>139</v>
      </c>
      <c r="P43">
        <v>0.72</v>
      </c>
      <c r="Q43">
        <v>418</v>
      </c>
      <c r="R43">
        <v>1.2999999999999999E-4</v>
      </c>
      <c r="S43" t="s">
        <v>140</v>
      </c>
      <c r="T43" t="s">
        <v>141</v>
      </c>
      <c r="U43" t="s">
        <v>32</v>
      </c>
      <c r="V43" t="s">
        <v>26</v>
      </c>
    </row>
    <row r="44" spans="1:22">
      <c r="A44" s="2">
        <f>HYPERLINK("http://hydra.cos.uni-heidelberg.de/cgi-bin/perl/getCephData.pl?clusid=19957",19957)</f>
        <v>19957</v>
      </c>
      <c r="B44" t="s">
        <v>22</v>
      </c>
      <c r="C44" s="5">
        <v>3.02802001937933E-5</v>
      </c>
      <c r="D44" s="5">
        <v>2.45749195658646E-6</v>
      </c>
      <c r="E44" s="5">
        <v>6.3824665741107703E-6</v>
      </c>
      <c r="F44" s="5">
        <v>4.9295362807048901E-6</v>
      </c>
      <c r="G44" s="5">
        <v>1.8393865065427401E-5</v>
      </c>
      <c r="H44" s="5">
        <v>2.5563780453952999E-5</v>
      </c>
      <c r="I44" s="5">
        <v>1.5135210202436E-5</v>
      </c>
      <c r="J44" s="5">
        <v>3.3548615866383299E-7</v>
      </c>
      <c r="K44" s="5">
        <v>4.1318797896718204E-6</v>
      </c>
      <c r="L44" s="5">
        <v>1.38290427776417E-5</v>
      </c>
      <c r="M44" s="5">
        <v>2.4888200252972099E-5</v>
      </c>
      <c r="N44" s="5">
        <v>9.2750391616293906E-6</v>
      </c>
      <c r="O44" t="s">
        <v>252</v>
      </c>
      <c r="P44">
        <v>0.89</v>
      </c>
      <c r="Q44">
        <v>165</v>
      </c>
      <c r="R44">
        <v>1.3999999999999999E-4</v>
      </c>
      <c r="S44" t="s">
        <v>253</v>
      </c>
      <c r="T44" t="s">
        <v>254</v>
      </c>
      <c r="U44" t="s">
        <v>32</v>
      </c>
      <c r="V44" t="s">
        <v>26</v>
      </c>
    </row>
    <row r="45" spans="1:22">
      <c r="A45" s="2">
        <f>HYPERLINK("http://hydra.cos.uni-heidelberg.de/cgi-bin/perl/getCephData.pl?clusid=1191",1191)</f>
        <v>1191</v>
      </c>
      <c r="B45" t="s">
        <v>22</v>
      </c>
      <c r="C45" s="5">
        <v>1.7223600110231E-6</v>
      </c>
      <c r="D45" s="5">
        <v>5.6494067967504697E-8</v>
      </c>
      <c r="E45" s="5">
        <v>1.9195388192814299E-7</v>
      </c>
      <c r="F45" s="5">
        <v>4.54754269437721E-7</v>
      </c>
      <c r="G45" s="5">
        <v>5.1546229534383397E-7</v>
      </c>
      <c r="H45" s="5">
        <v>2.3891383601825198E-7</v>
      </c>
      <c r="I45" s="5">
        <v>1.86598481947841E-6</v>
      </c>
      <c r="J45" s="5">
        <v>6.7576497673715003E-6</v>
      </c>
      <c r="K45" s="5">
        <v>4.9803908179080005E-7</v>
      </c>
      <c r="L45" s="5">
        <v>5.9178336210629002E-7</v>
      </c>
      <c r="M45" s="5">
        <v>6.4158625786394305E-7</v>
      </c>
      <c r="N45" s="5">
        <v>1.1797995019685101E-6</v>
      </c>
      <c r="O45" t="s">
        <v>100</v>
      </c>
      <c r="P45">
        <v>0.62</v>
      </c>
      <c r="Q45">
        <v>483</v>
      </c>
      <c r="R45">
        <v>3.5E-4</v>
      </c>
      <c r="S45" t="s">
        <v>101</v>
      </c>
      <c r="T45" t="s">
        <v>53</v>
      </c>
      <c r="U45" t="s">
        <v>32</v>
      </c>
      <c r="V45" t="s">
        <v>26</v>
      </c>
    </row>
    <row r="46" spans="1:22">
      <c r="A46" s="2">
        <f>HYPERLINK("http://hydra.cos.uni-heidelberg.de/cgi-bin/perl/getCephData.pl?clusid=15958",15958)</f>
        <v>15958</v>
      </c>
      <c r="B46" t="s">
        <v>22</v>
      </c>
      <c r="C46" s="5">
        <v>2.47519801584127E-5</v>
      </c>
      <c r="D46" s="5">
        <v>1.2993635632526101E-6</v>
      </c>
      <c r="E46" s="5">
        <v>6.3504742604560796E-6</v>
      </c>
      <c r="F46" s="5">
        <v>3.8781444097648799E-5</v>
      </c>
      <c r="G46" s="5">
        <v>1.09874857691712E-5</v>
      </c>
      <c r="H46" s="5">
        <v>1.4877816152045699E-5</v>
      </c>
      <c r="I46" s="5">
        <v>1.87163931893137E-5</v>
      </c>
      <c r="J46" s="5">
        <v>8.5948358743401106E-6</v>
      </c>
      <c r="K46" s="5">
        <v>3.68917838363556E-6</v>
      </c>
      <c r="L46" s="5">
        <v>3.3513626190861502E-5</v>
      </c>
      <c r="M46" s="5">
        <v>2.7935734977825799E-5</v>
      </c>
      <c r="N46" s="5">
        <v>1.21428594894913E-5</v>
      </c>
      <c r="O46" t="s">
        <v>120</v>
      </c>
      <c r="P46">
        <v>0.73</v>
      </c>
      <c r="Q46">
        <v>1378</v>
      </c>
      <c r="R46">
        <v>3.8999999999999999E-4</v>
      </c>
      <c r="S46" t="s">
        <v>121</v>
      </c>
      <c r="T46" t="s">
        <v>122</v>
      </c>
      <c r="U46" t="s">
        <v>32</v>
      </c>
      <c r="V46" t="s">
        <v>26</v>
      </c>
    </row>
    <row r="47" spans="1:22">
      <c r="A47" s="2">
        <f>HYPERLINK("http://hydra.cos.uni-heidelberg.de/cgi-bin/perl/getCephData.pl?clusid=17312",17312)</f>
        <v>17312</v>
      </c>
      <c r="B47" t="s">
        <v>22</v>
      </c>
      <c r="C47" s="5">
        <v>6.8616600439146201E-6</v>
      </c>
      <c r="D47" s="5">
        <v>8.7283335009794792E-6</v>
      </c>
      <c r="E47" s="5">
        <v>8.1100515114640602E-6</v>
      </c>
      <c r="F47" s="5">
        <v>6.4938909675706501E-6</v>
      </c>
      <c r="G47" s="5">
        <v>6.4568434890438198E-6</v>
      </c>
      <c r="H47" s="5">
        <v>6.6678679688730504E-6</v>
      </c>
      <c r="I47" s="5">
        <v>5.1644428337079204E-6</v>
      </c>
      <c r="J47" s="5">
        <v>2.7318158634055E-6</v>
      </c>
      <c r="K47" s="5">
        <v>1.4203336776996899E-6</v>
      </c>
      <c r="L47" s="5">
        <v>6.3019736982196196E-6</v>
      </c>
      <c r="M47" s="5">
        <v>8.8752765671178797E-6</v>
      </c>
      <c r="N47" s="5">
        <v>6.8791386345548702E-6</v>
      </c>
      <c r="O47" t="s">
        <v>124</v>
      </c>
      <c r="P47">
        <v>0.57999999999999996</v>
      </c>
      <c r="Q47">
        <v>113</v>
      </c>
      <c r="R47">
        <v>4.8000000000000001E-4</v>
      </c>
      <c r="S47" t="s">
        <v>125</v>
      </c>
      <c r="T47" t="s">
        <v>126</v>
      </c>
      <c r="U47" t="s">
        <v>32</v>
      </c>
      <c r="V47" t="s">
        <v>26</v>
      </c>
    </row>
    <row r="48" spans="1:22">
      <c r="A48" s="2">
        <f>HYPERLINK("http://hydra.cos.uni-heidelberg.de/cgi-bin/perl/getCephData.pl?clusid=5951",5951)</f>
        <v>5951</v>
      </c>
      <c r="B48" t="s">
        <v>22</v>
      </c>
      <c r="C48" s="5">
        <v>7.00056004480358E-6</v>
      </c>
      <c r="D48" s="5">
        <v>9.3215212146382805E-7</v>
      </c>
      <c r="E48" s="5">
        <v>2.5433889355479002E-6</v>
      </c>
      <c r="F48" s="5">
        <v>1.13506665651655E-5</v>
      </c>
      <c r="G48" s="5">
        <v>1.16928552259575E-5</v>
      </c>
      <c r="H48" s="5">
        <v>3.4208117429886098E-6</v>
      </c>
      <c r="I48" s="5">
        <v>1.09697289387519E-5</v>
      </c>
      <c r="J48" s="5">
        <v>1.5895653708119699E-5</v>
      </c>
      <c r="K48" s="5">
        <v>4.9066072502352901E-6</v>
      </c>
      <c r="L48" s="5">
        <v>3.4572606944104301E-6</v>
      </c>
      <c r="M48" s="5">
        <v>1.1067362948153E-5</v>
      </c>
      <c r="N48" s="5">
        <v>1.5990820942065501E-5</v>
      </c>
      <c r="O48" t="s">
        <v>250</v>
      </c>
      <c r="P48">
        <v>0.88</v>
      </c>
      <c r="Q48">
        <v>415</v>
      </c>
      <c r="R48">
        <v>5.2999999999999998E-4</v>
      </c>
      <c r="S48" t="s">
        <v>251</v>
      </c>
      <c r="T48" t="s">
        <v>73</v>
      </c>
      <c r="U48" t="s">
        <v>32</v>
      </c>
      <c r="V48" t="s">
        <v>26</v>
      </c>
    </row>
    <row r="49" spans="1:22" s="7" customFormat="1">
      <c r="A49" s="6">
        <f>HYPERLINK("http://hydra.cos.uni-heidelberg.de/cgi-bin/perl/getCephData.pl?clusid=19426",19426)</f>
        <v>19426</v>
      </c>
      <c r="B49" s="7" t="s">
        <v>22</v>
      </c>
      <c r="C49" s="8">
        <v>7.2783600465814997E-6</v>
      </c>
      <c r="D49" s="8">
        <v>2.8529504323589902E-6</v>
      </c>
      <c r="E49" s="8">
        <v>2.7513389743033902E-6</v>
      </c>
      <c r="F49" s="8">
        <v>2.03002305876999E-5</v>
      </c>
      <c r="G49" s="8">
        <v>5.1003637644547802E-6</v>
      </c>
      <c r="H49" s="8">
        <v>4.5067837248897603E-6</v>
      </c>
      <c r="I49" s="8">
        <v>1.23268088074634E-5</v>
      </c>
      <c r="J49" s="8">
        <v>3.1951062729888898E-6</v>
      </c>
      <c r="K49" s="8">
        <v>2.6193166523812499E-6</v>
      </c>
      <c r="L49" s="8">
        <v>9.4477694652056902E-6</v>
      </c>
      <c r="M49" s="8">
        <v>1.17891474882499E-5</v>
      </c>
      <c r="N49" s="8">
        <v>5.8263944635675796E-6</v>
      </c>
      <c r="O49" s="7" t="s">
        <v>212</v>
      </c>
      <c r="P49" s="7">
        <v>0.57999999999999996</v>
      </c>
      <c r="Q49" s="7">
        <v>249</v>
      </c>
      <c r="R49" s="7">
        <v>8.8000000000000003E-4</v>
      </c>
      <c r="S49" s="7" t="s">
        <v>213</v>
      </c>
      <c r="T49" s="7" t="s">
        <v>214</v>
      </c>
      <c r="U49" s="7" t="s">
        <v>32</v>
      </c>
      <c r="V49" s="7" t="s">
        <v>26</v>
      </c>
    </row>
    <row r="50" spans="1:22">
      <c r="A50" s="2">
        <f>HYPERLINK("http://hydra.cos.uni-heidelberg.de/cgi-bin/perl/getCephData.pl?clusid=7604",7604)</f>
        <v>7604</v>
      </c>
      <c r="B50" t="s">
        <v>6</v>
      </c>
      <c r="C50" s="5">
        <v>0</v>
      </c>
      <c r="D50" s="5">
        <v>8.4741101951257096E-8</v>
      </c>
      <c r="E50" s="5">
        <v>6.3984627309381203E-8</v>
      </c>
      <c r="F50" s="5">
        <v>9.6589806828571899E-6</v>
      </c>
      <c r="G50" s="5">
        <v>5.2240747153373002E-3</v>
      </c>
      <c r="H50" s="5">
        <v>0</v>
      </c>
      <c r="I50" s="5">
        <v>0</v>
      </c>
      <c r="J50" s="5">
        <v>1.2780425091955599E-7</v>
      </c>
      <c r="K50" s="5">
        <v>3.6891783836355598E-8</v>
      </c>
      <c r="L50" s="5">
        <v>0</v>
      </c>
      <c r="M50" s="5">
        <v>1.2297069942392199E-6</v>
      </c>
      <c r="N50" s="5">
        <v>2.3595990039370299E-7</v>
      </c>
      <c r="O50" t="s">
        <v>225</v>
      </c>
      <c r="P50">
        <v>0.48</v>
      </c>
      <c r="Q50">
        <v>112</v>
      </c>
      <c r="R50" s="1">
        <v>5.1999999999999996E-44</v>
      </c>
      <c r="S50" t="s">
        <v>226</v>
      </c>
      <c r="T50" t="s">
        <v>227</v>
      </c>
      <c r="U50" t="s">
        <v>25</v>
      </c>
      <c r="V50" t="s">
        <v>26</v>
      </c>
    </row>
    <row r="51" spans="1:22">
      <c r="A51" s="2">
        <f>HYPERLINK("http://hydra.cos.uni-heidelberg.de/cgi-bin/perl/getCephData.pl?clusid=27584",27584)</f>
        <v>27584</v>
      </c>
      <c r="B51" t="s">
        <v>22</v>
      </c>
      <c r="C51" s="5">
        <v>8.4729000542265595E-6</v>
      </c>
      <c r="D51" s="5">
        <v>9.8582148603295704E-6</v>
      </c>
      <c r="E51" s="5">
        <v>2.75133897430339E-5</v>
      </c>
      <c r="F51" s="5">
        <v>7.2760683110035404E-8</v>
      </c>
      <c r="G51" s="5">
        <v>6.8366578119287501E-6</v>
      </c>
      <c r="H51" s="5">
        <v>5.8099501031711398E-6</v>
      </c>
      <c r="I51" s="5">
        <v>2.8372393421826801E-4</v>
      </c>
      <c r="J51" s="5">
        <v>2.2988789634155101E-5</v>
      </c>
      <c r="K51" s="5">
        <v>1.15286824488611E-5</v>
      </c>
      <c r="L51" s="5">
        <v>4.6096809258805799E-6</v>
      </c>
      <c r="M51" s="5">
        <v>6.3623970571507703E-6</v>
      </c>
      <c r="N51" s="5">
        <v>4.9007056235615203E-6</v>
      </c>
      <c r="O51" t="s">
        <v>23</v>
      </c>
      <c r="P51">
        <v>0.96</v>
      </c>
      <c r="Q51">
        <v>308</v>
      </c>
      <c r="R51" t="s">
        <v>24</v>
      </c>
      <c r="S51" t="s">
        <v>24</v>
      </c>
      <c r="T51" t="s">
        <v>24</v>
      </c>
      <c r="U51" t="s">
        <v>25</v>
      </c>
      <c r="V51" t="s">
        <v>26</v>
      </c>
    </row>
    <row r="52" spans="1:22">
      <c r="A52" s="2">
        <f>HYPERLINK("http://hydra.cos.uni-heidelberg.de/cgi-bin/perl/getCephData.pl?clusid=26149",26149)</f>
        <v>26149</v>
      </c>
      <c r="B52" t="s">
        <v>22</v>
      </c>
      <c r="C52" s="5">
        <v>3.2502600208016602E-6</v>
      </c>
      <c r="D52" s="5">
        <v>2.8247033983752402E-8</v>
      </c>
      <c r="E52" s="5">
        <v>1.9515311329361299E-6</v>
      </c>
      <c r="F52" s="5">
        <v>4.54754269437721E-7</v>
      </c>
      <c r="G52" s="5">
        <v>3.0113849885876599E-6</v>
      </c>
      <c r="H52" s="5">
        <v>4.6153809230798797E-6</v>
      </c>
      <c r="I52" s="5">
        <v>1.1497482221028601E-6</v>
      </c>
      <c r="J52" s="5">
        <v>1.7573084501438899E-7</v>
      </c>
      <c r="K52" s="5">
        <v>3.320260545272E-7</v>
      </c>
      <c r="L52" s="5">
        <v>2.3878977769201201E-6</v>
      </c>
      <c r="M52" s="5">
        <v>1.73762944838151E-6</v>
      </c>
      <c r="N52" s="5">
        <v>6.3527665490612302E-7</v>
      </c>
      <c r="O52" t="s">
        <v>27</v>
      </c>
      <c r="P52">
        <v>0.61</v>
      </c>
      <c r="Q52">
        <v>564</v>
      </c>
      <c r="R52" t="s">
        <v>24</v>
      </c>
      <c r="S52" t="s">
        <v>24</v>
      </c>
      <c r="T52" t="s">
        <v>24</v>
      </c>
      <c r="U52" t="s">
        <v>25</v>
      </c>
      <c r="V52" t="s">
        <v>26</v>
      </c>
    </row>
    <row r="53" spans="1:22">
      <c r="A53" s="2">
        <f>HYPERLINK("http://hydra.cos.uni-heidelberg.de/cgi-bin/perl/getCephData.pl?clusid=21877",21877)</f>
        <v>21877</v>
      </c>
      <c r="B53" t="s">
        <v>22</v>
      </c>
      <c r="C53" s="5">
        <v>6.9172200442702102E-6</v>
      </c>
      <c r="D53" s="5">
        <v>4.23705509756285E-7</v>
      </c>
      <c r="E53" s="5">
        <v>2.06350423072754E-6</v>
      </c>
      <c r="F53" s="5">
        <v>8.3856687284315693E-6</v>
      </c>
      <c r="G53" s="5">
        <v>1.42701667026767E-5</v>
      </c>
      <c r="H53" s="5">
        <v>1.3324876217927099E-5</v>
      </c>
      <c r="I53" s="5">
        <v>7.8597542396211803E-6</v>
      </c>
      <c r="J53" s="5">
        <v>8.3072763097711096E-7</v>
      </c>
      <c r="K53" s="5">
        <v>8.3006513631800005E-7</v>
      </c>
      <c r="L53" s="5">
        <v>1.0859743802862799E-5</v>
      </c>
      <c r="M53" s="5">
        <v>6.4693281001280899E-6</v>
      </c>
      <c r="N53" s="5">
        <v>6.8972893961236203E-6</v>
      </c>
      <c r="O53" t="s">
        <v>28</v>
      </c>
      <c r="P53">
        <v>0.61</v>
      </c>
      <c r="Q53">
        <v>379</v>
      </c>
      <c r="R53" t="s">
        <v>24</v>
      </c>
      <c r="S53" t="s">
        <v>24</v>
      </c>
      <c r="T53" t="s">
        <v>24</v>
      </c>
      <c r="U53" t="s">
        <v>25</v>
      </c>
      <c r="V53" t="s">
        <v>26</v>
      </c>
    </row>
    <row r="54" spans="1:22">
      <c r="A54" s="2">
        <f>HYPERLINK("http://hydra.cos.uni-heidelberg.de/cgi-bin/perl/getCephData.pl?clusid=21605",21605)</f>
        <v>21605</v>
      </c>
      <c r="B54" t="s">
        <v>22</v>
      </c>
      <c r="C54" s="5">
        <v>1.3890000088895999E-6</v>
      </c>
      <c r="D54" s="5">
        <v>0</v>
      </c>
      <c r="E54" s="5">
        <v>3.1992313654690602E-8</v>
      </c>
      <c r="F54" s="5">
        <v>3.07413886139899E-6</v>
      </c>
      <c r="G54" s="5">
        <v>1.8800808982804099E-5</v>
      </c>
      <c r="H54" s="5">
        <v>1.52036077466161E-7</v>
      </c>
      <c r="I54" s="5">
        <v>7.53933260395317E-8</v>
      </c>
      <c r="J54" s="5">
        <v>1.46974888557489E-6</v>
      </c>
      <c r="K54" s="5">
        <v>3.1358016260902202E-7</v>
      </c>
      <c r="L54" s="5">
        <v>2.4917194193949099E-7</v>
      </c>
      <c r="M54" s="5">
        <v>8.0198282232992895E-8</v>
      </c>
      <c r="N54" s="5">
        <v>1.81507615687464E-7</v>
      </c>
      <c r="O54" t="s">
        <v>33</v>
      </c>
      <c r="P54">
        <v>0.73</v>
      </c>
      <c r="Q54">
        <v>551</v>
      </c>
      <c r="R54" t="s">
        <v>24</v>
      </c>
      <c r="S54" t="s">
        <v>24</v>
      </c>
      <c r="T54" t="s">
        <v>24</v>
      </c>
      <c r="U54" t="s">
        <v>25</v>
      </c>
      <c r="V54" t="s">
        <v>26</v>
      </c>
    </row>
    <row r="55" spans="1:22">
      <c r="A55" s="2">
        <f>HYPERLINK("http://hydra.cos.uni-heidelberg.de/cgi-bin/perl/getCephData.pl?clusid=13697",13697)</f>
        <v>13697</v>
      </c>
      <c r="B55" t="s">
        <v>22</v>
      </c>
      <c r="C55" s="5">
        <v>1.21954200780507E-5</v>
      </c>
      <c r="D55" s="5">
        <v>4.1523139956115901E-6</v>
      </c>
      <c r="E55" s="5">
        <v>6.3472750290906205E-5</v>
      </c>
      <c r="F55" s="5">
        <v>2.5466239088512399E-7</v>
      </c>
      <c r="G55" s="5">
        <v>6.7823986229451896E-6</v>
      </c>
      <c r="H55" s="5">
        <v>1.2510397231501201E-5</v>
      </c>
      <c r="I55" s="5">
        <v>2.2241031181661901E-6</v>
      </c>
      <c r="J55" s="5">
        <v>1.53365101103466E-6</v>
      </c>
      <c r="K55" s="5">
        <v>1.9958455055468399E-5</v>
      </c>
      <c r="L55" s="5">
        <v>8.7210179678821802E-6</v>
      </c>
      <c r="M55" s="5">
        <v>1.73762944838151E-6</v>
      </c>
      <c r="N55" s="5">
        <v>4.35618277649913E-7</v>
      </c>
      <c r="O55" t="s">
        <v>37</v>
      </c>
      <c r="P55">
        <v>0.78</v>
      </c>
      <c r="Q55">
        <v>131</v>
      </c>
      <c r="R55" t="s">
        <v>24</v>
      </c>
      <c r="S55" t="s">
        <v>24</v>
      </c>
      <c r="T55" t="s">
        <v>24</v>
      </c>
      <c r="U55" t="s">
        <v>25</v>
      </c>
      <c r="V55" t="s">
        <v>26</v>
      </c>
    </row>
    <row r="56" spans="1:22">
      <c r="A56" s="2">
        <f>HYPERLINK("http://hydra.cos.uni-heidelberg.de/cgi-bin/perl/getCephData.pl?clusid=11317",11317)</f>
        <v>11317</v>
      </c>
      <c r="B56" t="s">
        <v>9</v>
      </c>
      <c r="C56" s="5">
        <v>2.8613400183125799E-6</v>
      </c>
      <c r="D56" s="5">
        <v>6.4120767143117903E-6</v>
      </c>
      <c r="E56" s="5">
        <v>2.2394619558283401E-7</v>
      </c>
      <c r="F56" s="5">
        <v>4.18373927882703E-7</v>
      </c>
      <c r="G56" s="5">
        <v>5.42591889835615E-8</v>
      </c>
      <c r="H56" s="5">
        <v>3.3339339844365201E-6</v>
      </c>
      <c r="I56" s="5">
        <v>4.3351162472730699E-7</v>
      </c>
      <c r="J56" s="5">
        <v>6.7209060452321303E-5</v>
      </c>
      <c r="K56" s="5">
        <v>0</v>
      </c>
      <c r="L56" s="5">
        <v>4.9107636890574597E-6</v>
      </c>
      <c r="M56" s="5">
        <v>1.73762944838151E-6</v>
      </c>
      <c r="N56" s="5">
        <v>1.45206092549971E-7</v>
      </c>
      <c r="O56" t="s">
        <v>38</v>
      </c>
      <c r="P56">
        <v>0.69</v>
      </c>
      <c r="Q56">
        <v>473</v>
      </c>
      <c r="R56" t="s">
        <v>24</v>
      </c>
      <c r="S56" t="s">
        <v>24</v>
      </c>
      <c r="T56" t="s">
        <v>24</v>
      </c>
      <c r="U56" t="s">
        <v>25</v>
      </c>
      <c r="V56" t="s">
        <v>39</v>
      </c>
    </row>
    <row r="57" spans="1:22">
      <c r="A57" s="2">
        <f>HYPERLINK("http://hydra.cos.uni-heidelberg.de/cgi-bin/perl/getCephData.pl?clusid=24411",24411)</f>
        <v>24411</v>
      </c>
      <c r="B57" t="s">
        <v>22</v>
      </c>
      <c r="C57" s="5">
        <v>1.9446000124454401E-7</v>
      </c>
      <c r="D57" s="5">
        <v>0</v>
      </c>
      <c r="E57" s="5">
        <v>9.5976940964071705E-8</v>
      </c>
      <c r="F57" s="5">
        <v>0</v>
      </c>
      <c r="G57" s="5">
        <v>0</v>
      </c>
      <c r="H57" s="5">
        <v>1.3031663782813799E-7</v>
      </c>
      <c r="I57" s="5">
        <v>0</v>
      </c>
      <c r="J57" s="5">
        <v>3.3548615866383299E-7</v>
      </c>
      <c r="K57" s="5">
        <v>4.61147297954445E-7</v>
      </c>
      <c r="L57" s="5">
        <v>5.1910821237393901E-8</v>
      </c>
      <c r="M57" s="5">
        <v>0</v>
      </c>
      <c r="N57" s="5">
        <v>9.0753807843731803E-8</v>
      </c>
      <c r="O57" t="s">
        <v>40</v>
      </c>
      <c r="P57">
        <v>0.56999999999999995</v>
      </c>
      <c r="Q57">
        <v>210</v>
      </c>
      <c r="R57" t="s">
        <v>24</v>
      </c>
      <c r="S57" t="s">
        <v>24</v>
      </c>
      <c r="T57" t="s">
        <v>24</v>
      </c>
      <c r="U57" t="s">
        <v>25</v>
      </c>
      <c r="V57" t="s">
        <v>26</v>
      </c>
    </row>
    <row r="58" spans="1:22">
      <c r="A58" s="2">
        <f>HYPERLINK("http://hydra.cos.uni-heidelberg.de/cgi-bin/perl/getCephData.pl?clusid=3002",3002)</f>
        <v>3002</v>
      </c>
      <c r="B58" t="s">
        <v>22</v>
      </c>
      <c r="C58" s="5">
        <v>1.11703380714902E-4</v>
      </c>
      <c r="D58" s="5">
        <v>2.8247033983752402E-8</v>
      </c>
      <c r="E58" s="5">
        <v>1.5996156827345301E-8</v>
      </c>
      <c r="F58" s="5">
        <v>2.3647222010761499E-6</v>
      </c>
      <c r="G58" s="5">
        <v>1.08518377967123E-7</v>
      </c>
      <c r="H58" s="5">
        <v>1.3267319702886299E-4</v>
      </c>
      <c r="I58" s="5">
        <v>2.5445247538341901E-6</v>
      </c>
      <c r="J58" s="5">
        <v>3.1951062729888899E-8</v>
      </c>
      <c r="K58" s="5">
        <v>0</v>
      </c>
      <c r="L58" s="5">
        <v>3.5816390220952301E-4</v>
      </c>
      <c r="M58" s="5">
        <v>8.5865627510791002E-5</v>
      </c>
      <c r="N58" s="5">
        <v>5.4452284706239099E-8</v>
      </c>
      <c r="O58" t="s">
        <v>41</v>
      </c>
      <c r="P58">
        <v>0.56000000000000005</v>
      </c>
      <c r="Q58">
        <v>115</v>
      </c>
      <c r="R58" t="s">
        <v>24</v>
      </c>
      <c r="S58" t="s">
        <v>24</v>
      </c>
      <c r="T58" t="s">
        <v>24</v>
      </c>
      <c r="U58" t="s">
        <v>25</v>
      </c>
      <c r="V58" t="s">
        <v>26</v>
      </c>
    </row>
    <row r="59" spans="1:22">
      <c r="A59" s="2">
        <f>HYPERLINK("http://hydra.cos.uni-heidelberg.de/cgi-bin/perl/getCephData.pl?clusid=21166",21166)</f>
        <v>21166</v>
      </c>
      <c r="B59" t="s">
        <v>22</v>
      </c>
      <c r="C59" s="5">
        <v>6.5255220417633403E-5</v>
      </c>
      <c r="D59" s="5">
        <v>3.1636678061802598E-6</v>
      </c>
      <c r="E59" s="5">
        <v>1.2461006168502E-5</v>
      </c>
      <c r="F59" s="5">
        <v>1.1328474556817E-3</v>
      </c>
      <c r="G59" s="5">
        <v>3.2338476634202702E-5</v>
      </c>
      <c r="H59" s="5">
        <v>7.1424377249638496E-5</v>
      </c>
      <c r="I59" s="5">
        <v>1.7397009983621901E-4</v>
      </c>
      <c r="J59" s="5">
        <v>2.4298783206080499E-5</v>
      </c>
      <c r="K59" s="5">
        <v>3.1136665557884102E-5</v>
      </c>
      <c r="L59" s="5">
        <v>2.03542330071821E-4</v>
      </c>
      <c r="M59" s="5">
        <v>9.4767636838653205E-5</v>
      </c>
      <c r="N59" s="5">
        <v>5.87649056549732E-4</v>
      </c>
      <c r="O59" t="s">
        <v>42</v>
      </c>
      <c r="P59">
        <v>0.63</v>
      </c>
      <c r="Q59">
        <v>232</v>
      </c>
      <c r="R59" t="s">
        <v>24</v>
      </c>
      <c r="S59" t="s">
        <v>24</v>
      </c>
      <c r="T59" t="s">
        <v>24</v>
      </c>
      <c r="U59" t="s">
        <v>25</v>
      </c>
      <c r="V59" t="s">
        <v>26</v>
      </c>
    </row>
    <row r="60" spans="1:22">
      <c r="A60" s="2">
        <f>HYPERLINK("http://hydra.cos.uni-heidelberg.de/cgi-bin/perl/getCephData.pl?clusid=18071",18071)</f>
        <v>18071</v>
      </c>
      <c r="B60" t="s">
        <v>22</v>
      </c>
      <c r="C60" s="5">
        <v>8.2784400529820206E-6</v>
      </c>
      <c r="D60" s="5">
        <v>2.8529504323589902E-6</v>
      </c>
      <c r="E60" s="5">
        <v>1.0077578801227499E-6</v>
      </c>
      <c r="F60" s="5">
        <v>1.05139187094001E-5</v>
      </c>
      <c r="G60" s="5">
        <v>7.8675824026164199E-6</v>
      </c>
      <c r="H60" s="5">
        <v>1.2086868158559799E-5</v>
      </c>
      <c r="I60" s="5">
        <v>1.16294205415978E-5</v>
      </c>
      <c r="J60" s="5">
        <v>1.07036060145128E-5</v>
      </c>
      <c r="K60" s="5">
        <v>2.4901954089539998E-6</v>
      </c>
      <c r="L60" s="5">
        <v>2.3847831276458801E-5</v>
      </c>
      <c r="M60" s="5">
        <v>1.8445604913588401E-5</v>
      </c>
      <c r="N60" s="5">
        <v>9.60175286986683E-6</v>
      </c>
      <c r="O60" t="s">
        <v>43</v>
      </c>
      <c r="P60">
        <v>0.82</v>
      </c>
      <c r="Q60">
        <v>213</v>
      </c>
      <c r="R60" t="s">
        <v>24</v>
      </c>
      <c r="S60" t="s">
        <v>24</v>
      </c>
      <c r="T60" t="s">
        <v>24</v>
      </c>
      <c r="U60" t="s">
        <v>25</v>
      </c>
      <c r="V60" t="s">
        <v>39</v>
      </c>
    </row>
    <row r="61" spans="1:22">
      <c r="A61" s="2">
        <f>HYPERLINK("http://hydra.cos.uni-heidelberg.de/cgi-bin/perl/getCephData.pl?clusid=8387",8387)</f>
        <v>8387</v>
      </c>
      <c r="B61" t="s">
        <v>22</v>
      </c>
      <c r="C61" s="5">
        <v>0</v>
      </c>
      <c r="D61" s="5">
        <v>0</v>
      </c>
      <c r="E61" s="5">
        <v>2.3994235241017901E-7</v>
      </c>
      <c r="F61" s="5">
        <v>0</v>
      </c>
      <c r="G61" s="5">
        <v>8.1388783475342299E-8</v>
      </c>
      <c r="H61" s="5">
        <v>2.1719439638023E-8</v>
      </c>
      <c r="I61" s="5">
        <v>0</v>
      </c>
      <c r="J61" s="5">
        <v>0</v>
      </c>
      <c r="K61" s="5">
        <v>3.6891783836355598E-8</v>
      </c>
      <c r="L61" s="5">
        <v>0</v>
      </c>
      <c r="M61" s="5">
        <v>0</v>
      </c>
      <c r="N61" s="5">
        <v>3.4486446980618102E-7</v>
      </c>
      <c r="O61" t="s">
        <v>44</v>
      </c>
      <c r="P61">
        <v>0.69</v>
      </c>
      <c r="Q61">
        <v>173</v>
      </c>
      <c r="R61" t="s">
        <v>24</v>
      </c>
      <c r="S61" t="s">
        <v>24</v>
      </c>
      <c r="T61" t="s">
        <v>24</v>
      </c>
      <c r="U61" t="s">
        <v>25</v>
      </c>
      <c r="V61" t="s">
        <v>26</v>
      </c>
    </row>
    <row r="62" spans="1:22">
      <c r="A62" s="2">
        <f>HYPERLINK("http://hydra.cos.uni-heidelberg.de/cgi-bin/perl/getCephData.pl?clusid=4173",4173)</f>
        <v>4173</v>
      </c>
      <c r="B62" t="s">
        <v>22</v>
      </c>
      <c r="C62" s="5">
        <v>1.950156012481E-5</v>
      </c>
      <c r="D62" s="5">
        <v>1.8530054293341501E-5</v>
      </c>
      <c r="E62" s="5">
        <v>5.6146510463981998E-6</v>
      </c>
      <c r="F62" s="5">
        <v>1.4643087475894601E-5</v>
      </c>
      <c r="G62" s="5">
        <v>1.1258781714088999E-5</v>
      </c>
      <c r="H62" s="5">
        <v>1.6669669922182601E-5</v>
      </c>
      <c r="I62" s="5">
        <v>1.7378161652112E-5</v>
      </c>
      <c r="J62" s="5">
        <v>4.2335158117102804E-6</v>
      </c>
      <c r="K62" s="5">
        <v>1.0956859799397599E-5</v>
      </c>
      <c r="L62" s="5">
        <v>1.40989790480762E-5</v>
      </c>
      <c r="M62" s="5">
        <v>1.9621846386338902E-5</v>
      </c>
      <c r="N62" s="5">
        <v>1.6680549881677901E-5</v>
      </c>
      <c r="O62" t="s">
        <v>45</v>
      </c>
      <c r="P62">
        <v>0.75</v>
      </c>
      <c r="Q62">
        <v>236</v>
      </c>
      <c r="R62" t="s">
        <v>24</v>
      </c>
      <c r="S62" t="s">
        <v>24</v>
      </c>
      <c r="T62" t="s">
        <v>24</v>
      </c>
      <c r="U62" t="s">
        <v>25</v>
      </c>
      <c r="V62" t="s">
        <v>26</v>
      </c>
    </row>
    <row r="63" spans="1:22">
      <c r="A63" s="2">
        <f>HYPERLINK("http://hydra.cos.uni-heidelberg.de/cgi-bin/perl/getCephData.pl?clusid=14687",14687)</f>
        <v>14687</v>
      </c>
      <c r="B63" t="s">
        <v>22</v>
      </c>
      <c r="C63" s="5">
        <v>1.19454000764506E-6</v>
      </c>
      <c r="D63" s="5">
        <v>2.8247033983752402E-8</v>
      </c>
      <c r="E63" s="5">
        <v>5.1187701847504899E-7</v>
      </c>
      <c r="F63" s="5">
        <v>2.4011025426311699E-6</v>
      </c>
      <c r="G63" s="5">
        <v>1.7091644529821901E-6</v>
      </c>
      <c r="H63" s="5">
        <v>1.2380080593673101E-6</v>
      </c>
      <c r="I63" s="5">
        <v>1.4324731947510999E-6</v>
      </c>
      <c r="J63" s="5">
        <v>7.5084997415238905E-7</v>
      </c>
      <c r="K63" s="5">
        <v>5.5337675754533404E-7</v>
      </c>
      <c r="L63" s="5">
        <v>2.0349041925058402E-6</v>
      </c>
      <c r="M63" s="5">
        <v>2.4059484669897901E-7</v>
      </c>
      <c r="N63" s="5">
        <v>6.53427416474869E-7</v>
      </c>
      <c r="O63" t="s">
        <v>46</v>
      </c>
      <c r="P63">
        <v>0.63</v>
      </c>
      <c r="Q63">
        <v>201</v>
      </c>
      <c r="R63" t="s">
        <v>24</v>
      </c>
      <c r="S63" t="s">
        <v>24</v>
      </c>
      <c r="T63" t="s">
        <v>24</v>
      </c>
      <c r="U63" t="s">
        <v>25</v>
      </c>
      <c r="V63" t="s">
        <v>26</v>
      </c>
    </row>
    <row r="64" spans="1:22">
      <c r="A64" s="2">
        <f>HYPERLINK("http://hydra.cos.uni-heidelberg.de/cgi-bin/perl/getCephData.pl?clusid=27623",27623)</f>
        <v>27623</v>
      </c>
      <c r="B64" t="s">
        <v>22</v>
      </c>
      <c r="C64" s="5">
        <v>9.2507400592047405E-6</v>
      </c>
      <c r="D64" s="5">
        <v>5.9318771365879999E-7</v>
      </c>
      <c r="E64" s="5">
        <v>1.7435810941806401E-6</v>
      </c>
      <c r="F64" s="5">
        <v>2.0827745540247599E-5</v>
      </c>
      <c r="G64" s="5">
        <v>5.3987893038643697E-6</v>
      </c>
      <c r="H64" s="5">
        <v>6.5375513310449102E-6</v>
      </c>
      <c r="I64" s="5">
        <v>2.6387664113836101E-6</v>
      </c>
      <c r="J64" s="5">
        <v>2.5880360811209999E-6</v>
      </c>
      <c r="K64" s="5">
        <v>4.9803908179080005E-7</v>
      </c>
      <c r="L64" s="5">
        <v>1.6808723916668099E-5</v>
      </c>
      <c r="M64" s="5">
        <v>9.8643887146581203E-6</v>
      </c>
      <c r="N64" s="5">
        <v>3.1582325129618702E-6</v>
      </c>
      <c r="O64" t="s">
        <v>47</v>
      </c>
      <c r="P64">
        <v>0.68</v>
      </c>
      <c r="Q64">
        <v>493</v>
      </c>
      <c r="R64" t="s">
        <v>24</v>
      </c>
      <c r="S64" t="s">
        <v>24</v>
      </c>
      <c r="T64" t="s">
        <v>24</v>
      </c>
      <c r="U64" t="s">
        <v>25</v>
      </c>
      <c r="V64" t="s">
        <v>26</v>
      </c>
    </row>
    <row r="65" spans="1:22">
      <c r="A65" s="2">
        <f>HYPERLINK("http://hydra.cos.uni-heidelberg.de/cgi-bin/perl/getCephData.pl?clusid=10193",10193)</f>
        <v>10193</v>
      </c>
      <c r="B65" t="s">
        <v>22</v>
      </c>
      <c r="C65" s="5">
        <v>4.7226000302246398E-7</v>
      </c>
      <c r="D65" s="5">
        <v>5.6494067967504699E-7</v>
      </c>
      <c r="E65" s="5">
        <v>0</v>
      </c>
      <c r="F65" s="5">
        <v>3.5288931308367098E-6</v>
      </c>
      <c r="G65" s="5">
        <v>1.62777566950685E-7</v>
      </c>
      <c r="H65" s="5">
        <v>4.7782767203650501E-7</v>
      </c>
      <c r="I65" s="5">
        <v>2.8272497264824402E-7</v>
      </c>
      <c r="J65" s="5">
        <v>1.66145526195422E-6</v>
      </c>
      <c r="K65" s="5">
        <v>1.1067535150906701E-7</v>
      </c>
      <c r="L65" s="5">
        <v>6.4369418334368398E-7</v>
      </c>
      <c r="M65" s="5">
        <v>3.20793128931971E-7</v>
      </c>
      <c r="N65" s="5">
        <v>8.1678427059358604E-7</v>
      </c>
      <c r="O65" t="s">
        <v>48</v>
      </c>
      <c r="P65">
        <v>0.69</v>
      </c>
      <c r="Q65">
        <v>164</v>
      </c>
      <c r="R65" t="s">
        <v>24</v>
      </c>
      <c r="S65" t="s">
        <v>24</v>
      </c>
      <c r="T65" t="s">
        <v>24</v>
      </c>
      <c r="U65" t="s">
        <v>25</v>
      </c>
      <c r="V65" t="s">
        <v>26</v>
      </c>
    </row>
    <row r="66" spans="1:22">
      <c r="A66" s="2">
        <f>HYPERLINK("http://hydra.cos.uni-heidelberg.de/cgi-bin/perl/getCephData.pl?clusid=11591",11591)</f>
        <v>11591</v>
      </c>
      <c r="B66" t="s">
        <v>6</v>
      </c>
      <c r="C66" s="5">
        <v>1.1112000071116799E-7</v>
      </c>
      <c r="D66" s="5">
        <v>3.3896440780502801E-7</v>
      </c>
      <c r="E66" s="5">
        <v>2.07950038755489E-7</v>
      </c>
      <c r="F66" s="5">
        <v>1.3096922959806399E-6</v>
      </c>
      <c r="G66" s="5">
        <v>9.1674697930956093E-3</v>
      </c>
      <c r="H66" s="5">
        <v>1.3031663782813799E-7</v>
      </c>
      <c r="I66" s="5">
        <v>1.3193832056918001E-7</v>
      </c>
      <c r="J66" s="5">
        <v>2.2365743910922201E-6</v>
      </c>
      <c r="K66" s="5">
        <v>2.7668837877266702E-7</v>
      </c>
      <c r="L66" s="5">
        <v>6.2292985484872694E-8</v>
      </c>
      <c r="M66" s="5">
        <v>2.1386208595464801E-7</v>
      </c>
      <c r="N66" s="5">
        <v>1.0345934094185401E-6</v>
      </c>
      <c r="O66" t="s">
        <v>49</v>
      </c>
      <c r="P66">
        <v>0.63</v>
      </c>
      <c r="Q66">
        <v>323</v>
      </c>
      <c r="R66" t="s">
        <v>24</v>
      </c>
      <c r="S66" t="s">
        <v>24</v>
      </c>
      <c r="T66" t="s">
        <v>24</v>
      </c>
      <c r="U66" t="s">
        <v>25</v>
      </c>
      <c r="V66" t="s">
        <v>26</v>
      </c>
    </row>
    <row r="67" spans="1:22">
      <c r="A67" s="2">
        <f>HYPERLINK("http://hydra.cos.uni-heidelberg.de/cgi-bin/perl/getCephData.pl?clusid=27746",27746)</f>
        <v>27746</v>
      </c>
      <c r="B67" t="s">
        <v>22</v>
      </c>
      <c r="C67" s="5">
        <v>5.52822003538061E-5</v>
      </c>
      <c r="D67" s="5">
        <v>0</v>
      </c>
      <c r="E67" s="5">
        <v>7.9980784136726395E-8</v>
      </c>
      <c r="F67" s="5">
        <v>4.18373927882703E-7</v>
      </c>
      <c r="G67" s="5">
        <v>1.5029795348446499E-5</v>
      </c>
      <c r="H67" s="5">
        <v>9.2123003224674297E-5</v>
      </c>
      <c r="I67" s="5">
        <v>3.7696663019765797E-8</v>
      </c>
      <c r="J67" s="5">
        <v>2.07681907744278E-7</v>
      </c>
      <c r="K67" s="5">
        <v>6.640521090544E-7</v>
      </c>
      <c r="L67" s="5">
        <v>7.1107442930982103E-5</v>
      </c>
      <c r="M67" s="5">
        <v>6.8275470941021294E-5</v>
      </c>
      <c r="N67" s="5">
        <v>3.63015231374927E-7</v>
      </c>
      <c r="O67" t="s">
        <v>50</v>
      </c>
      <c r="P67">
        <v>0.61</v>
      </c>
      <c r="Q67">
        <v>122</v>
      </c>
      <c r="R67" t="s">
        <v>24</v>
      </c>
      <c r="S67" t="s">
        <v>24</v>
      </c>
      <c r="T67" t="s">
        <v>24</v>
      </c>
      <c r="U67" t="s">
        <v>25</v>
      </c>
      <c r="V67" t="s">
        <v>26</v>
      </c>
    </row>
    <row r="68" spans="1:22">
      <c r="A68" s="2">
        <f>HYPERLINK("http://hydra.cos.uni-heidelberg.de/cgi-bin/perl/getCephData.pl?clusid=2663",2663)</f>
        <v>2663</v>
      </c>
      <c r="B68" t="s">
        <v>22</v>
      </c>
      <c r="C68" s="5">
        <v>2.2779600145789399E-6</v>
      </c>
      <c r="D68" s="5">
        <v>1.16660250352897E-5</v>
      </c>
      <c r="E68" s="5">
        <v>1.5836195259071801E-6</v>
      </c>
      <c r="F68" s="5">
        <v>7.2214977986710103E-6</v>
      </c>
      <c r="G68" s="5">
        <v>3.3640697169808099E-6</v>
      </c>
      <c r="H68" s="5">
        <v>1.12941086117719E-6</v>
      </c>
      <c r="I68" s="5">
        <v>5.5225611323956901E-6</v>
      </c>
      <c r="J68" s="5">
        <v>5.0945969522807802E-5</v>
      </c>
      <c r="K68" s="5">
        <v>6.6958587662985404E-6</v>
      </c>
      <c r="L68" s="5">
        <v>4.0905727135066399E-6</v>
      </c>
      <c r="M68" s="5">
        <v>4.9188279769568898E-6</v>
      </c>
      <c r="N68" s="5">
        <v>5.2274193317989503E-6</v>
      </c>
      <c r="O68" t="s">
        <v>54</v>
      </c>
      <c r="P68">
        <v>0.59</v>
      </c>
      <c r="Q68">
        <v>166</v>
      </c>
      <c r="R68" t="s">
        <v>24</v>
      </c>
      <c r="S68" t="s">
        <v>24</v>
      </c>
      <c r="T68" t="s">
        <v>24</v>
      </c>
      <c r="U68" t="s">
        <v>25</v>
      </c>
      <c r="V68" t="s">
        <v>26</v>
      </c>
    </row>
    <row r="69" spans="1:22">
      <c r="A69" s="2">
        <f>HYPERLINK("http://hydra.cos.uni-heidelberg.de/cgi-bin/perl/getCephData.pl?clusid=15830",15830)</f>
        <v>15830</v>
      </c>
      <c r="B69" t="s">
        <v>22</v>
      </c>
      <c r="C69" s="5">
        <v>1.9446000124454401E-7</v>
      </c>
      <c r="D69" s="5">
        <v>0</v>
      </c>
      <c r="E69" s="5">
        <v>0</v>
      </c>
      <c r="F69" s="5">
        <v>3.6380341555017702E-8</v>
      </c>
      <c r="G69" s="5">
        <v>0</v>
      </c>
      <c r="H69" s="5">
        <v>0</v>
      </c>
      <c r="I69" s="5">
        <v>3.2042163566801E-7</v>
      </c>
      <c r="J69" s="5">
        <v>0</v>
      </c>
      <c r="K69" s="5">
        <v>0</v>
      </c>
      <c r="L69" s="5">
        <v>1.03821642474788E-7</v>
      </c>
      <c r="M69" s="5">
        <v>0</v>
      </c>
      <c r="N69" s="5">
        <v>2.3595990039370299E-7</v>
      </c>
      <c r="O69" t="s">
        <v>55</v>
      </c>
      <c r="P69">
        <v>0.7</v>
      </c>
      <c r="Q69">
        <v>171</v>
      </c>
      <c r="R69" t="s">
        <v>24</v>
      </c>
      <c r="S69" t="s">
        <v>24</v>
      </c>
      <c r="T69" t="s">
        <v>24</v>
      </c>
      <c r="U69" t="s">
        <v>25</v>
      </c>
      <c r="V69" t="s">
        <v>39</v>
      </c>
    </row>
    <row r="70" spans="1:22">
      <c r="A70" s="2">
        <f>HYPERLINK("http://hydra.cos.uni-heidelberg.de/cgi-bin/perl/getCephData.pl?clusid=15304",15304)</f>
        <v>15304</v>
      </c>
      <c r="B70" t="s">
        <v>22</v>
      </c>
      <c r="C70" s="5">
        <v>4.8281640309002503E-5</v>
      </c>
      <c r="D70" s="5">
        <v>0</v>
      </c>
      <c r="E70" s="5">
        <v>3.1992313654690602E-8</v>
      </c>
      <c r="F70" s="5">
        <v>7.4943503603336396E-6</v>
      </c>
      <c r="G70" s="5">
        <v>0</v>
      </c>
      <c r="H70" s="5">
        <v>3.2285947021921101E-5</v>
      </c>
      <c r="I70" s="5">
        <v>4.1089362691544801E-6</v>
      </c>
      <c r="J70" s="5">
        <v>1.6694430276366901E-5</v>
      </c>
      <c r="K70" s="5">
        <v>0</v>
      </c>
      <c r="L70" s="5">
        <v>3.9535281454399202E-5</v>
      </c>
      <c r="M70" s="5">
        <v>3.52337786610282E-5</v>
      </c>
      <c r="N70" s="5">
        <v>2.0873375804058299E-6</v>
      </c>
      <c r="O70" t="s">
        <v>56</v>
      </c>
      <c r="P70">
        <v>0.55000000000000004</v>
      </c>
      <c r="Q70">
        <v>183</v>
      </c>
      <c r="R70" t="s">
        <v>24</v>
      </c>
      <c r="S70" t="s">
        <v>24</v>
      </c>
      <c r="T70" t="s">
        <v>24</v>
      </c>
      <c r="U70" t="s">
        <v>25</v>
      </c>
      <c r="V70" t="s">
        <v>26</v>
      </c>
    </row>
    <row r="71" spans="1:22">
      <c r="A71" s="2">
        <f>HYPERLINK("http://hydra.cos.uni-heidelberg.de/cgi-bin/perl/getCephData.pl?clusid=4357",4357)</f>
        <v>4357</v>
      </c>
      <c r="B71" t="s">
        <v>22</v>
      </c>
      <c r="C71" s="5">
        <v>8.3340000533376002E-8</v>
      </c>
      <c r="D71" s="5">
        <v>2.8247033983752402E-7</v>
      </c>
      <c r="E71" s="5">
        <v>0</v>
      </c>
      <c r="F71" s="5">
        <v>1.47704186713372E-5</v>
      </c>
      <c r="G71" s="5">
        <v>0</v>
      </c>
      <c r="H71" s="5">
        <v>1.52036077466161E-7</v>
      </c>
      <c r="I71" s="5">
        <v>2.6387664113836101E-6</v>
      </c>
      <c r="J71" s="5">
        <v>9.2019060662080005E-6</v>
      </c>
      <c r="K71" s="5">
        <v>2.37952005744493E-6</v>
      </c>
      <c r="L71" s="5">
        <v>1.4535029946470299E-7</v>
      </c>
      <c r="M71" s="5">
        <v>5.3465521488661903E-8</v>
      </c>
      <c r="N71" s="5">
        <v>1.7969253953058901E-6</v>
      </c>
      <c r="O71" t="s">
        <v>57</v>
      </c>
      <c r="P71">
        <v>0.65</v>
      </c>
      <c r="Q71">
        <v>160</v>
      </c>
      <c r="R71" t="s">
        <v>24</v>
      </c>
      <c r="S71" t="s">
        <v>24</v>
      </c>
      <c r="T71" t="s">
        <v>24</v>
      </c>
      <c r="U71" t="s">
        <v>25</v>
      </c>
      <c r="V71" t="s">
        <v>26</v>
      </c>
    </row>
    <row r="72" spans="1:22">
      <c r="A72" s="2">
        <f>HYPERLINK("http://hydra.cos.uni-heidelberg.de/cgi-bin/perl/getCephData.pl?clusid=22295",22295)</f>
        <v>22295</v>
      </c>
      <c r="B72" t="s">
        <v>22</v>
      </c>
      <c r="C72" s="5">
        <v>1.6668000106675201E-5</v>
      </c>
      <c r="D72" s="5">
        <v>1.31631178364286E-5</v>
      </c>
      <c r="E72" s="5">
        <v>7.5021975520249404E-6</v>
      </c>
      <c r="F72" s="5">
        <v>9.8590725614097904E-6</v>
      </c>
      <c r="G72" s="5">
        <v>9.8480428005164197E-6</v>
      </c>
      <c r="H72" s="5">
        <v>1.1576461327066201E-5</v>
      </c>
      <c r="I72" s="5">
        <v>7.7843609135816393E-6</v>
      </c>
      <c r="J72" s="5">
        <v>9.5853188189666702E-6</v>
      </c>
      <c r="K72" s="5">
        <v>6.6220751986258198E-6</v>
      </c>
      <c r="L72" s="5">
        <v>1.16072596286813E-5</v>
      </c>
      <c r="M72" s="5">
        <v>2.0209967122714201E-5</v>
      </c>
      <c r="N72" s="5">
        <v>8.0589381365233904E-6</v>
      </c>
      <c r="O72" t="s">
        <v>58</v>
      </c>
      <c r="P72">
        <v>0.49</v>
      </c>
      <c r="Q72">
        <v>113</v>
      </c>
      <c r="R72" t="s">
        <v>24</v>
      </c>
      <c r="S72" t="s">
        <v>24</v>
      </c>
      <c r="T72" t="s">
        <v>24</v>
      </c>
      <c r="U72" t="s">
        <v>25</v>
      </c>
      <c r="V72" t="s">
        <v>26</v>
      </c>
    </row>
    <row r="73" spans="1:22">
      <c r="A73" s="2">
        <f>HYPERLINK("http://hydra.cos.uni-heidelberg.de/cgi-bin/perl/getCephData.pl?clusid=18172",18172)</f>
        <v>18172</v>
      </c>
      <c r="B73" t="s">
        <v>22</v>
      </c>
      <c r="C73" s="5">
        <v>1.17231600750282E-5</v>
      </c>
      <c r="D73" s="5">
        <v>6.7792881561005698E-7</v>
      </c>
      <c r="E73" s="5">
        <v>1.1357271347415199E-6</v>
      </c>
      <c r="F73" s="5">
        <v>1.50978417453323E-6</v>
      </c>
      <c r="G73" s="5">
        <v>7.3792497017643704E-6</v>
      </c>
      <c r="H73" s="5">
        <v>9.4370965227209696E-6</v>
      </c>
      <c r="I73" s="5">
        <v>3.2230646881899801E-6</v>
      </c>
      <c r="J73" s="5">
        <v>3.9938828412361101E-7</v>
      </c>
      <c r="K73" s="5">
        <v>3.7039350971700998E-5</v>
      </c>
      <c r="L73" s="5">
        <v>7.7762410213616007E-6</v>
      </c>
      <c r="M73" s="5">
        <v>9.9713197576354392E-6</v>
      </c>
      <c r="N73" s="5">
        <v>2.1962421498183102E-6</v>
      </c>
      <c r="O73" t="s">
        <v>67</v>
      </c>
      <c r="P73">
        <v>0.56999999999999995</v>
      </c>
      <c r="Q73">
        <v>164</v>
      </c>
      <c r="R73" t="s">
        <v>24</v>
      </c>
      <c r="S73" t="s">
        <v>24</v>
      </c>
      <c r="T73" t="s">
        <v>24</v>
      </c>
      <c r="U73" t="s">
        <v>25</v>
      </c>
      <c r="V73" t="s">
        <v>26</v>
      </c>
    </row>
    <row r="74" spans="1:22">
      <c r="A74" s="2">
        <f>HYPERLINK("http://hydra.cos.uni-heidelberg.de/cgi-bin/perl/getCephData.pl?clusid=9940",9940)</f>
        <v>9940</v>
      </c>
      <c r="B74" t="s">
        <v>22</v>
      </c>
      <c r="C74" s="5">
        <v>6.5283000417811203E-5</v>
      </c>
      <c r="D74" s="5">
        <v>8.2481339232556906E-6</v>
      </c>
      <c r="E74" s="5">
        <v>1.28129216187036E-5</v>
      </c>
      <c r="F74" s="5">
        <v>3.98364740027444E-5</v>
      </c>
      <c r="G74" s="5">
        <v>4.37329063207506E-5</v>
      </c>
      <c r="H74" s="5">
        <v>4.0083225851971398E-5</v>
      </c>
      <c r="I74" s="5">
        <v>3.3380395104002598E-5</v>
      </c>
      <c r="J74" s="5">
        <v>6.1841281913700005E-5</v>
      </c>
      <c r="K74" s="5">
        <v>1.2248072233670001E-5</v>
      </c>
      <c r="L74" s="5">
        <v>5.28763625124094E-5</v>
      </c>
      <c r="M74" s="5">
        <v>5.6914047624680598E-5</v>
      </c>
      <c r="N74" s="5">
        <v>2.44853773562388E-5</v>
      </c>
      <c r="O74" t="s">
        <v>68</v>
      </c>
      <c r="P74">
        <v>0.62</v>
      </c>
      <c r="Q74">
        <v>1130</v>
      </c>
      <c r="R74" t="s">
        <v>24</v>
      </c>
      <c r="S74" t="s">
        <v>24</v>
      </c>
      <c r="T74" t="s">
        <v>24</v>
      </c>
      <c r="U74" t="s">
        <v>25</v>
      </c>
      <c r="V74" t="s">
        <v>39</v>
      </c>
    </row>
    <row r="75" spans="1:22">
      <c r="A75" s="2">
        <f>HYPERLINK("http://hydra.cos.uni-heidelberg.de/cgi-bin/perl/getCephData.pl?clusid=7862",7862)</f>
        <v>7862</v>
      </c>
      <c r="B75" t="s">
        <v>22</v>
      </c>
      <c r="C75" s="5">
        <v>2.0390520130499299E-5</v>
      </c>
      <c r="D75" s="5">
        <v>2.3727508546351999E-6</v>
      </c>
      <c r="E75" s="5">
        <v>7.9660861000179501E-6</v>
      </c>
      <c r="F75" s="5">
        <v>3.4379422769491701E-6</v>
      </c>
      <c r="G75" s="5">
        <v>5.6890759649264302E-5</v>
      </c>
      <c r="H75" s="5">
        <v>2.2066950672231301E-5</v>
      </c>
      <c r="I75" s="5">
        <v>5.9937694201427697E-6</v>
      </c>
      <c r="J75" s="5">
        <v>2.8755956456900002E-7</v>
      </c>
      <c r="K75" s="5">
        <v>2.58242486854489E-6</v>
      </c>
      <c r="L75" s="5">
        <v>1.8552927510244601E-5</v>
      </c>
      <c r="M75" s="5">
        <v>3.1892183567986799E-5</v>
      </c>
      <c r="N75" s="5">
        <v>1.9257958024439898E-5</v>
      </c>
      <c r="O75" t="s">
        <v>69</v>
      </c>
      <c r="P75">
        <v>0.5</v>
      </c>
      <c r="Q75">
        <v>155</v>
      </c>
      <c r="R75" t="s">
        <v>24</v>
      </c>
      <c r="S75" t="s">
        <v>24</v>
      </c>
      <c r="T75" t="s">
        <v>24</v>
      </c>
      <c r="U75" t="s">
        <v>25</v>
      </c>
      <c r="V75" t="s">
        <v>26</v>
      </c>
    </row>
    <row r="76" spans="1:22">
      <c r="A76" s="2">
        <f>HYPERLINK("http://hydra.cos.uni-heidelberg.de/cgi-bin/perl/getCephData.pl?clusid=21536",21536)</f>
        <v>21536</v>
      </c>
      <c r="B76" t="s">
        <v>22</v>
      </c>
      <c r="C76" s="5">
        <v>6.0032580384208497E-5</v>
      </c>
      <c r="D76" s="5">
        <v>3.3472735270746599E-5</v>
      </c>
      <c r="E76" s="5">
        <v>2.3866265986399201E-5</v>
      </c>
      <c r="F76" s="5">
        <v>2.6503078822830401E-5</v>
      </c>
      <c r="G76" s="5">
        <v>5.4042152227627302E-5</v>
      </c>
      <c r="H76" s="5">
        <v>2.1914914594765201E-5</v>
      </c>
      <c r="I76" s="5">
        <v>2.56337308534408E-6</v>
      </c>
      <c r="J76" s="5">
        <v>4.5849775017390597E-6</v>
      </c>
      <c r="K76" s="5">
        <v>4.2923590493599698E-5</v>
      </c>
      <c r="L76" s="5">
        <v>1.5126813308576599E-5</v>
      </c>
      <c r="M76" s="5">
        <v>6.3276444681831405E-5</v>
      </c>
      <c r="N76" s="5">
        <v>8.2222949906421008E-6</v>
      </c>
      <c r="O76" t="s">
        <v>74</v>
      </c>
      <c r="P76">
        <v>0.59</v>
      </c>
      <c r="Q76">
        <v>144</v>
      </c>
      <c r="R76" t="s">
        <v>24</v>
      </c>
      <c r="S76" t="s">
        <v>24</v>
      </c>
      <c r="T76" t="s">
        <v>24</v>
      </c>
      <c r="U76" t="s">
        <v>25</v>
      </c>
      <c r="V76" t="s">
        <v>26</v>
      </c>
    </row>
    <row r="77" spans="1:22">
      <c r="A77" s="2">
        <f>HYPERLINK("http://hydra.cos.uni-heidelberg.de/cgi-bin/perl/getCephData.pl?clusid=28176",28176)</f>
        <v>28176</v>
      </c>
      <c r="B77" t="s">
        <v>22</v>
      </c>
      <c r="C77" s="5">
        <v>4.9726200318247703E-6</v>
      </c>
      <c r="D77" s="5">
        <v>1.5818339030901299E-6</v>
      </c>
      <c r="E77" s="5">
        <v>1.48764258494311E-6</v>
      </c>
      <c r="F77" s="5">
        <v>6.8213140415658102E-6</v>
      </c>
      <c r="G77" s="5">
        <v>8.2473967255013502E-6</v>
      </c>
      <c r="H77" s="5">
        <v>2.0307676061551499E-6</v>
      </c>
      <c r="I77" s="5">
        <v>2.8084013949725499E-6</v>
      </c>
      <c r="J77" s="5">
        <v>3.3372885021369001E-5</v>
      </c>
      <c r="K77" s="5">
        <v>1.71546794839053E-6</v>
      </c>
      <c r="L77" s="5">
        <v>4.7861777180877203E-6</v>
      </c>
      <c r="M77" s="5">
        <v>5.9881384067301298E-6</v>
      </c>
      <c r="N77" s="5">
        <v>4.5739919153240801E-6</v>
      </c>
      <c r="O77" t="s">
        <v>80</v>
      </c>
      <c r="P77">
        <v>0.81</v>
      </c>
      <c r="Q77">
        <v>631</v>
      </c>
      <c r="R77" t="s">
        <v>24</v>
      </c>
      <c r="S77" t="s">
        <v>24</v>
      </c>
      <c r="T77" t="s">
        <v>24</v>
      </c>
      <c r="U77" t="s">
        <v>25</v>
      </c>
      <c r="V77" t="s">
        <v>26</v>
      </c>
    </row>
    <row r="78" spans="1:22">
      <c r="A78" s="2">
        <f>HYPERLINK("http://hydra.cos.uni-heidelberg.de/cgi-bin/perl/getCephData.pl?clusid=23466",23466)</f>
        <v>23466</v>
      </c>
      <c r="B78" t="s">
        <v>22</v>
      </c>
      <c r="C78" s="5">
        <v>2.7252180174413999E-5</v>
      </c>
      <c r="D78" s="5">
        <v>1.8671289463260302E-5</v>
      </c>
      <c r="E78" s="5">
        <v>2.6697585744839299E-5</v>
      </c>
      <c r="F78" s="5">
        <v>3.43612325987142E-5</v>
      </c>
      <c r="G78" s="5">
        <v>2.72109832752561E-5</v>
      </c>
      <c r="H78" s="5">
        <v>2.4542966790965901E-5</v>
      </c>
      <c r="I78" s="5">
        <v>1.91254019830782E-4</v>
      </c>
      <c r="J78" s="5">
        <v>2.41709789551609E-5</v>
      </c>
      <c r="K78" s="5">
        <v>1.5649494703382001E-4</v>
      </c>
      <c r="L78" s="5">
        <v>1.3517577850217399E-5</v>
      </c>
      <c r="M78" s="5">
        <v>1.5023811538314E-5</v>
      </c>
      <c r="N78" s="5">
        <v>1.9085525789536801E-4</v>
      </c>
      <c r="O78" t="s">
        <v>84</v>
      </c>
      <c r="P78">
        <v>0.51</v>
      </c>
      <c r="Q78">
        <v>118</v>
      </c>
      <c r="R78" t="s">
        <v>24</v>
      </c>
      <c r="S78" t="s">
        <v>24</v>
      </c>
      <c r="T78" t="s">
        <v>24</v>
      </c>
      <c r="U78" t="s">
        <v>25</v>
      </c>
      <c r="V78" t="s">
        <v>26</v>
      </c>
    </row>
    <row r="79" spans="1:22">
      <c r="A79" s="2">
        <f>HYPERLINK("http://hydra.cos.uni-heidelberg.de/cgi-bin/perl/getCephData.pl?clusid=11218",11218)</f>
        <v>11218</v>
      </c>
      <c r="B79" t="s">
        <v>11</v>
      </c>
      <c r="C79" s="5">
        <v>2.38630201527233E-5</v>
      </c>
      <c r="D79" s="5">
        <v>0</v>
      </c>
      <c r="E79" s="5">
        <v>0</v>
      </c>
      <c r="F79" s="5">
        <v>9.0950853887544205E-8</v>
      </c>
      <c r="G79" s="5">
        <v>5.42591889835615E-8</v>
      </c>
      <c r="H79" s="5">
        <v>1.15199907840074E-4</v>
      </c>
      <c r="I79" s="5">
        <v>6.5969160284590199E-7</v>
      </c>
      <c r="J79" s="5">
        <v>0</v>
      </c>
      <c r="K79" s="5">
        <v>3.6891783836355598E-8</v>
      </c>
      <c r="L79" s="5">
        <v>5.8000998784964901E-4</v>
      </c>
      <c r="M79" s="5">
        <v>5.0578383328274202E-5</v>
      </c>
      <c r="N79" s="5">
        <v>2.17809138824956E-7</v>
      </c>
      <c r="O79" t="s">
        <v>85</v>
      </c>
      <c r="P79">
        <v>0.56000000000000005</v>
      </c>
      <c r="Q79">
        <v>121</v>
      </c>
      <c r="R79" t="s">
        <v>24</v>
      </c>
      <c r="S79" t="s">
        <v>24</v>
      </c>
      <c r="T79" t="s">
        <v>24</v>
      </c>
      <c r="U79" t="s">
        <v>25</v>
      </c>
      <c r="V79" t="s">
        <v>26</v>
      </c>
    </row>
    <row r="80" spans="1:22">
      <c r="A80" s="2">
        <f>HYPERLINK("http://hydra.cos.uni-heidelberg.de/cgi-bin/perl/getCephData.pl?clusid=16883",16883)</f>
        <v>16883</v>
      </c>
      <c r="B80" t="s">
        <v>6</v>
      </c>
      <c r="C80" s="5">
        <v>1.1112000071116799E-7</v>
      </c>
      <c r="D80" s="5">
        <v>2.8247033983752402E-7</v>
      </c>
      <c r="E80" s="5">
        <v>0</v>
      </c>
      <c r="F80" s="5">
        <v>4.54754269437721E-7</v>
      </c>
      <c r="G80" s="5">
        <v>2.6071540306601301E-5</v>
      </c>
      <c r="H80" s="5">
        <v>6.5158318914068904E-8</v>
      </c>
      <c r="I80" s="5">
        <v>0</v>
      </c>
      <c r="J80" s="5">
        <v>3.8341275275866702E-7</v>
      </c>
      <c r="K80" s="5">
        <v>3.6891783836355598E-8</v>
      </c>
      <c r="L80" s="5">
        <v>2.3878977769201202E-7</v>
      </c>
      <c r="M80" s="5">
        <v>1.0693104297732401E-7</v>
      </c>
      <c r="N80" s="5">
        <v>7.2603046274985395E-8</v>
      </c>
      <c r="O80" t="s">
        <v>86</v>
      </c>
      <c r="P80">
        <v>0.64</v>
      </c>
      <c r="Q80">
        <v>716</v>
      </c>
      <c r="R80" t="s">
        <v>24</v>
      </c>
      <c r="S80" t="s">
        <v>24</v>
      </c>
      <c r="T80" t="s">
        <v>24</v>
      </c>
      <c r="U80" t="s">
        <v>25</v>
      </c>
      <c r="V80" t="s">
        <v>39</v>
      </c>
    </row>
    <row r="81" spans="1:22">
      <c r="A81" s="2">
        <f>HYPERLINK("http://hydra.cos.uni-heidelberg.de/cgi-bin/perl/getCephData.pl?clusid=21620",21620)</f>
        <v>21620</v>
      </c>
      <c r="B81" t="s">
        <v>22</v>
      </c>
      <c r="C81" s="5">
        <v>2.20017601408113E-5</v>
      </c>
      <c r="D81" s="5">
        <v>2.25976271870019E-7</v>
      </c>
      <c r="E81" s="5">
        <v>5.9185780261177603E-7</v>
      </c>
      <c r="F81" s="5">
        <v>5.1296281592574897E-6</v>
      </c>
      <c r="G81" s="5">
        <v>1.7634236419657499E-6</v>
      </c>
      <c r="H81" s="5">
        <v>8.0904912651635492E-6</v>
      </c>
      <c r="I81" s="5">
        <v>5.2209878282375698E-6</v>
      </c>
      <c r="J81" s="5">
        <v>8.1475209961216702E-7</v>
      </c>
      <c r="K81" s="5">
        <v>1.2727665423542699E-6</v>
      </c>
      <c r="L81" s="5">
        <v>8.6691071466447801E-6</v>
      </c>
      <c r="M81" s="5">
        <v>1.0399043929544699E-5</v>
      </c>
      <c r="N81" s="5">
        <v>3.1636777414324898E-5</v>
      </c>
      <c r="O81" t="s">
        <v>87</v>
      </c>
      <c r="P81">
        <v>0.56999999999999995</v>
      </c>
      <c r="Q81">
        <v>206</v>
      </c>
      <c r="R81" t="s">
        <v>24</v>
      </c>
      <c r="S81" t="s">
        <v>24</v>
      </c>
      <c r="T81" t="s">
        <v>24</v>
      </c>
      <c r="U81" t="s">
        <v>25</v>
      </c>
      <c r="V81" t="s">
        <v>26</v>
      </c>
    </row>
    <row r="82" spans="1:22">
      <c r="A82" s="2">
        <f>HYPERLINK("http://hydra.cos.uni-heidelberg.de/cgi-bin/perl/getCephData.pl?clusid=11083",11083)</f>
        <v>11083</v>
      </c>
      <c r="B82" t="s">
        <v>22</v>
      </c>
      <c r="C82" s="5">
        <v>8.65069205536443E-5</v>
      </c>
      <c r="D82" s="5">
        <v>5.3104423889454399E-5</v>
      </c>
      <c r="E82" s="5">
        <v>3.1592409734006901E-5</v>
      </c>
      <c r="F82" s="5">
        <v>7.7490127512187595E-5</v>
      </c>
      <c r="G82" s="5">
        <v>5.06509529161547E-5</v>
      </c>
      <c r="H82" s="5">
        <v>3.9833452296134102E-5</v>
      </c>
      <c r="I82" s="5">
        <v>1.3793208998932299E-4</v>
      </c>
      <c r="J82" s="5">
        <v>4.3932711253597198E-6</v>
      </c>
      <c r="K82" s="5">
        <v>2.4274793764322E-5</v>
      </c>
      <c r="L82" s="5">
        <v>1.05783871517561E-4</v>
      </c>
      <c r="M82" s="5">
        <v>1.5788368495601901E-4</v>
      </c>
      <c r="N82" s="5">
        <v>5.4615641560357802E-5</v>
      </c>
      <c r="O82" t="s">
        <v>88</v>
      </c>
      <c r="P82">
        <v>0.89</v>
      </c>
      <c r="Q82">
        <v>901</v>
      </c>
      <c r="R82" t="s">
        <v>24</v>
      </c>
      <c r="S82" t="s">
        <v>24</v>
      </c>
      <c r="T82" t="s">
        <v>24</v>
      </c>
      <c r="U82" t="s">
        <v>25</v>
      </c>
      <c r="V82" t="s">
        <v>26</v>
      </c>
    </row>
    <row r="83" spans="1:22">
      <c r="A83" s="2">
        <f>HYPERLINK("http://hydra.cos.uni-heidelberg.de/cgi-bin/perl/getCephData.pl?clusid=948",948)</f>
        <v>948</v>
      </c>
      <c r="B83" t="s">
        <v>22</v>
      </c>
      <c r="C83" s="5">
        <v>3.1391400200905E-6</v>
      </c>
      <c r="D83" s="5">
        <v>5.6494067967504697E-8</v>
      </c>
      <c r="E83" s="5">
        <v>2.3994235241017901E-7</v>
      </c>
      <c r="F83" s="5">
        <v>2.3647222010761501E-7</v>
      </c>
      <c r="G83" s="5">
        <v>1.62777566950685E-7</v>
      </c>
      <c r="H83" s="5">
        <v>2.1719439638023E-8</v>
      </c>
      <c r="I83" s="5">
        <v>7.7278159190520004E-7</v>
      </c>
      <c r="J83" s="5">
        <v>3.6743722139372197E-7</v>
      </c>
      <c r="K83" s="5">
        <v>3.6891783836355598E-8</v>
      </c>
      <c r="L83" s="5">
        <v>5.1910821237393897E-7</v>
      </c>
      <c r="M83" s="5">
        <v>9.6237938679591394E-7</v>
      </c>
      <c r="N83" s="5">
        <v>1.2524025482434999E-6</v>
      </c>
      <c r="O83" t="s">
        <v>89</v>
      </c>
      <c r="P83">
        <v>0.61</v>
      </c>
      <c r="Q83">
        <v>158</v>
      </c>
      <c r="R83" t="s">
        <v>24</v>
      </c>
      <c r="S83" t="s">
        <v>24</v>
      </c>
      <c r="T83" t="s">
        <v>24</v>
      </c>
      <c r="U83" t="s">
        <v>25</v>
      </c>
      <c r="V83" t="s">
        <v>26</v>
      </c>
    </row>
    <row r="84" spans="1:22">
      <c r="A84" s="2">
        <f>HYPERLINK("http://hydra.cos.uni-heidelberg.de/cgi-bin/perl/getCephData.pl?clusid=24332",24332)</f>
        <v>24332</v>
      </c>
      <c r="B84" t="s">
        <v>22</v>
      </c>
      <c r="C84" s="5">
        <v>1.9168200122676499E-6</v>
      </c>
      <c r="D84" s="5">
        <v>7.7679343455319004E-6</v>
      </c>
      <c r="E84" s="5">
        <v>7.0383090040319298E-7</v>
      </c>
      <c r="F84" s="5">
        <v>2.7285256166263301E-7</v>
      </c>
      <c r="G84" s="5">
        <v>1.4378685080643799E-6</v>
      </c>
      <c r="H84" s="5">
        <v>5.5601765473338804E-6</v>
      </c>
      <c r="I84" s="5">
        <v>7.53933260395317E-7</v>
      </c>
      <c r="J84" s="5">
        <v>3.0673020220693298E-6</v>
      </c>
      <c r="K84" s="5">
        <v>4.61147297954445E-7</v>
      </c>
      <c r="L84" s="5">
        <v>3.5507001726377399E-6</v>
      </c>
      <c r="M84" s="5">
        <v>3.7425865042063302E-6</v>
      </c>
      <c r="N84" s="5">
        <v>1.5972670180496799E-6</v>
      </c>
      <c r="O84" t="s">
        <v>90</v>
      </c>
      <c r="P84">
        <v>0.66</v>
      </c>
      <c r="Q84">
        <v>165</v>
      </c>
      <c r="R84" t="s">
        <v>24</v>
      </c>
      <c r="S84" t="s">
        <v>24</v>
      </c>
      <c r="T84" t="s">
        <v>24</v>
      </c>
      <c r="U84" t="s">
        <v>25</v>
      </c>
      <c r="V84" t="s">
        <v>26</v>
      </c>
    </row>
    <row r="85" spans="1:22">
      <c r="A85" s="2">
        <f>HYPERLINK("http://hydra.cos.uni-heidelberg.de/cgi-bin/perl/getCephData.pl?clusid=4195",4195)</f>
        <v>4195</v>
      </c>
      <c r="B85" t="s">
        <v>22</v>
      </c>
      <c r="C85" s="5">
        <v>4.8670560311491601E-5</v>
      </c>
      <c r="D85" s="5">
        <v>1.21462246130135E-6</v>
      </c>
      <c r="E85" s="5">
        <v>4.7668547345488998E-6</v>
      </c>
      <c r="F85" s="5">
        <v>7.6034913849986902E-6</v>
      </c>
      <c r="G85" s="5">
        <v>1.72815516912643E-5</v>
      </c>
      <c r="H85" s="5">
        <v>1.1989130680188701E-5</v>
      </c>
      <c r="I85" s="5">
        <v>3.2155253555860301E-5</v>
      </c>
      <c r="J85" s="5">
        <v>3.9938828412361101E-7</v>
      </c>
      <c r="K85" s="5">
        <v>1.4350903912342299E-5</v>
      </c>
      <c r="L85" s="5">
        <v>2.5893117633212102E-5</v>
      </c>
      <c r="M85" s="5">
        <v>1.2216871660159201E-5</v>
      </c>
      <c r="N85" s="5">
        <v>5.7356406557238502E-6</v>
      </c>
      <c r="O85" t="s">
        <v>93</v>
      </c>
      <c r="P85">
        <v>1.0900000000000001</v>
      </c>
      <c r="Q85">
        <v>1121</v>
      </c>
      <c r="R85" t="s">
        <v>24</v>
      </c>
      <c r="S85" t="s">
        <v>24</v>
      </c>
      <c r="T85" t="s">
        <v>24</v>
      </c>
      <c r="U85" t="s">
        <v>25</v>
      </c>
      <c r="V85" t="s">
        <v>26</v>
      </c>
    </row>
    <row r="86" spans="1:22">
      <c r="A86" s="2">
        <f>HYPERLINK("http://hydra.cos.uni-heidelberg.de/cgi-bin/perl/getCephData.pl?clusid=11012",11012)</f>
        <v>11012</v>
      </c>
      <c r="B86" t="s">
        <v>22</v>
      </c>
      <c r="C86" s="5">
        <v>7.1394600456925399E-6</v>
      </c>
      <c r="D86" s="5">
        <v>4.51952543740038E-7</v>
      </c>
      <c r="E86" s="5">
        <v>3.0232736403682599E-6</v>
      </c>
      <c r="F86" s="5">
        <v>1.1132384515835401E-5</v>
      </c>
      <c r="G86" s="5">
        <v>6.8637874064205304E-6</v>
      </c>
      <c r="H86" s="5">
        <v>3.9637977339391903E-6</v>
      </c>
      <c r="I86" s="5">
        <v>3.7508179704666998E-6</v>
      </c>
      <c r="J86" s="5">
        <v>1.59755313649444E-7</v>
      </c>
      <c r="K86" s="5">
        <v>1.6601302726360001E-6</v>
      </c>
      <c r="L86" s="5">
        <v>8.0254129633010897E-6</v>
      </c>
      <c r="M86" s="5">
        <v>7.7257678551116506E-6</v>
      </c>
      <c r="N86" s="5">
        <v>1.85137768001213E-6</v>
      </c>
      <c r="O86" t="s">
        <v>94</v>
      </c>
      <c r="P86">
        <v>0.66</v>
      </c>
      <c r="Q86">
        <v>393</v>
      </c>
      <c r="R86" t="s">
        <v>24</v>
      </c>
      <c r="S86" t="s">
        <v>24</v>
      </c>
      <c r="T86" t="s">
        <v>24</v>
      </c>
      <c r="U86" t="s">
        <v>25</v>
      </c>
      <c r="V86" t="s">
        <v>39</v>
      </c>
    </row>
    <row r="87" spans="1:22">
      <c r="A87" s="2">
        <f>HYPERLINK("http://hydra.cos.uni-heidelberg.de/cgi-bin/perl/getCephData.pl?clusid=5104",5104)</f>
        <v>5104</v>
      </c>
      <c r="B87" t="s">
        <v>22</v>
      </c>
      <c r="C87" s="5">
        <v>1.9807140126765701E-4</v>
      </c>
      <c r="D87" s="5">
        <v>7.2990335814016098E-5</v>
      </c>
      <c r="E87" s="5">
        <v>2.7817316722753501E-5</v>
      </c>
      <c r="F87" s="5">
        <v>3.9108867171644001E-5</v>
      </c>
      <c r="G87" s="5">
        <v>7.3548330667217696E-5</v>
      </c>
      <c r="H87" s="5">
        <v>9.3643363999335906E-5</v>
      </c>
      <c r="I87" s="5">
        <v>3.5566801559149097E-5</v>
      </c>
      <c r="J87" s="5">
        <v>9.9303902964494701E-5</v>
      </c>
      <c r="K87" s="5">
        <v>8.8724740126435192E-6</v>
      </c>
      <c r="L87" s="5">
        <v>1.31915778928465E-4</v>
      </c>
      <c r="M87" s="5">
        <v>2.6762166781149702E-4</v>
      </c>
      <c r="N87" s="5">
        <v>5.02231572607212E-5</v>
      </c>
      <c r="O87" t="s">
        <v>95</v>
      </c>
      <c r="P87">
        <v>0.41</v>
      </c>
      <c r="Q87">
        <v>100</v>
      </c>
      <c r="R87" t="s">
        <v>24</v>
      </c>
      <c r="S87" t="s">
        <v>24</v>
      </c>
      <c r="T87" t="s">
        <v>24</v>
      </c>
      <c r="U87" t="s">
        <v>25</v>
      </c>
      <c r="V87" t="s">
        <v>26</v>
      </c>
    </row>
    <row r="88" spans="1:22">
      <c r="A88" s="2">
        <f>HYPERLINK("http://hydra.cos.uni-heidelberg.de/cgi-bin/perl/getCephData.pl?clusid=14441",14441)</f>
        <v>14441</v>
      </c>
      <c r="B88" t="s">
        <v>22</v>
      </c>
      <c r="C88" s="5">
        <v>1.05091740672587E-4</v>
      </c>
      <c r="D88" s="5">
        <v>4.30202327572548E-5</v>
      </c>
      <c r="E88" s="5">
        <v>8.1228484369259398E-5</v>
      </c>
      <c r="F88" s="5">
        <v>4.7658247437073201E-5</v>
      </c>
      <c r="G88" s="5">
        <v>1.2761761248933701E-4</v>
      </c>
      <c r="H88" s="5">
        <v>1.08086791358621E-4</v>
      </c>
      <c r="I88" s="5">
        <v>1.9440169119293199E-4</v>
      </c>
      <c r="J88" s="5">
        <v>4.9001747355694098E-4</v>
      </c>
      <c r="K88" s="5">
        <v>8.2065773143973005E-5</v>
      </c>
      <c r="L88" s="5">
        <v>8.8912854615408204E-5</v>
      </c>
      <c r="M88" s="5">
        <v>9.7253783587875994E-5</v>
      </c>
      <c r="N88" s="5">
        <v>3.5991145114667203E-4</v>
      </c>
      <c r="O88" t="s">
        <v>96</v>
      </c>
      <c r="P88">
        <v>0.61</v>
      </c>
      <c r="Q88">
        <v>113</v>
      </c>
      <c r="R88" t="s">
        <v>24</v>
      </c>
      <c r="S88" t="s">
        <v>24</v>
      </c>
      <c r="T88" t="s">
        <v>24</v>
      </c>
      <c r="U88" t="s">
        <v>25</v>
      </c>
      <c r="V88" t="s">
        <v>26</v>
      </c>
    </row>
    <row r="89" spans="1:22">
      <c r="A89" s="2">
        <f>HYPERLINK("http://hydra.cos.uni-heidelberg.de/cgi-bin/perl/getCephData.pl?clusid=20694",20694)</f>
        <v>20694</v>
      </c>
      <c r="B89" t="s">
        <v>22</v>
      </c>
      <c r="C89" s="5">
        <v>2.3890800152901098E-6</v>
      </c>
      <c r="D89" s="5">
        <v>8.4741101951257096E-8</v>
      </c>
      <c r="E89" s="5">
        <v>1.5996156827345301E-6</v>
      </c>
      <c r="F89" s="5">
        <v>2.49205339651871E-6</v>
      </c>
      <c r="G89" s="5">
        <v>2.2246267483260199E-6</v>
      </c>
      <c r="H89" s="5">
        <v>8.2533870624487201E-7</v>
      </c>
      <c r="I89" s="5">
        <v>2.05446813457724E-6</v>
      </c>
      <c r="J89" s="5">
        <v>7.0292338005755597E-7</v>
      </c>
      <c r="K89" s="5">
        <v>1.71546794839053E-6</v>
      </c>
      <c r="L89" s="5">
        <v>7.2675149732351396E-7</v>
      </c>
      <c r="M89" s="5">
        <v>5.0792245414228795E-7</v>
      </c>
      <c r="N89" s="5">
        <v>1.0345934094185401E-6</v>
      </c>
      <c r="O89" t="s">
        <v>97</v>
      </c>
      <c r="P89">
        <v>0.63</v>
      </c>
      <c r="Q89">
        <v>144</v>
      </c>
      <c r="R89" t="s">
        <v>24</v>
      </c>
      <c r="S89" t="s">
        <v>24</v>
      </c>
      <c r="T89" t="s">
        <v>24</v>
      </c>
      <c r="U89" t="s">
        <v>25</v>
      </c>
      <c r="V89" t="s">
        <v>26</v>
      </c>
    </row>
    <row r="90" spans="1:22">
      <c r="A90" s="2">
        <f>HYPERLINK("http://hydra.cos.uni-heidelberg.de/cgi-bin/perl/getCephData.pl?clusid=1676",1676)</f>
        <v>1676</v>
      </c>
      <c r="B90" t="s">
        <v>22</v>
      </c>
      <c r="C90" s="5">
        <v>4.9284498315420799E-4</v>
      </c>
      <c r="D90" s="5">
        <v>8.4741101951257096E-8</v>
      </c>
      <c r="E90" s="5">
        <v>0</v>
      </c>
      <c r="F90" s="5">
        <v>4.0018375710519402E-7</v>
      </c>
      <c r="G90" s="5">
        <v>3.14703296104657E-6</v>
      </c>
      <c r="H90" s="5">
        <v>7.1835960630779001E-4</v>
      </c>
      <c r="I90" s="5">
        <v>5.4660161378660499E-6</v>
      </c>
      <c r="J90" s="5">
        <v>1.59755313649444E-8</v>
      </c>
      <c r="K90" s="5">
        <v>7.9317335248164505E-7</v>
      </c>
      <c r="L90" s="5">
        <v>7.4996601658087699E-4</v>
      </c>
      <c r="M90" s="5">
        <v>5.1391059254901801E-4</v>
      </c>
      <c r="N90" s="5">
        <v>4.1383736376741696E-6</v>
      </c>
      <c r="O90" t="s">
        <v>108</v>
      </c>
      <c r="P90">
        <v>0.45</v>
      </c>
      <c r="Q90">
        <v>118</v>
      </c>
      <c r="R90" t="s">
        <v>24</v>
      </c>
      <c r="S90" t="s">
        <v>24</v>
      </c>
      <c r="T90" t="s">
        <v>24</v>
      </c>
      <c r="U90" t="s">
        <v>25</v>
      </c>
      <c r="V90" t="s">
        <v>26</v>
      </c>
    </row>
    <row r="91" spans="1:22">
      <c r="A91" s="2">
        <f>HYPERLINK("http://hydra.cos.uni-heidelberg.de/cgi-bin/perl/getCephData.pl?clusid=24112",24112)</f>
        <v>24112</v>
      </c>
      <c r="B91" t="s">
        <v>22</v>
      </c>
      <c r="C91" s="5">
        <v>7.2644700464926098E-5</v>
      </c>
      <c r="D91" s="5">
        <v>3.1777913231721402E-5</v>
      </c>
      <c r="E91" s="5">
        <v>3.7638957014743502E-5</v>
      </c>
      <c r="F91" s="5">
        <v>5.5243548651294297E-5</v>
      </c>
      <c r="G91" s="5">
        <v>1.02848292718341E-4</v>
      </c>
      <c r="H91" s="5">
        <v>7.1543834167647597E-5</v>
      </c>
      <c r="I91" s="5">
        <v>3.7602421362216403E-5</v>
      </c>
      <c r="J91" s="5">
        <v>6.4445293526185898E-5</v>
      </c>
      <c r="K91" s="5">
        <v>5.0191271909361801E-5</v>
      </c>
      <c r="L91" s="5">
        <v>6.2531775262564704E-5</v>
      </c>
      <c r="M91" s="5">
        <v>1.01798352914412E-4</v>
      </c>
      <c r="N91" s="5">
        <v>5.16389166630834E-5</v>
      </c>
      <c r="O91" t="s">
        <v>112</v>
      </c>
      <c r="P91">
        <v>0.56000000000000005</v>
      </c>
      <c r="Q91">
        <v>124</v>
      </c>
      <c r="R91" t="s">
        <v>24</v>
      </c>
      <c r="S91" t="s">
        <v>24</v>
      </c>
      <c r="T91" t="s">
        <v>24</v>
      </c>
      <c r="U91" t="s">
        <v>25</v>
      </c>
      <c r="V91" t="s">
        <v>26</v>
      </c>
    </row>
    <row r="92" spans="1:22">
      <c r="A92" s="2">
        <f>HYPERLINK("http://hydra.cos.uni-heidelberg.de/cgi-bin/perl/getCephData.pl?clusid=24638",24638)</f>
        <v>24638</v>
      </c>
      <c r="B92" t="s">
        <v>22</v>
      </c>
      <c r="C92" s="5">
        <v>4.1864460267932502E-5</v>
      </c>
      <c r="D92" s="5">
        <v>2.3162567866676901E-6</v>
      </c>
      <c r="E92" s="5">
        <v>1.42365795763373E-6</v>
      </c>
      <c r="F92" s="5">
        <v>4.6566837190422599E-6</v>
      </c>
      <c r="G92" s="5">
        <v>3.0927737720630099E-6</v>
      </c>
      <c r="H92" s="5">
        <v>8.3098576055075802E-5</v>
      </c>
      <c r="I92" s="5">
        <v>3.2419130196998599E-6</v>
      </c>
      <c r="J92" s="5">
        <v>1.2780425091955599E-7</v>
      </c>
      <c r="K92" s="5">
        <v>1.2174288665997299E-6</v>
      </c>
      <c r="L92" s="5">
        <v>1.04029285759737E-4</v>
      </c>
      <c r="M92" s="5">
        <v>8.0251747754481504E-5</v>
      </c>
      <c r="N92" s="5">
        <v>9.6199036314355699E-7</v>
      </c>
      <c r="O92" t="s">
        <v>113</v>
      </c>
      <c r="P92">
        <v>0.5</v>
      </c>
      <c r="Q92">
        <v>219</v>
      </c>
      <c r="R92" t="s">
        <v>24</v>
      </c>
      <c r="S92" t="s">
        <v>24</v>
      </c>
      <c r="T92" t="s">
        <v>24</v>
      </c>
      <c r="U92" t="s">
        <v>25</v>
      </c>
      <c r="V92" t="s">
        <v>26</v>
      </c>
    </row>
    <row r="93" spans="1:22">
      <c r="A93" s="2">
        <f>HYPERLINK("http://hydra.cos.uni-heidelberg.de/cgi-bin/perl/getCephData.pl?clusid=2290",2290)</f>
        <v>2290</v>
      </c>
      <c r="B93" t="s">
        <v>22</v>
      </c>
      <c r="C93" s="5">
        <v>0</v>
      </c>
      <c r="D93" s="5">
        <v>0</v>
      </c>
      <c r="E93" s="5">
        <v>3.3591929337425101E-7</v>
      </c>
      <c r="F93" s="5">
        <v>0</v>
      </c>
      <c r="G93" s="5">
        <v>0</v>
      </c>
      <c r="H93" s="5">
        <v>0</v>
      </c>
      <c r="I93" s="5">
        <v>2.8837947210120902E-6</v>
      </c>
      <c r="J93" s="5">
        <v>0</v>
      </c>
      <c r="K93" s="5">
        <v>0</v>
      </c>
      <c r="L93" s="5">
        <v>0</v>
      </c>
      <c r="M93" s="5">
        <v>0</v>
      </c>
      <c r="N93" s="5">
        <v>1.0164426478497999E-6</v>
      </c>
      <c r="O93" t="s">
        <v>114</v>
      </c>
      <c r="P93">
        <v>0.63</v>
      </c>
      <c r="Q93">
        <v>227</v>
      </c>
      <c r="R93" t="s">
        <v>24</v>
      </c>
      <c r="S93" t="s">
        <v>24</v>
      </c>
      <c r="T93" t="s">
        <v>24</v>
      </c>
      <c r="U93" t="s">
        <v>25</v>
      </c>
      <c r="V93" t="s">
        <v>26</v>
      </c>
    </row>
    <row r="94" spans="1:22">
      <c r="A94" s="2">
        <f>HYPERLINK("http://hydra.cos.uni-heidelberg.de/cgi-bin/perl/getCephData.pl?clusid=11298",11298)</f>
        <v>11298</v>
      </c>
      <c r="B94" t="s">
        <v>22</v>
      </c>
      <c r="C94" s="5">
        <v>1.0861980069516699E-5</v>
      </c>
      <c r="D94" s="5">
        <v>1.4123516991876201E-7</v>
      </c>
      <c r="E94" s="5">
        <v>1.4396541144610799E-7</v>
      </c>
      <c r="F94" s="5">
        <v>3.23785039839657E-6</v>
      </c>
      <c r="G94" s="5">
        <v>5.42591889835615E-8</v>
      </c>
      <c r="H94" s="5">
        <v>5.1583669140304496E-6</v>
      </c>
      <c r="I94" s="5">
        <v>1.6209565098499299E-6</v>
      </c>
      <c r="J94" s="5">
        <v>2.6199871438508899E-6</v>
      </c>
      <c r="K94" s="5">
        <v>0</v>
      </c>
      <c r="L94" s="5">
        <v>2.67859837584952E-6</v>
      </c>
      <c r="M94" s="5">
        <v>1.10940957088973E-5</v>
      </c>
      <c r="N94" s="5">
        <v>1.2705533098122499E-7</v>
      </c>
      <c r="O94" t="s">
        <v>115</v>
      </c>
      <c r="P94">
        <v>0.53</v>
      </c>
      <c r="Q94">
        <v>120</v>
      </c>
      <c r="R94" t="s">
        <v>24</v>
      </c>
      <c r="S94" t="s">
        <v>24</v>
      </c>
      <c r="T94" t="s">
        <v>24</v>
      </c>
      <c r="U94" t="s">
        <v>25</v>
      </c>
      <c r="V94" t="s">
        <v>26</v>
      </c>
    </row>
    <row r="95" spans="1:22">
      <c r="A95" s="2">
        <f>HYPERLINK("http://hydra.cos.uni-heidelberg.de/cgi-bin/perl/getCephData.pl?clusid=2204",2204)</f>
        <v>2204</v>
      </c>
      <c r="B95" t="s">
        <v>22</v>
      </c>
      <c r="C95" s="5">
        <v>1.1945400076450599E-5</v>
      </c>
      <c r="D95" s="5">
        <v>1.50839161473238E-5</v>
      </c>
      <c r="E95" s="5">
        <v>4.9748047733043902E-6</v>
      </c>
      <c r="F95" s="5">
        <v>2.8558568120688901E-6</v>
      </c>
      <c r="G95" s="5">
        <v>5.5344372763232803E-6</v>
      </c>
      <c r="H95" s="5">
        <v>1.1554741887428199E-5</v>
      </c>
      <c r="I95" s="5">
        <v>2.8687160558041798E-5</v>
      </c>
      <c r="J95" s="5">
        <v>3.6424211512073302E-6</v>
      </c>
      <c r="K95" s="5">
        <v>2.2503988140176899E-5</v>
      </c>
      <c r="L95" s="5">
        <v>1.4182036362055999E-5</v>
      </c>
      <c r="M95" s="5">
        <v>7.9396299410662899E-6</v>
      </c>
      <c r="N95" s="5">
        <v>2.6118945897426002E-5</v>
      </c>
      <c r="O95" t="s">
        <v>116</v>
      </c>
      <c r="P95">
        <v>0.52</v>
      </c>
      <c r="Q95">
        <v>121</v>
      </c>
      <c r="R95" t="s">
        <v>24</v>
      </c>
      <c r="S95" t="s">
        <v>24</v>
      </c>
      <c r="T95" t="s">
        <v>24</v>
      </c>
      <c r="U95" t="s">
        <v>25</v>
      </c>
      <c r="V95" t="s">
        <v>26</v>
      </c>
    </row>
    <row r="96" spans="1:22">
      <c r="A96" s="2">
        <f>HYPERLINK("http://hydra.cos.uni-heidelberg.de/cgi-bin/perl/getCephData.pl?clusid=25750",25750)</f>
        <v>25750</v>
      </c>
      <c r="B96" t="s">
        <v>22</v>
      </c>
      <c r="C96" s="5">
        <v>8.6118000551155202E-6</v>
      </c>
      <c r="D96" s="5">
        <v>9.8864618943133299E-7</v>
      </c>
      <c r="E96" s="5">
        <v>3.37518909056986E-6</v>
      </c>
      <c r="F96" s="5">
        <v>1.04411580262901E-5</v>
      </c>
      <c r="G96" s="5">
        <v>5.3987893038643697E-6</v>
      </c>
      <c r="H96" s="5">
        <v>3.3882325835315798E-6</v>
      </c>
      <c r="I96" s="5">
        <v>1.03477339989257E-5</v>
      </c>
      <c r="J96" s="5">
        <v>9.3568687204479597E-5</v>
      </c>
      <c r="K96" s="5">
        <v>2.8222214634812001E-6</v>
      </c>
      <c r="L96" s="5">
        <v>6.6445851183864201E-6</v>
      </c>
      <c r="M96" s="5">
        <v>1.00515180398684E-5</v>
      </c>
      <c r="N96" s="5">
        <v>7.7140736667171993E-6</v>
      </c>
      <c r="O96" t="s">
        <v>117</v>
      </c>
      <c r="P96">
        <v>1.36</v>
      </c>
      <c r="Q96">
        <v>579</v>
      </c>
      <c r="R96" t="s">
        <v>24</v>
      </c>
      <c r="S96" t="s">
        <v>24</v>
      </c>
      <c r="T96" t="s">
        <v>24</v>
      </c>
      <c r="U96" t="s">
        <v>25</v>
      </c>
      <c r="V96" t="s">
        <v>26</v>
      </c>
    </row>
    <row r="97" spans="1:22">
      <c r="A97" s="2">
        <f>HYPERLINK("http://hydra.cos.uni-heidelberg.de/cgi-bin/perl/getCephData.pl?clusid=21621",21621)</f>
        <v>21621</v>
      </c>
      <c r="B97" t="s">
        <v>22</v>
      </c>
      <c r="C97" s="5">
        <v>0</v>
      </c>
      <c r="D97" s="5">
        <v>1.6948220390251401E-7</v>
      </c>
      <c r="E97" s="5">
        <v>6.5584242992115701E-7</v>
      </c>
      <c r="F97" s="5">
        <v>0</v>
      </c>
      <c r="G97" s="5">
        <v>2.7129594491780799E-8</v>
      </c>
      <c r="H97" s="5">
        <v>3.1493187475133299E-7</v>
      </c>
      <c r="I97" s="5">
        <v>1.58325984683016E-6</v>
      </c>
      <c r="J97" s="5">
        <v>3.1951062729888899E-8</v>
      </c>
      <c r="K97" s="5">
        <v>1.8445891918177799E-8</v>
      </c>
      <c r="L97" s="5">
        <v>5.2949037662141799E-7</v>
      </c>
      <c r="M97" s="5">
        <v>4.5445693265362599E-7</v>
      </c>
      <c r="N97" s="5">
        <v>4.1746751608116601E-7</v>
      </c>
      <c r="O97" t="s">
        <v>118</v>
      </c>
      <c r="P97">
        <v>0.63</v>
      </c>
      <c r="Q97">
        <v>139</v>
      </c>
      <c r="R97" t="s">
        <v>24</v>
      </c>
      <c r="S97" t="s">
        <v>24</v>
      </c>
      <c r="T97" t="s">
        <v>24</v>
      </c>
      <c r="U97" t="s">
        <v>25</v>
      </c>
      <c r="V97" t="s">
        <v>26</v>
      </c>
    </row>
    <row r="98" spans="1:22">
      <c r="A98" s="2">
        <f>HYPERLINK("http://hydra.cos.uni-heidelberg.de/cgi-bin/perl/getCephData.pl?clusid=20303",20303)</f>
        <v>20303</v>
      </c>
      <c r="B98" t="s">
        <v>22</v>
      </c>
      <c r="C98" s="5">
        <v>5.5560000355583997E-8</v>
      </c>
      <c r="D98" s="5">
        <v>0</v>
      </c>
      <c r="E98" s="5">
        <v>6.3984627309381203E-8</v>
      </c>
      <c r="F98" s="5">
        <v>2.3647222010761501E-7</v>
      </c>
      <c r="G98" s="5">
        <v>1.15300776590068E-5</v>
      </c>
      <c r="H98" s="5">
        <v>3.2579159457034399E-8</v>
      </c>
      <c r="I98" s="5">
        <v>0</v>
      </c>
      <c r="J98" s="5">
        <v>1.7573084501438899E-7</v>
      </c>
      <c r="K98" s="5">
        <v>3.3645306858756301E-5</v>
      </c>
      <c r="L98" s="5">
        <v>4.1528656989915101E-8</v>
      </c>
      <c r="M98" s="5">
        <v>0</v>
      </c>
      <c r="N98" s="5">
        <v>0</v>
      </c>
      <c r="O98" t="s">
        <v>119</v>
      </c>
      <c r="P98">
        <v>0.52</v>
      </c>
      <c r="Q98">
        <v>137</v>
      </c>
      <c r="R98" t="s">
        <v>24</v>
      </c>
      <c r="S98" t="s">
        <v>24</v>
      </c>
      <c r="T98" t="s">
        <v>24</v>
      </c>
      <c r="U98" t="s">
        <v>25</v>
      </c>
      <c r="V98" t="s">
        <v>26</v>
      </c>
    </row>
    <row r="99" spans="1:22">
      <c r="A99" s="2">
        <f>HYPERLINK("http://hydra.cos.uni-heidelberg.de/cgi-bin/perl/getCephData.pl?clusid=16548",16548)</f>
        <v>16548</v>
      </c>
      <c r="B99" t="s">
        <v>22</v>
      </c>
      <c r="C99" s="5">
        <v>3.1335840200549397E-5</v>
      </c>
      <c r="D99" s="5">
        <v>6.0109688317424999E-5</v>
      </c>
      <c r="E99" s="5">
        <v>1.0077578801227499E-6</v>
      </c>
      <c r="F99" s="5">
        <v>2.6375747627387801E-6</v>
      </c>
      <c r="G99" s="5">
        <v>5.3662337904742302E-5</v>
      </c>
      <c r="H99" s="5">
        <v>1.9840708109334E-5</v>
      </c>
      <c r="I99" s="5">
        <v>3.07227803611092E-6</v>
      </c>
      <c r="J99" s="5">
        <v>1.04000709185788E-5</v>
      </c>
      <c r="K99" s="5">
        <v>6.0871443329986696E-7</v>
      </c>
      <c r="L99" s="5">
        <v>1.3226877251288E-5</v>
      </c>
      <c r="M99" s="5">
        <v>3.18119852857538E-5</v>
      </c>
      <c r="N99" s="5">
        <v>9.0753807843731798E-7</v>
      </c>
      <c r="O99" t="s">
        <v>123</v>
      </c>
      <c r="P99">
        <v>0.61</v>
      </c>
      <c r="Q99">
        <v>339</v>
      </c>
      <c r="R99" t="s">
        <v>24</v>
      </c>
      <c r="S99" t="s">
        <v>24</v>
      </c>
      <c r="T99" t="s">
        <v>24</v>
      </c>
      <c r="U99" t="s">
        <v>25</v>
      </c>
      <c r="V99" t="s">
        <v>26</v>
      </c>
    </row>
    <row r="100" spans="1:22">
      <c r="A100" s="2">
        <f>HYPERLINK("http://hydra.cos.uni-heidelberg.de/cgi-bin/perl/getCephData.pl?clusid=819",819)</f>
        <v>819</v>
      </c>
      <c r="B100" t="s">
        <v>22</v>
      </c>
      <c r="C100" s="5">
        <v>1.0834200069338901E-6</v>
      </c>
      <c r="D100" s="5">
        <v>1.12988135935009E-7</v>
      </c>
      <c r="E100" s="5">
        <v>4.7988470482035899E-8</v>
      </c>
      <c r="F100" s="5">
        <v>1.1277905882055501E-6</v>
      </c>
      <c r="G100" s="5">
        <v>5.9685107881917704E-7</v>
      </c>
      <c r="H100" s="5">
        <v>9.7737478371103298E-7</v>
      </c>
      <c r="I100" s="5">
        <v>1.0178099015336799E-6</v>
      </c>
      <c r="J100" s="5">
        <v>1.9170637637933301E-7</v>
      </c>
      <c r="K100" s="5">
        <v>4.0580962219991101E-7</v>
      </c>
      <c r="L100" s="5">
        <v>1.1524202314701399E-6</v>
      </c>
      <c r="M100" s="5">
        <v>1.6306984054041901E-6</v>
      </c>
      <c r="N100" s="5">
        <v>1.3250055945184801E-6</v>
      </c>
      <c r="O100" t="s">
        <v>127</v>
      </c>
      <c r="P100">
        <v>0.62</v>
      </c>
      <c r="Q100">
        <v>118</v>
      </c>
      <c r="R100" t="s">
        <v>24</v>
      </c>
      <c r="S100" t="s">
        <v>24</v>
      </c>
      <c r="T100" t="s">
        <v>24</v>
      </c>
      <c r="U100" t="s">
        <v>25</v>
      </c>
      <c r="V100" t="s">
        <v>26</v>
      </c>
    </row>
    <row r="101" spans="1:22">
      <c r="A101" s="2">
        <f>HYPERLINK("http://hydra.cos.uni-heidelberg.de/cgi-bin/perl/getCephData.pl?clusid=22588",22588)</f>
        <v>22588</v>
      </c>
      <c r="B101" t="s">
        <v>22</v>
      </c>
      <c r="C101" s="5">
        <v>2.3613000151123199E-6</v>
      </c>
      <c r="D101" s="5">
        <v>1.5253398351226301E-6</v>
      </c>
      <c r="E101" s="5">
        <v>1.343677173497E-6</v>
      </c>
      <c r="F101" s="5">
        <v>8.1855768498789803E-7</v>
      </c>
      <c r="G101" s="5">
        <v>1.9614696817557501E-5</v>
      </c>
      <c r="H101" s="5">
        <v>2.0307676061551499E-6</v>
      </c>
      <c r="I101" s="5">
        <v>2.67646307440337E-6</v>
      </c>
      <c r="J101" s="5">
        <v>1.2780425091955599E-7</v>
      </c>
      <c r="K101" s="5">
        <v>1.0314942760645E-4</v>
      </c>
      <c r="L101" s="5">
        <v>3.6752861436074899E-6</v>
      </c>
      <c r="M101" s="5">
        <v>1.1762414727505601E-6</v>
      </c>
      <c r="N101" s="5">
        <v>3.4667954596305598E-6</v>
      </c>
      <c r="O101" t="s">
        <v>128</v>
      </c>
      <c r="P101">
        <v>0.55000000000000004</v>
      </c>
      <c r="Q101">
        <v>326</v>
      </c>
      <c r="R101" t="s">
        <v>24</v>
      </c>
      <c r="S101" t="s">
        <v>24</v>
      </c>
      <c r="T101" t="s">
        <v>24</v>
      </c>
      <c r="U101" t="s">
        <v>25</v>
      </c>
      <c r="V101" t="s">
        <v>26</v>
      </c>
    </row>
    <row r="102" spans="1:22">
      <c r="A102" s="2">
        <f>HYPERLINK("http://hydra.cos.uni-heidelberg.de/cgi-bin/perl/getCephData.pl?clusid=8348",8348)</f>
        <v>8348</v>
      </c>
      <c r="B102" t="s">
        <v>9</v>
      </c>
      <c r="C102" s="5">
        <v>5.5560000355583997E-8</v>
      </c>
      <c r="D102" s="5">
        <v>5.6494067967504697E-8</v>
      </c>
      <c r="E102" s="5">
        <v>0</v>
      </c>
      <c r="F102" s="5">
        <v>1.2733119544256199E-7</v>
      </c>
      <c r="G102" s="5">
        <v>8.1388783475342299E-8</v>
      </c>
      <c r="H102" s="5">
        <v>6.5158318914068904E-8</v>
      </c>
      <c r="I102" s="5">
        <v>0</v>
      </c>
      <c r="J102" s="5">
        <v>1.19177463982486E-5</v>
      </c>
      <c r="K102" s="5">
        <v>3.6891783836355598E-8</v>
      </c>
      <c r="L102" s="5">
        <v>6.2292985484872694E-8</v>
      </c>
      <c r="M102" s="5">
        <v>0</v>
      </c>
      <c r="N102" s="5">
        <v>0</v>
      </c>
      <c r="O102" t="s">
        <v>129</v>
      </c>
      <c r="P102">
        <v>0.96</v>
      </c>
      <c r="Q102">
        <v>199</v>
      </c>
      <c r="R102" t="s">
        <v>24</v>
      </c>
      <c r="S102" t="s">
        <v>24</v>
      </c>
      <c r="T102" t="s">
        <v>24</v>
      </c>
      <c r="U102" t="s">
        <v>25</v>
      </c>
      <c r="V102" t="s">
        <v>26</v>
      </c>
    </row>
    <row r="103" spans="1:22">
      <c r="A103" s="2">
        <f>HYPERLINK("http://hydra.cos.uni-heidelberg.de/cgi-bin/perl/getCephData.pl?clusid=27388",27388)</f>
        <v>27388</v>
      </c>
      <c r="B103" t="s">
        <v>8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3.7696663019765797E-8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t="s">
        <v>130</v>
      </c>
      <c r="P103">
        <v>0.8</v>
      </c>
      <c r="Q103">
        <v>315</v>
      </c>
      <c r="R103" t="s">
        <v>24</v>
      </c>
      <c r="S103" t="s">
        <v>24</v>
      </c>
      <c r="T103" t="s">
        <v>24</v>
      </c>
      <c r="U103" t="s">
        <v>25</v>
      </c>
      <c r="V103" t="s">
        <v>26</v>
      </c>
    </row>
    <row r="104" spans="1:22">
      <c r="A104" s="2">
        <f>HYPERLINK("http://hydra.cos.uni-heidelberg.de/cgi-bin/perl/getCephData.pl?clusid=25961",25961)</f>
        <v>25961</v>
      </c>
      <c r="B104" t="s">
        <v>22</v>
      </c>
      <c r="C104" s="5">
        <v>9.8896800632939507E-6</v>
      </c>
      <c r="D104" s="5">
        <v>1.1863754273176E-6</v>
      </c>
      <c r="E104" s="5">
        <v>3.7910891680808299E-6</v>
      </c>
      <c r="F104" s="5">
        <v>2.58300425040625E-5</v>
      </c>
      <c r="G104" s="5">
        <v>1.10417449581548E-5</v>
      </c>
      <c r="H104" s="5">
        <v>6.48325273194985E-6</v>
      </c>
      <c r="I104" s="5">
        <v>1.5531025164143499E-5</v>
      </c>
      <c r="J104" s="5">
        <v>1.7876619597372801E-5</v>
      </c>
      <c r="K104" s="5">
        <v>2.58242486854489E-6</v>
      </c>
      <c r="L104" s="5">
        <v>1.11815908945346E-5</v>
      </c>
      <c r="M104" s="5">
        <v>1.06129060154994E-5</v>
      </c>
      <c r="N104" s="5">
        <v>1.05455924714416E-5</v>
      </c>
      <c r="O104" t="s">
        <v>131</v>
      </c>
      <c r="P104">
        <v>1.58</v>
      </c>
      <c r="Q104">
        <v>457</v>
      </c>
      <c r="R104" t="s">
        <v>24</v>
      </c>
      <c r="S104" t="s">
        <v>24</v>
      </c>
      <c r="T104" t="s">
        <v>24</v>
      </c>
      <c r="U104" t="s">
        <v>25</v>
      </c>
      <c r="V104" t="s">
        <v>26</v>
      </c>
    </row>
    <row r="105" spans="1:22">
      <c r="A105" s="2">
        <f>HYPERLINK("http://hydra.cos.uni-heidelberg.de/cgi-bin/perl/getCephData.pl?clusid=10526",10526)</f>
        <v>10526</v>
      </c>
      <c r="B105" t="s">
        <v>22</v>
      </c>
      <c r="C105" s="5">
        <v>8.0562000515596799E-7</v>
      </c>
      <c r="D105" s="5">
        <v>3.6721144178878101E-7</v>
      </c>
      <c r="E105" s="5">
        <v>9.4377325281337199E-7</v>
      </c>
      <c r="F105" s="5">
        <v>6.4938909675706501E-6</v>
      </c>
      <c r="G105" s="5">
        <v>1.9804603979000002E-6</v>
      </c>
      <c r="H105" s="5">
        <v>1.4117635764714901E-6</v>
      </c>
      <c r="I105" s="5">
        <v>2.56337308534408E-6</v>
      </c>
      <c r="J105" s="5">
        <v>1.9330392951582798E-6</v>
      </c>
      <c r="K105" s="5">
        <v>6.0871443329986696E-7</v>
      </c>
      <c r="L105" s="5">
        <v>5.3675789159465296E-6</v>
      </c>
      <c r="M105" s="5">
        <v>1.2831725157278899E-6</v>
      </c>
      <c r="N105" s="5">
        <v>1.0164426478497999E-6</v>
      </c>
      <c r="O105" t="s">
        <v>132</v>
      </c>
      <c r="P105">
        <v>0.68</v>
      </c>
      <c r="Q105">
        <v>214</v>
      </c>
      <c r="R105" t="s">
        <v>24</v>
      </c>
      <c r="S105" t="s">
        <v>24</v>
      </c>
      <c r="T105" t="s">
        <v>24</v>
      </c>
      <c r="U105" t="s">
        <v>25</v>
      </c>
      <c r="V105" t="s">
        <v>26</v>
      </c>
    </row>
    <row r="106" spans="1:22">
      <c r="A106" s="2">
        <f>HYPERLINK("http://hydra.cos.uni-heidelberg.de/cgi-bin/perl/getCephData.pl?clusid=8530",8530)</f>
        <v>8530</v>
      </c>
      <c r="B106" t="s">
        <v>22</v>
      </c>
      <c r="C106" s="5">
        <v>2.38908001529011E-5</v>
      </c>
      <c r="D106" s="5">
        <v>0</v>
      </c>
      <c r="E106" s="5">
        <v>1.7595772510079801E-7</v>
      </c>
      <c r="F106" s="5">
        <v>3.31061108150661E-6</v>
      </c>
      <c r="G106" s="5">
        <v>3.5268472839314998E-7</v>
      </c>
      <c r="H106" s="5">
        <v>9.1221646479696402E-7</v>
      </c>
      <c r="I106" s="5">
        <v>3.4379356674026398E-5</v>
      </c>
      <c r="J106" s="5">
        <v>1.59755313649444E-7</v>
      </c>
      <c r="K106" s="5">
        <v>1.1436452989270199E-6</v>
      </c>
      <c r="L106" s="5">
        <v>1.3185348594298001E-6</v>
      </c>
      <c r="M106" s="5">
        <v>8.5277506774415706E-6</v>
      </c>
      <c r="N106" s="5">
        <v>3.4250487080224399E-5</v>
      </c>
      <c r="O106" t="s">
        <v>133</v>
      </c>
      <c r="P106">
        <v>0.56999999999999995</v>
      </c>
      <c r="Q106">
        <v>128</v>
      </c>
      <c r="R106" t="s">
        <v>24</v>
      </c>
      <c r="S106" t="s">
        <v>24</v>
      </c>
      <c r="T106" t="s">
        <v>24</v>
      </c>
      <c r="U106" t="s">
        <v>25</v>
      </c>
      <c r="V106" t="s">
        <v>26</v>
      </c>
    </row>
    <row r="107" spans="1:22">
      <c r="A107" s="2">
        <f>HYPERLINK("http://hydra.cos.uni-heidelberg.de/cgi-bin/perl/getCephData.pl?clusid=16629",16629)</f>
        <v>16629</v>
      </c>
      <c r="B107" t="s">
        <v>22</v>
      </c>
      <c r="C107" s="5">
        <v>5.4171000346694399E-6</v>
      </c>
      <c r="D107" s="5">
        <v>2.7964563643914799E-6</v>
      </c>
      <c r="E107" s="5">
        <v>1.42365795763373E-6</v>
      </c>
      <c r="F107" s="5">
        <v>4.8567755975948604E-6</v>
      </c>
      <c r="G107" s="5">
        <v>5.0461045754712197E-6</v>
      </c>
      <c r="H107" s="5">
        <v>2.95384379077112E-6</v>
      </c>
      <c r="I107" s="5">
        <v>4.0900879376445902E-6</v>
      </c>
      <c r="J107" s="5">
        <v>4.4092466567246696E-6</v>
      </c>
      <c r="K107" s="5">
        <v>2.8222214634812001E-6</v>
      </c>
      <c r="L107" s="5">
        <v>2.97968113902641E-6</v>
      </c>
      <c r="M107" s="5">
        <v>6.9772505542703798E-6</v>
      </c>
      <c r="N107" s="5">
        <v>5.7356406557238502E-6</v>
      </c>
      <c r="O107" t="s">
        <v>136</v>
      </c>
      <c r="P107">
        <v>0.75</v>
      </c>
      <c r="Q107">
        <v>216</v>
      </c>
      <c r="R107" t="s">
        <v>24</v>
      </c>
      <c r="S107" t="s">
        <v>24</v>
      </c>
      <c r="T107" t="s">
        <v>24</v>
      </c>
      <c r="U107" t="s">
        <v>25</v>
      </c>
      <c r="V107" t="s">
        <v>26</v>
      </c>
    </row>
    <row r="108" spans="1:22">
      <c r="A108" s="2">
        <f>HYPERLINK("http://hydra.cos.uni-heidelberg.de/cgi-bin/perl/getCephData.pl?clusid=5782",5782)</f>
        <v>5782</v>
      </c>
      <c r="B108" t="s">
        <v>22</v>
      </c>
      <c r="C108" s="5">
        <v>9.5007600608048593E-6</v>
      </c>
      <c r="D108" s="5">
        <v>1.01689322341509E-6</v>
      </c>
      <c r="E108" s="5">
        <v>9.4377325281337199E-7</v>
      </c>
      <c r="F108" s="5">
        <v>4.22011962038205E-6</v>
      </c>
      <c r="G108" s="5">
        <v>2.6587002601945098E-6</v>
      </c>
      <c r="H108" s="5">
        <v>3.3556534240745498E-6</v>
      </c>
      <c r="I108" s="5">
        <v>7.3696976203642201E-6</v>
      </c>
      <c r="J108" s="5">
        <v>1.88511270106344E-6</v>
      </c>
      <c r="K108" s="5">
        <v>3.3571523291083601E-6</v>
      </c>
      <c r="L108" s="5">
        <v>4.4020376409309999E-6</v>
      </c>
      <c r="M108" s="5">
        <v>1.0906966383687E-5</v>
      </c>
      <c r="N108" s="5">
        <v>1.1670939688703901E-5</v>
      </c>
      <c r="O108" t="s">
        <v>137</v>
      </c>
      <c r="P108">
        <v>0.52</v>
      </c>
      <c r="Q108">
        <v>157</v>
      </c>
      <c r="R108" t="s">
        <v>24</v>
      </c>
      <c r="S108" t="s">
        <v>24</v>
      </c>
      <c r="T108" t="s">
        <v>24</v>
      </c>
      <c r="U108" t="s">
        <v>25</v>
      </c>
      <c r="V108" t="s">
        <v>26</v>
      </c>
    </row>
    <row r="109" spans="1:22">
      <c r="A109" s="2">
        <f>HYPERLINK("http://hydra.cos.uni-heidelberg.de/cgi-bin/perl/getCephData.pl?clusid=3089",3089)</f>
        <v>3089</v>
      </c>
      <c r="B109" t="s">
        <v>22</v>
      </c>
      <c r="C109" s="5">
        <v>5.6310060360384403E-5</v>
      </c>
      <c r="D109" s="5">
        <v>5.05621908309167E-6</v>
      </c>
      <c r="E109" s="5">
        <v>1.7467803255461099E-5</v>
      </c>
      <c r="F109" s="5">
        <v>1.5679927210212601E-5</v>
      </c>
      <c r="G109" s="5">
        <v>3.4888658516430101E-5</v>
      </c>
      <c r="H109" s="5">
        <v>3.5424406049615398E-5</v>
      </c>
      <c r="I109" s="5">
        <v>7.5167146061413094E-5</v>
      </c>
      <c r="J109" s="5">
        <v>5.1281455681471696E-6</v>
      </c>
      <c r="K109" s="5">
        <v>2.36845252229403E-5</v>
      </c>
      <c r="L109" s="5">
        <v>2.79903148112028E-5</v>
      </c>
      <c r="M109" s="5">
        <v>3.0020890315883701E-5</v>
      </c>
      <c r="N109" s="5">
        <v>3.2544315492762197E-5</v>
      </c>
      <c r="O109" t="s">
        <v>138</v>
      </c>
      <c r="P109">
        <v>1.34</v>
      </c>
      <c r="Q109">
        <v>1385</v>
      </c>
      <c r="R109" t="s">
        <v>24</v>
      </c>
      <c r="S109" t="s">
        <v>24</v>
      </c>
      <c r="T109" t="s">
        <v>24</v>
      </c>
      <c r="U109" t="s">
        <v>25</v>
      </c>
      <c r="V109" t="s">
        <v>26</v>
      </c>
    </row>
    <row r="110" spans="1:22">
      <c r="A110" s="2">
        <f>HYPERLINK("http://hydra.cos.uni-heidelberg.de/cgi-bin/perl/getCephData.pl?clusid=21422",21422)</f>
        <v>21422</v>
      </c>
      <c r="B110" t="s">
        <v>22</v>
      </c>
      <c r="C110" s="5">
        <v>2.7780000177792E-7</v>
      </c>
      <c r="D110" s="5">
        <v>0</v>
      </c>
      <c r="E110" s="5">
        <v>0</v>
      </c>
      <c r="F110" s="5">
        <v>1.50978417453323E-6</v>
      </c>
      <c r="G110" s="5">
        <v>0</v>
      </c>
      <c r="H110" s="5">
        <v>1.10986336550297E-5</v>
      </c>
      <c r="I110" s="5">
        <v>0</v>
      </c>
      <c r="J110" s="5">
        <v>0</v>
      </c>
      <c r="K110" s="5">
        <v>0</v>
      </c>
      <c r="L110" s="5">
        <v>5.54407570815367E-6</v>
      </c>
      <c r="M110" s="5">
        <v>4.0099141116496398E-7</v>
      </c>
      <c r="N110" s="5">
        <v>0</v>
      </c>
      <c r="O110" t="s">
        <v>142</v>
      </c>
      <c r="P110">
        <v>0.57999999999999996</v>
      </c>
      <c r="Q110">
        <v>171</v>
      </c>
      <c r="R110" t="s">
        <v>24</v>
      </c>
      <c r="S110" t="s">
        <v>24</v>
      </c>
      <c r="T110" t="s">
        <v>24</v>
      </c>
      <c r="U110" t="s">
        <v>25</v>
      </c>
      <c r="V110" t="s">
        <v>26</v>
      </c>
    </row>
    <row r="111" spans="1:22">
      <c r="A111" s="2">
        <f>HYPERLINK("http://hydra.cos.uni-heidelberg.de/cgi-bin/perl/getCephData.pl?clusid=1467",1467)</f>
        <v>1467</v>
      </c>
      <c r="B111" t="s">
        <v>8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5.0890495076683901E-7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t="s">
        <v>143</v>
      </c>
      <c r="P111">
        <v>0.63</v>
      </c>
      <c r="Q111">
        <v>181</v>
      </c>
      <c r="R111" t="s">
        <v>24</v>
      </c>
      <c r="S111" t="s">
        <v>24</v>
      </c>
      <c r="T111" t="s">
        <v>24</v>
      </c>
      <c r="U111" t="s">
        <v>25</v>
      </c>
      <c r="V111" t="s">
        <v>39</v>
      </c>
    </row>
    <row r="112" spans="1:22">
      <c r="A112" s="2">
        <f>HYPERLINK("http://hydra.cos.uni-heidelberg.de/cgi-bin/perl/getCephData.pl?clusid=9427",9427)</f>
        <v>9427</v>
      </c>
      <c r="B112" t="s">
        <v>22</v>
      </c>
      <c r="C112" s="5">
        <v>0</v>
      </c>
      <c r="D112" s="5">
        <v>1.1581283933338499E-6</v>
      </c>
      <c r="E112" s="5">
        <v>1.9035426624540899E-6</v>
      </c>
      <c r="F112" s="5">
        <v>2.8740469828464001E-6</v>
      </c>
      <c r="G112" s="5">
        <v>6.0498995716671101E-6</v>
      </c>
      <c r="H112" s="5">
        <v>2.1719439638023E-8</v>
      </c>
      <c r="I112" s="5">
        <v>9.0471991247438001E-6</v>
      </c>
      <c r="J112" s="5">
        <v>0</v>
      </c>
      <c r="K112" s="5">
        <v>3.0989098422538702E-6</v>
      </c>
      <c r="L112" s="5">
        <v>1.03821642474788E-7</v>
      </c>
      <c r="M112" s="5">
        <v>4.8118969339795697E-7</v>
      </c>
      <c r="N112" s="5">
        <v>6.3346157874924803E-6</v>
      </c>
      <c r="O112" t="s">
        <v>149</v>
      </c>
      <c r="P112">
        <v>0.81</v>
      </c>
      <c r="Q112">
        <v>559</v>
      </c>
      <c r="R112" t="s">
        <v>24</v>
      </c>
      <c r="S112" t="s">
        <v>24</v>
      </c>
      <c r="T112" t="s">
        <v>24</v>
      </c>
      <c r="U112" t="s">
        <v>25</v>
      </c>
      <c r="V112" t="s">
        <v>26</v>
      </c>
    </row>
    <row r="113" spans="1:22">
      <c r="A113" s="2">
        <f>HYPERLINK("http://hydra.cos.uni-heidelberg.de/cgi-bin/perl/getCephData.pl?clusid=28385",28385)</f>
        <v>28385</v>
      </c>
      <c r="B113" t="s">
        <v>22</v>
      </c>
      <c r="C113" s="5">
        <v>1.7501400112008999E-5</v>
      </c>
      <c r="D113" s="5">
        <v>6.9487703600030801E-6</v>
      </c>
      <c r="E113" s="5">
        <v>2.6169712569536901E-5</v>
      </c>
      <c r="F113" s="5">
        <v>1.27513097150337E-5</v>
      </c>
      <c r="G113" s="5">
        <v>9.5496172611068293E-6</v>
      </c>
      <c r="H113" s="5">
        <v>2.09809786903302E-5</v>
      </c>
      <c r="I113" s="5">
        <v>4.6894648796588701E-5</v>
      </c>
      <c r="J113" s="5">
        <v>8.9191391610484905E-5</v>
      </c>
      <c r="K113" s="5">
        <v>7.5812615783710698E-6</v>
      </c>
      <c r="L113" s="5">
        <v>2.4211207025120499E-5</v>
      </c>
      <c r="M113" s="5">
        <v>1.7884216937957399E-5</v>
      </c>
      <c r="N113" s="5">
        <v>6.8392069591036294E-5</v>
      </c>
      <c r="O113" t="s">
        <v>150</v>
      </c>
      <c r="P113">
        <v>0.62</v>
      </c>
      <c r="Q113">
        <v>193</v>
      </c>
      <c r="R113" t="s">
        <v>24</v>
      </c>
      <c r="S113" t="s">
        <v>24</v>
      </c>
      <c r="T113" t="s">
        <v>24</v>
      </c>
      <c r="U113" t="s">
        <v>25</v>
      </c>
      <c r="V113" t="s">
        <v>26</v>
      </c>
    </row>
    <row r="114" spans="1:22">
      <c r="A114" s="2">
        <f>HYPERLINK("http://hydra.cos.uni-heidelberg.de/cgi-bin/perl/getCephData.pl?clusid=20720",20720)</f>
        <v>20720</v>
      </c>
      <c r="B114" t="s">
        <v>22</v>
      </c>
      <c r="C114" s="5">
        <v>3.50028002240179E-6</v>
      </c>
      <c r="D114" s="5">
        <v>6.7792881561005698E-7</v>
      </c>
      <c r="E114" s="5">
        <v>4.0790199909730504E-6</v>
      </c>
      <c r="F114" s="5">
        <v>1.33152050091365E-5</v>
      </c>
      <c r="G114" s="5">
        <v>5.3716597093725903E-6</v>
      </c>
      <c r="H114" s="5">
        <v>2.73664939439089E-6</v>
      </c>
      <c r="I114" s="5">
        <v>1.2138325492364599E-5</v>
      </c>
      <c r="J114" s="5">
        <v>1.0192389010834601E-5</v>
      </c>
      <c r="K114" s="5">
        <v>2.43485773319947E-6</v>
      </c>
      <c r="L114" s="5">
        <v>9.2089796875136805E-6</v>
      </c>
      <c r="M114" s="5">
        <v>2.45941398847845E-6</v>
      </c>
      <c r="N114" s="5">
        <v>6.2620127412175002E-6</v>
      </c>
      <c r="O114" t="s">
        <v>151</v>
      </c>
      <c r="P114">
        <v>0.68</v>
      </c>
      <c r="Q114">
        <v>219</v>
      </c>
      <c r="R114" t="s">
        <v>24</v>
      </c>
      <c r="S114" t="s">
        <v>24</v>
      </c>
      <c r="T114" t="s">
        <v>24</v>
      </c>
      <c r="U114" t="s">
        <v>25</v>
      </c>
      <c r="V114" t="s">
        <v>26</v>
      </c>
    </row>
    <row r="115" spans="1:22">
      <c r="A115" s="2">
        <f>HYPERLINK("http://hydra.cos.uni-heidelberg.de/cgi-bin/perl/getCephData.pl?clusid=13082",13082)</f>
        <v>13082</v>
      </c>
      <c r="B115" t="s">
        <v>22</v>
      </c>
      <c r="C115" s="5">
        <v>6.8505480438435097E-5</v>
      </c>
      <c r="D115" s="5">
        <v>8.9825568068332504E-6</v>
      </c>
      <c r="E115" s="5">
        <v>2.4906016180176599E-5</v>
      </c>
      <c r="F115" s="5">
        <v>5.3806525159871101E-5</v>
      </c>
      <c r="G115" s="5">
        <v>3.2257087850727303E-5</v>
      </c>
      <c r="H115" s="5">
        <v>4.5871456515504498E-5</v>
      </c>
      <c r="I115" s="5">
        <v>3.1231685311876E-5</v>
      </c>
      <c r="J115" s="5">
        <v>6.2368474448743093E-5</v>
      </c>
      <c r="K115" s="5">
        <v>1.2248072233670001E-5</v>
      </c>
      <c r="L115" s="5">
        <v>8.5933173476381797E-5</v>
      </c>
      <c r="M115" s="5">
        <v>9.6719128372989397E-5</v>
      </c>
      <c r="N115" s="5">
        <v>2.10730341813145E-5</v>
      </c>
      <c r="O115" t="s">
        <v>152</v>
      </c>
      <c r="P115">
        <v>0.62</v>
      </c>
      <c r="Q115">
        <v>839</v>
      </c>
      <c r="R115" t="s">
        <v>24</v>
      </c>
      <c r="S115" t="s">
        <v>24</v>
      </c>
      <c r="T115" t="s">
        <v>24</v>
      </c>
      <c r="U115" t="s">
        <v>25</v>
      </c>
      <c r="V115" t="s">
        <v>39</v>
      </c>
    </row>
    <row r="116" spans="1:22">
      <c r="A116" s="2">
        <f>HYPERLINK("http://hydra.cos.uni-heidelberg.de/cgi-bin/perl/getCephData.pl?clusid=1264",1264)</f>
        <v>1264</v>
      </c>
      <c r="B116" t="s">
        <v>22</v>
      </c>
      <c r="C116" s="5">
        <v>4.0558800259576303E-6</v>
      </c>
      <c r="D116" s="5">
        <v>1.27111652926886E-6</v>
      </c>
      <c r="E116" s="5">
        <v>1.0237540369501001E-6</v>
      </c>
      <c r="F116" s="5">
        <v>6.0937072104654602E-6</v>
      </c>
      <c r="G116" s="5">
        <v>3.1199033665547902E-6</v>
      </c>
      <c r="H116" s="5">
        <v>1.75927461067986E-6</v>
      </c>
      <c r="I116" s="5">
        <v>2.5068280908144301E-6</v>
      </c>
      <c r="J116" s="5">
        <v>3.8021764648567801E-6</v>
      </c>
      <c r="K116" s="5">
        <v>1.62323848879965E-6</v>
      </c>
      <c r="L116" s="5">
        <v>2.56439456912726E-6</v>
      </c>
      <c r="M116" s="5">
        <v>4.8920952162125601E-6</v>
      </c>
      <c r="N116" s="5">
        <v>2.0147345341308502E-6</v>
      </c>
      <c r="O116" t="s">
        <v>153</v>
      </c>
      <c r="P116">
        <v>0.56999999999999995</v>
      </c>
      <c r="Q116">
        <v>100</v>
      </c>
      <c r="R116" t="s">
        <v>24</v>
      </c>
      <c r="S116" t="s">
        <v>24</v>
      </c>
      <c r="T116" t="s">
        <v>24</v>
      </c>
      <c r="U116" t="s">
        <v>25</v>
      </c>
      <c r="V116" t="s">
        <v>26</v>
      </c>
    </row>
    <row r="117" spans="1:22">
      <c r="A117" s="2">
        <f>HYPERLINK("http://hydra.cos.uni-heidelberg.de/cgi-bin/perl/getCephData.pl?clusid=2393",2393)</f>
        <v>2393</v>
      </c>
      <c r="B117" t="s">
        <v>22</v>
      </c>
      <c r="C117" s="5">
        <v>8.77848005618227E-6</v>
      </c>
      <c r="D117" s="5">
        <v>0</v>
      </c>
      <c r="E117" s="5">
        <v>1.45565027128842E-6</v>
      </c>
      <c r="F117" s="5">
        <v>1.4552136622007099E-7</v>
      </c>
      <c r="G117" s="5">
        <v>1.62777566950685E-7</v>
      </c>
      <c r="H117" s="5">
        <v>1.2597274990053301E-6</v>
      </c>
      <c r="I117" s="5">
        <v>5.2775328227672195E-7</v>
      </c>
      <c r="J117" s="5">
        <v>0</v>
      </c>
      <c r="K117" s="5">
        <v>2.5455330847085301E-6</v>
      </c>
      <c r="L117" s="5">
        <v>1.1088151416307299E-5</v>
      </c>
      <c r="M117" s="5">
        <v>4.7851641732352396E-6</v>
      </c>
      <c r="N117" s="5">
        <v>2.7226142353119501E-7</v>
      </c>
      <c r="O117" t="s">
        <v>157</v>
      </c>
      <c r="P117">
        <v>0.68</v>
      </c>
      <c r="Q117">
        <v>348</v>
      </c>
      <c r="R117" t="s">
        <v>24</v>
      </c>
      <c r="S117" t="s">
        <v>24</v>
      </c>
      <c r="T117" t="s">
        <v>24</v>
      </c>
      <c r="U117" t="s">
        <v>25</v>
      </c>
      <c r="V117" t="s">
        <v>26</v>
      </c>
    </row>
    <row r="118" spans="1:22">
      <c r="A118" s="2">
        <f>HYPERLINK("http://hydra.cos.uni-heidelberg.de/cgi-bin/perl/getCephData.pl?clusid=1425",1425)</f>
        <v>1425</v>
      </c>
      <c r="B118" t="s">
        <v>22</v>
      </c>
      <c r="C118" s="5">
        <v>1.5640140100096901E-5</v>
      </c>
      <c r="D118" s="5">
        <v>0</v>
      </c>
      <c r="E118" s="5">
        <v>0</v>
      </c>
      <c r="F118" s="5">
        <v>1.8190170777508801E-8</v>
      </c>
      <c r="G118" s="5">
        <v>1.35647972458904E-7</v>
      </c>
      <c r="H118" s="5">
        <v>8.3945634200958697E-6</v>
      </c>
      <c r="I118" s="5">
        <v>1.8848331509882898E-8</v>
      </c>
      <c r="J118" s="5">
        <v>4.9524147231327802E-7</v>
      </c>
      <c r="K118" s="5">
        <v>0</v>
      </c>
      <c r="L118" s="5">
        <v>1.5521335549980799E-5</v>
      </c>
      <c r="M118" s="5">
        <v>8.2069575485096005E-6</v>
      </c>
      <c r="N118" s="5">
        <v>2.90412185099942E-7</v>
      </c>
      <c r="O118" t="s">
        <v>158</v>
      </c>
      <c r="P118">
        <v>0.61</v>
      </c>
      <c r="Q118">
        <v>123</v>
      </c>
      <c r="R118" t="s">
        <v>24</v>
      </c>
      <c r="S118" t="s">
        <v>24</v>
      </c>
      <c r="T118" t="s">
        <v>24</v>
      </c>
      <c r="U118" t="s">
        <v>25</v>
      </c>
      <c r="V118" t="s">
        <v>26</v>
      </c>
    </row>
    <row r="119" spans="1:22">
      <c r="A119" s="2">
        <f>HYPERLINK("http://hydra.cos.uni-heidelberg.de/cgi-bin/perl/getCephData.pl?clusid=26827",26827)</f>
        <v>26827</v>
      </c>
      <c r="B119" t="s">
        <v>22</v>
      </c>
      <c r="C119" s="5">
        <v>3.4752780222417803E-5</v>
      </c>
      <c r="D119" s="5">
        <v>1.42647521617949E-5</v>
      </c>
      <c r="E119" s="5">
        <v>1.1709186797616801E-5</v>
      </c>
      <c r="F119" s="5">
        <v>3.5343501820699703E-5</v>
      </c>
      <c r="G119" s="5">
        <v>1.8393865065427401E-5</v>
      </c>
      <c r="H119" s="5">
        <v>2.5770115130514201E-5</v>
      </c>
      <c r="I119" s="5">
        <v>3.1872528583212E-5</v>
      </c>
      <c r="J119" s="5">
        <v>2.4075125766971299E-5</v>
      </c>
      <c r="K119" s="5">
        <v>1.34286093164334E-5</v>
      </c>
      <c r="L119" s="5">
        <v>3.38458554467808E-5</v>
      </c>
      <c r="M119" s="5">
        <v>3.7158537434619999E-5</v>
      </c>
      <c r="N119" s="5">
        <v>3.1219309898243698E-5</v>
      </c>
      <c r="O119" t="s">
        <v>159</v>
      </c>
      <c r="P119">
        <v>0.88</v>
      </c>
      <c r="Q119">
        <v>591</v>
      </c>
      <c r="R119" t="s">
        <v>24</v>
      </c>
      <c r="S119" t="s">
        <v>24</v>
      </c>
      <c r="T119" t="s">
        <v>24</v>
      </c>
      <c r="U119" t="s">
        <v>25</v>
      </c>
      <c r="V119" t="s">
        <v>26</v>
      </c>
    </row>
    <row r="120" spans="1:22">
      <c r="A120" s="2">
        <f>HYPERLINK("http://hydra.cos.uni-heidelberg.de/cgi-bin/perl/getCephData.pl?clusid=12483",12483)</f>
        <v>12483</v>
      </c>
      <c r="B120" t="s">
        <v>22</v>
      </c>
      <c r="C120" s="5">
        <v>1.21676400778729E-5</v>
      </c>
      <c r="D120" s="5">
        <v>8.75658053496323E-7</v>
      </c>
      <c r="E120" s="5">
        <v>2.7673351311307402E-6</v>
      </c>
      <c r="F120" s="5">
        <v>2.01547092214798E-5</v>
      </c>
      <c r="G120" s="5">
        <v>3.93379120130821E-6</v>
      </c>
      <c r="H120" s="5">
        <v>7.9275954678783807E-6</v>
      </c>
      <c r="I120" s="5">
        <v>8.4063558534077798E-6</v>
      </c>
      <c r="J120" s="5">
        <v>5.7511912913800003E-7</v>
      </c>
      <c r="K120" s="5">
        <v>6.2531573602622702E-6</v>
      </c>
      <c r="L120" s="5">
        <v>1.09531832810901E-5</v>
      </c>
      <c r="M120" s="5">
        <v>1.9915906754526599E-5</v>
      </c>
      <c r="N120" s="5">
        <v>1.69528113052091E-5</v>
      </c>
      <c r="O120" t="s">
        <v>163</v>
      </c>
      <c r="P120">
        <v>1.51</v>
      </c>
      <c r="Q120">
        <v>739</v>
      </c>
      <c r="R120" t="s">
        <v>24</v>
      </c>
      <c r="S120" t="s">
        <v>24</v>
      </c>
      <c r="T120" t="s">
        <v>24</v>
      </c>
      <c r="U120" t="s">
        <v>25</v>
      </c>
      <c r="V120" t="s">
        <v>26</v>
      </c>
    </row>
    <row r="121" spans="1:22">
      <c r="A121" s="2">
        <f>HYPERLINK("http://hydra.cos.uni-heidelberg.de/cgi-bin/perl/getCephData.pl?clusid=23756",23756)</f>
        <v>23756</v>
      </c>
      <c r="B121" t="s">
        <v>22</v>
      </c>
      <c r="C121" s="5">
        <v>4.5781440293001203E-5</v>
      </c>
      <c r="D121" s="5">
        <v>3.3613970440665302E-6</v>
      </c>
      <c r="E121" s="5">
        <v>8.8634704980320207E-5</v>
      </c>
      <c r="F121" s="5">
        <v>1.0095544781517401E-5</v>
      </c>
      <c r="G121" s="5">
        <v>3.26911613625958E-5</v>
      </c>
      <c r="H121" s="5">
        <v>1.47474995142176E-5</v>
      </c>
      <c r="I121" s="5">
        <v>1.7151981673993499E-6</v>
      </c>
      <c r="J121" s="5">
        <v>1.1406529394570299E-5</v>
      </c>
      <c r="K121" s="5">
        <v>1.7560489106105299E-5</v>
      </c>
      <c r="L121" s="5">
        <v>1.10570049235649E-5</v>
      </c>
      <c r="M121" s="5">
        <v>3.0822873138213597E-5</v>
      </c>
      <c r="N121" s="5">
        <v>2.57740814276198E-6</v>
      </c>
      <c r="O121" t="s">
        <v>164</v>
      </c>
      <c r="P121">
        <v>1.06</v>
      </c>
      <c r="Q121">
        <v>1802</v>
      </c>
      <c r="R121" t="s">
        <v>24</v>
      </c>
      <c r="S121" t="s">
        <v>24</v>
      </c>
      <c r="T121" t="s">
        <v>24</v>
      </c>
      <c r="U121" t="s">
        <v>25</v>
      </c>
      <c r="V121" t="s">
        <v>26</v>
      </c>
    </row>
    <row r="122" spans="1:22">
      <c r="A122" s="2">
        <f>HYPERLINK("http://hydra.cos.uni-heidelberg.de/cgi-bin/perl/getCephData.pl?clusid=11135",11135)</f>
        <v>11135</v>
      </c>
      <c r="B122" t="s">
        <v>22</v>
      </c>
      <c r="C122" s="5">
        <v>3.0280200193793301E-6</v>
      </c>
      <c r="D122" s="5">
        <v>3.6721144178878101E-7</v>
      </c>
      <c r="E122" s="5">
        <v>2.223465799001E-6</v>
      </c>
      <c r="F122" s="5">
        <v>9.1860362426419593E-6</v>
      </c>
      <c r="G122" s="5">
        <v>6.3754547055684799E-6</v>
      </c>
      <c r="H122" s="5">
        <v>4.2027115699574398E-6</v>
      </c>
      <c r="I122" s="5">
        <v>6.9738826586566799E-6</v>
      </c>
      <c r="J122" s="5">
        <v>7.3327688965094998E-6</v>
      </c>
      <c r="K122" s="5">
        <v>2.5455330847085301E-6</v>
      </c>
      <c r="L122" s="5">
        <v>7.2259863162452303E-6</v>
      </c>
      <c r="M122" s="5">
        <v>6.0683366889631299E-6</v>
      </c>
      <c r="N122" s="5">
        <v>3.3578908902180799E-6</v>
      </c>
      <c r="O122" t="s">
        <v>165</v>
      </c>
      <c r="P122">
        <v>0.76</v>
      </c>
      <c r="Q122">
        <v>329</v>
      </c>
      <c r="R122" t="s">
        <v>24</v>
      </c>
      <c r="S122" t="s">
        <v>24</v>
      </c>
      <c r="T122" t="s">
        <v>24</v>
      </c>
      <c r="U122" t="s">
        <v>25</v>
      </c>
      <c r="V122" t="s">
        <v>39</v>
      </c>
    </row>
    <row r="123" spans="1:22">
      <c r="A123" s="2">
        <f>HYPERLINK("http://hydra.cos.uni-heidelberg.de/cgi-bin/perl/getCephData.pl?clusid=16156",16156)</f>
        <v>16156</v>
      </c>
      <c r="B123" t="s">
        <v>22</v>
      </c>
      <c r="C123" s="5">
        <v>2.5974300166235501E-5</v>
      </c>
      <c r="D123" s="5">
        <v>4.1523139956116002E-6</v>
      </c>
      <c r="E123" s="5">
        <v>6.0145549670818299E-6</v>
      </c>
      <c r="F123" s="5">
        <v>1.5916399430320201E-5</v>
      </c>
      <c r="G123" s="5">
        <v>2.05913622192616E-5</v>
      </c>
      <c r="H123" s="5">
        <v>2.60198886863515E-5</v>
      </c>
      <c r="I123" s="5">
        <v>1.5361390180554601E-5</v>
      </c>
      <c r="J123" s="5">
        <v>1.3371519752458499E-5</v>
      </c>
      <c r="K123" s="5">
        <v>1.1454898881188399E-5</v>
      </c>
      <c r="L123" s="5">
        <v>2.69520983864549E-5</v>
      </c>
      <c r="M123" s="5">
        <v>4.16496412396676E-5</v>
      </c>
      <c r="N123" s="5">
        <v>1.6045273226771801E-5</v>
      </c>
      <c r="O123" t="s">
        <v>166</v>
      </c>
      <c r="P123">
        <v>0.81</v>
      </c>
      <c r="Q123">
        <v>226</v>
      </c>
      <c r="R123" t="s">
        <v>24</v>
      </c>
      <c r="S123" t="s">
        <v>24</v>
      </c>
      <c r="T123" t="s">
        <v>24</v>
      </c>
      <c r="U123" t="s">
        <v>25</v>
      </c>
      <c r="V123" t="s">
        <v>26</v>
      </c>
    </row>
    <row r="124" spans="1:22">
      <c r="A124" s="2">
        <f>HYPERLINK("http://hydra.cos.uni-heidelberg.de/cgi-bin/perl/getCephData.pl?clusid=14267",14267)</f>
        <v>14267</v>
      </c>
      <c r="B124" t="s">
        <v>22</v>
      </c>
      <c r="C124" s="5">
        <v>9.1062840582802206E-5</v>
      </c>
      <c r="D124" s="5">
        <v>6.8244834104745701E-5</v>
      </c>
      <c r="E124" s="5">
        <v>2.5977758687608701E-5</v>
      </c>
      <c r="F124" s="5">
        <v>2.3832761752692099E-4</v>
      </c>
      <c r="G124" s="5">
        <v>7.7644899435476501E-5</v>
      </c>
      <c r="H124" s="5">
        <v>7.2727543627919804E-5</v>
      </c>
      <c r="I124" s="5">
        <v>8.8794489743058394E-5</v>
      </c>
      <c r="J124" s="5">
        <v>1.33555442210936E-5</v>
      </c>
      <c r="K124" s="5">
        <v>3.95111004887368E-5</v>
      </c>
      <c r="L124" s="5">
        <v>9.2453172623798506E-5</v>
      </c>
      <c r="M124" s="5">
        <v>1.3572222629896799E-4</v>
      </c>
      <c r="N124" s="5">
        <v>6.4362600522774606E-5</v>
      </c>
      <c r="O124" t="s">
        <v>169</v>
      </c>
      <c r="P124">
        <v>0.71</v>
      </c>
      <c r="Q124">
        <v>410</v>
      </c>
      <c r="R124" t="s">
        <v>24</v>
      </c>
      <c r="S124" t="s">
        <v>24</v>
      </c>
      <c r="T124" t="s">
        <v>24</v>
      </c>
      <c r="U124" t="s">
        <v>25</v>
      </c>
      <c r="V124" t="s">
        <v>26</v>
      </c>
    </row>
    <row r="125" spans="1:22">
      <c r="A125" s="2">
        <f>HYPERLINK("http://hydra.cos.uni-heidelberg.de/cgi-bin/perl/getCephData.pl?clusid=3589",3589)</f>
        <v>3589</v>
      </c>
      <c r="B125" t="s">
        <v>8</v>
      </c>
      <c r="C125" s="5">
        <v>1.1112000071116799E-7</v>
      </c>
      <c r="D125" s="5">
        <v>1.12988135935009E-7</v>
      </c>
      <c r="E125" s="5">
        <v>2.2394619558283401E-7</v>
      </c>
      <c r="F125" s="5">
        <v>5.4570512332526503E-8</v>
      </c>
      <c r="G125" s="5">
        <v>1.08518377967123E-7</v>
      </c>
      <c r="H125" s="5">
        <v>1.0208136629870799E-6</v>
      </c>
      <c r="I125" s="5">
        <v>1.7679734956270201E-5</v>
      </c>
      <c r="J125" s="5">
        <v>1.2780425091955599E-7</v>
      </c>
      <c r="K125" s="5">
        <v>7.3783567672711103E-8</v>
      </c>
      <c r="L125" s="5">
        <v>2.18025449197054E-6</v>
      </c>
      <c r="M125" s="5">
        <v>5.3465521488661903E-8</v>
      </c>
      <c r="N125" s="5">
        <v>7.4418122431860104E-7</v>
      </c>
      <c r="O125" t="s">
        <v>170</v>
      </c>
      <c r="P125">
        <v>0.79</v>
      </c>
      <c r="Q125">
        <v>309</v>
      </c>
      <c r="R125" t="s">
        <v>24</v>
      </c>
      <c r="S125" t="s">
        <v>24</v>
      </c>
      <c r="T125" t="s">
        <v>24</v>
      </c>
      <c r="U125" t="s">
        <v>25</v>
      </c>
      <c r="V125" t="s">
        <v>26</v>
      </c>
    </row>
    <row r="126" spans="1:22">
      <c r="A126" s="2">
        <f>HYPERLINK("http://hydra.cos.uni-heidelberg.de/cgi-bin/perl/getCephData.pl?clusid=3955",3955)</f>
        <v>3955</v>
      </c>
      <c r="B126" t="s">
        <v>22</v>
      </c>
      <c r="C126" s="5">
        <v>3.1530300201793902E-5</v>
      </c>
      <c r="D126" s="5">
        <v>3.2484089081315199E-6</v>
      </c>
      <c r="E126" s="5">
        <v>3.0872582676776399E-6</v>
      </c>
      <c r="F126" s="5">
        <v>5.6207627702502304E-6</v>
      </c>
      <c r="G126" s="5">
        <v>7.9761007805835392E-6</v>
      </c>
      <c r="H126" s="5">
        <v>3.8508566478214703E-5</v>
      </c>
      <c r="I126" s="5">
        <v>2.2685851805295099E-4</v>
      </c>
      <c r="J126" s="5">
        <v>6.39021254597778E-7</v>
      </c>
      <c r="K126" s="5">
        <v>1.34101634245153E-5</v>
      </c>
      <c r="L126" s="5">
        <v>1.5448660400248401E-5</v>
      </c>
      <c r="M126" s="5">
        <v>2.9994157555139299E-5</v>
      </c>
      <c r="N126" s="5">
        <v>9.7941509424955402E-5</v>
      </c>
      <c r="O126" t="s">
        <v>171</v>
      </c>
      <c r="P126">
        <v>0.79</v>
      </c>
      <c r="Q126">
        <v>247</v>
      </c>
      <c r="R126" t="s">
        <v>24</v>
      </c>
      <c r="S126" t="s">
        <v>24</v>
      </c>
      <c r="T126" t="s">
        <v>24</v>
      </c>
      <c r="U126" t="s">
        <v>25</v>
      </c>
      <c r="V126" t="s">
        <v>26</v>
      </c>
    </row>
    <row r="127" spans="1:22">
      <c r="A127" s="2">
        <f>HYPERLINK("http://hydra.cos.uni-heidelberg.de/cgi-bin/perl/getCephData.pl?clusid=12769",12769)</f>
        <v>12769</v>
      </c>
      <c r="B127" t="s">
        <v>22</v>
      </c>
      <c r="C127" s="5">
        <v>9.5285400609826602E-6</v>
      </c>
      <c r="D127" s="5">
        <v>5.6494067967504697E-8</v>
      </c>
      <c r="E127" s="5">
        <v>3.1992313654690602E-8</v>
      </c>
      <c r="F127" s="5">
        <v>5.4570512332526503E-8</v>
      </c>
      <c r="G127" s="5">
        <v>2.98425539409588E-6</v>
      </c>
      <c r="H127" s="5">
        <v>7.3085914381947196E-6</v>
      </c>
      <c r="I127" s="5">
        <v>1.16859655361274E-6</v>
      </c>
      <c r="J127" s="5">
        <v>3.1951062729888899E-8</v>
      </c>
      <c r="K127" s="5">
        <v>3.6891783836355598E-8</v>
      </c>
      <c r="L127" s="5">
        <v>1.43170044972732E-5</v>
      </c>
      <c r="M127" s="5">
        <v>1.9381251539639899E-5</v>
      </c>
      <c r="N127" s="5">
        <v>2.5411066196244897E-7</v>
      </c>
      <c r="O127" t="s">
        <v>172</v>
      </c>
      <c r="P127">
        <v>0.42</v>
      </c>
      <c r="Q127">
        <v>117</v>
      </c>
      <c r="R127" t="s">
        <v>24</v>
      </c>
      <c r="S127" t="s">
        <v>24</v>
      </c>
      <c r="T127" t="s">
        <v>24</v>
      </c>
      <c r="U127" t="s">
        <v>25</v>
      </c>
      <c r="V127" t="s">
        <v>26</v>
      </c>
    </row>
    <row r="128" spans="1:22">
      <c r="A128" s="2">
        <f>HYPERLINK("http://hydra.cos.uni-heidelberg.de/cgi-bin/perl/getCephData.pl?clusid=13441",13441)</f>
        <v>13441</v>
      </c>
      <c r="B128" t="s">
        <v>22</v>
      </c>
      <c r="C128" s="5">
        <v>1.61124001031194E-6</v>
      </c>
      <c r="D128" s="5">
        <v>0</v>
      </c>
      <c r="E128" s="5">
        <v>9.5976940964071705E-8</v>
      </c>
      <c r="F128" s="5">
        <v>4.3656409866021202E-7</v>
      </c>
      <c r="G128" s="5">
        <v>8.1388783475342299E-8</v>
      </c>
      <c r="H128" s="5">
        <v>1.09683170172016E-6</v>
      </c>
      <c r="I128" s="5">
        <v>2.8272497264824402E-7</v>
      </c>
      <c r="J128" s="5">
        <v>1.4377978228450001E-7</v>
      </c>
      <c r="K128" s="5">
        <v>5.5337675754533397E-8</v>
      </c>
      <c r="L128" s="5">
        <v>5.1910821237393897E-7</v>
      </c>
      <c r="M128" s="5">
        <v>4.0099141116496398E-7</v>
      </c>
      <c r="N128" s="5">
        <v>1.45206092549971E-7</v>
      </c>
      <c r="O128" t="s">
        <v>173</v>
      </c>
      <c r="P128">
        <v>0.52</v>
      </c>
      <c r="Q128">
        <v>115</v>
      </c>
      <c r="R128" t="s">
        <v>24</v>
      </c>
      <c r="S128" t="s">
        <v>24</v>
      </c>
      <c r="T128" t="s">
        <v>24</v>
      </c>
      <c r="U128" t="s">
        <v>25</v>
      </c>
      <c r="V128" t="s">
        <v>26</v>
      </c>
    </row>
    <row r="129" spans="1:22">
      <c r="A129" s="2">
        <f>HYPERLINK("http://hydra.cos.uni-heidelberg.de/cgi-bin/perl/getCephData.pl?clusid=17616",17616)</f>
        <v>17616</v>
      </c>
      <c r="B129" t="s">
        <v>22</v>
      </c>
      <c r="C129" s="5">
        <v>2.7780000177791999E-6</v>
      </c>
      <c r="D129" s="5">
        <v>0</v>
      </c>
      <c r="E129" s="5">
        <v>0</v>
      </c>
      <c r="F129" s="5">
        <v>6.0209465273554202E-6</v>
      </c>
      <c r="G129" s="5">
        <v>0</v>
      </c>
      <c r="H129" s="5">
        <v>2.73664939439089E-6</v>
      </c>
      <c r="I129" s="5">
        <v>5.8505221006676599E-5</v>
      </c>
      <c r="J129" s="5">
        <v>1.88511270106344E-6</v>
      </c>
      <c r="K129" s="5">
        <v>1.1067535150906701E-7</v>
      </c>
      <c r="L129" s="5">
        <v>3.8310186073196699E-6</v>
      </c>
      <c r="M129" s="5">
        <v>1.6306984054041901E-6</v>
      </c>
      <c r="N129" s="5">
        <v>5.6630376094488599E-6</v>
      </c>
      <c r="O129" t="s">
        <v>174</v>
      </c>
      <c r="P129">
        <v>0.8</v>
      </c>
      <c r="Q129">
        <v>557</v>
      </c>
      <c r="R129" t="s">
        <v>24</v>
      </c>
      <c r="S129" t="s">
        <v>24</v>
      </c>
      <c r="T129" t="s">
        <v>24</v>
      </c>
      <c r="U129" t="s">
        <v>25</v>
      </c>
      <c r="V129" t="s">
        <v>26</v>
      </c>
    </row>
    <row r="130" spans="1:22">
      <c r="A130" s="2">
        <f>HYPERLINK("http://hydra.cos.uni-heidelberg.de/cgi-bin/perl/getCephData.pl?clusid=21630",21630)</f>
        <v>21630</v>
      </c>
      <c r="B130" t="s">
        <v>22</v>
      </c>
      <c r="C130" s="5">
        <v>3.8003040243219498E-5</v>
      </c>
      <c r="D130" s="5">
        <v>5.1409601850429296E-6</v>
      </c>
      <c r="E130" s="5">
        <v>9.0698209211047796E-6</v>
      </c>
      <c r="F130" s="5">
        <v>1.26057883488136E-5</v>
      </c>
      <c r="G130" s="5">
        <v>1.43841109995422E-4</v>
      </c>
      <c r="H130" s="5">
        <v>4.9759236210710601E-5</v>
      </c>
      <c r="I130" s="5">
        <v>6.3330393873206596E-6</v>
      </c>
      <c r="J130" s="5">
        <v>6.5707360504016504E-5</v>
      </c>
      <c r="K130" s="5">
        <v>4.9840799962916402E-5</v>
      </c>
      <c r="L130" s="5">
        <v>4.41553445445272E-5</v>
      </c>
      <c r="M130" s="5">
        <v>8.1347790944999104E-5</v>
      </c>
      <c r="N130" s="5">
        <v>3.7572076447304998E-6</v>
      </c>
      <c r="O130" t="s">
        <v>175</v>
      </c>
      <c r="P130">
        <v>0.63</v>
      </c>
      <c r="Q130">
        <v>243</v>
      </c>
      <c r="R130" t="s">
        <v>24</v>
      </c>
      <c r="S130" t="s">
        <v>24</v>
      </c>
      <c r="T130" t="s">
        <v>24</v>
      </c>
      <c r="U130" t="s">
        <v>25</v>
      </c>
      <c r="V130" t="s">
        <v>26</v>
      </c>
    </row>
    <row r="131" spans="1:22">
      <c r="A131" s="2">
        <f>HYPERLINK("http://hydra.cos.uni-heidelberg.de/cgi-bin/perl/getCephData.pl?clusid=19295",19295)</f>
        <v>19295</v>
      </c>
      <c r="B131" t="s">
        <v>22</v>
      </c>
      <c r="C131" s="5">
        <v>1.2389880079295199E-5</v>
      </c>
      <c r="D131" s="5">
        <v>0</v>
      </c>
      <c r="E131" s="5">
        <v>3.9990392068363199E-7</v>
      </c>
      <c r="F131" s="5">
        <v>3.6380341555017702E-8</v>
      </c>
      <c r="G131" s="5">
        <v>1.08518377967123E-7</v>
      </c>
      <c r="H131" s="5">
        <v>1.79185377013689E-6</v>
      </c>
      <c r="I131" s="5">
        <v>7.9162992341508202E-7</v>
      </c>
      <c r="J131" s="5">
        <v>0</v>
      </c>
      <c r="K131" s="5">
        <v>0</v>
      </c>
      <c r="L131" s="5">
        <v>2.08577679731849E-5</v>
      </c>
      <c r="M131" s="5">
        <v>3.2934761237015697E-5</v>
      </c>
      <c r="N131" s="5">
        <v>7.6233198588734703E-7</v>
      </c>
      <c r="O131" t="s">
        <v>176</v>
      </c>
      <c r="P131">
        <v>0.7</v>
      </c>
      <c r="Q131">
        <v>920</v>
      </c>
      <c r="R131" t="s">
        <v>24</v>
      </c>
      <c r="S131" t="s">
        <v>24</v>
      </c>
      <c r="T131" t="s">
        <v>24</v>
      </c>
      <c r="U131" t="s">
        <v>25</v>
      </c>
      <c r="V131" t="s">
        <v>26</v>
      </c>
    </row>
    <row r="132" spans="1:22">
      <c r="A132" s="2">
        <f>HYPERLINK("http://hydra.cos.uni-heidelberg.de/cgi-bin/perl/getCephData.pl?clusid=9105",9105)</f>
        <v>9105</v>
      </c>
      <c r="B132" t="s">
        <v>22</v>
      </c>
      <c r="C132" s="5">
        <v>1.05286200673832E-5</v>
      </c>
      <c r="D132" s="5">
        <v>5.6494067967504697E-8</v>
      </c>
      <c r="E132" s="5">
        <v>0</v>
      </c>
      <c r="F132" s="5">
        <v>2.31015168874362E-6</v>
      </c>
      <c r="G132" s="5">
        <v>2.17036755934246E-7</v>
      </c>
      <c r="H132" s="5">
        <v>4.7565572807270299E-6</v>
      </c>
      <c r="I132" s="5">
        <v>1.8848331509882901E-7</v>
      </c>
      <c r="J132" s="5">
        <v>3.1951062729888899E-8</v>
      </c>
      <c r="K132" s="5">
        <v>3.6891783836355598E-8</v>
      </c>
      <c r="L132" s="5">
        <v>2.9900633032738902E-6</v>
      </c>
      <c r="M132" s="5">
        <v>4.6247676087692503E-6</v>
      </c>
      <c r="N132" s="5">
        <v>9.9829188628105002E-7</v>
      </c>
      <c r="O132" t="s">
        <v>177</v>
      </c>
      <c r="P132">
        <v>0.59</v>
      </c>
      <c r="Q132">
        <v>341</v>
      </c>
      <c r="R132" t="s">
        <v>24</v>
      </c>
      <c r="S132" t="s">
        <v>24</v>
      </c>
      <c r="T132" t="s">
        <v>24</v>
      </c>
      <c r="U132" t="s">
        <v>25</v>
      </c>
      <c r="V132" t="s">
        <v>26</v>
      </c>
    </row>
    <row r="133" spans="1:22">
      <c r="A133" s="2">
        <f>HYPERLINK("http://hydra.cos.uni-heidelberg.de/cgi-bin/perl/getCephData.pl?clusid=12629",12629)</f>
        <v>12629</v>
      </c>
      <c r="B133" t="s">
        <v>22</v>
      </c>
      <c r="C133" s="5">
        <v>2.8030020179392101E-5</v>
      </c>
      <c r="D133" s="5">
        <v>1.12988135935009E-7</v>
      </c>
      <c r="E133" s="5">
        <v>3.0392697971956001E-6</v>
      </c>
      <c r="F133" s="5">
        <v>1.3824529790906699E-6</v>
      </c>
      <c r="G133" s="5">
        <v>3.3640697169808099E-6</v>
      </c>
      <c r="H133" s="5">
        <v>2.4651563989156E-6</v>
      </c>
      <c r="I133" s="5">
        <v>0</v>
      </c>
      <c r="J133" s="5">
        <v>1.59755313649444E-8</v>
      </c>
      <c r="K133" s="5">
        <v>4.61147297954445E-7</v>
      </c>
      <c r="L133" s="5">
        <v>5.24299294497678E-6</v>
      </c>
      <c r="M133" s="5">
        <v>7.5626980145712298E-5</v>
      </c>
      <c r="N133" s="5">
        <v>3.6301523137492697E-8</v>
      </c>
      <c r="O133" t="s">
        <v>180</v>
      </c>
      <c r="P133">
        <v>0.7</v>
      </c>
      <c r="Q133">
        <v>735</v>
      </c>
      <c r="R133" t="s">
        <v>24</v>
      </c>
      <c r="S133" t="s">
        <v>24</v>
      </c>
      <c r="T133" t="s">
        <v>24</v>
      </c>
      <c r="U133" t="s">
        <v>25</v>
      </c>
      <c r="V133" t="s">
        <v>26</v>
      </c>
    </row>
    <row r="134" spans="1:22">
      <c r="A134" s="2">
        <f>HYPERLINK("http://hydra.cos.uni-heidelberg.de/cgi-bin/perl/getCephData.pl?clusid=25814",25814)</f>
        <v>25814</v>
      </c>
      <c r="B134" t="s">
        <v>22</v>
      </c>
      <c r="C134" s="5">
        <v>2.12239201358331E-5</v>
      </c>
      <c r="D134" s="5">
        <v>2.2032686507326798E-6</v>
      </c>
      <c r="E134" s="5">
        <v>1.7275849373532899E-6</v>
      </c>
      <c r="F134" s="5">
        <v>7.4215896772235997E-6</v>
      </c>
      <c r="G134" s="5">
        <v>7.5691568632068304E-6</v>
      </c>
      <c r="H134" s="5">
        <v>1.7495008628427499E-5</v>
      </c>
      <c r="I134" s="5">
        <v>3.9958462800951803E-6</v>
      </c>
      <c r="J134" s="5">
        <v>2.3803541733767198E-6</v>
      </c>
      <c r="K134" s="5">
        <v>1.9552645433268501E-6</v>
      </c>
      <c r="L134" s="5">
        <v>2.3650570155756699E-5</v>
      </c>
      <c r="M134" s="5">
        <v>2.2321855221516301E-5</v>
      </c>
      <c r="N134" s="5">
        <v>3.0311771819806401E-6</v>
      </c>
      <c r="O134" t="s">
        <v>186</v>
      </c>
      <c r="P134">
        <v>0.51</v>
      </c>
      <c r="Q134">
        <v>122</v>
      </c>
      <c r="R134" t="s">
        <v>24</v>
      </c>
      <c r="S134" t="s">
        <v>24</v>
      </c>
      <c r="T134" t="s">
        <v>24</v>
      </c>
      <c r="U134" t="s">
        <v>25</v>
      </c>
      <c r="V134" t="s">
        <v>26</v>
      </c>
    </row>
    <row r="135" spans="1:22">
      <c r="A135" s="2">
        <f>HYPERLINK("http://hydra.cos.uni-heidelberg.de/cgi-bin/perl/getCephData.pl?clusid=19866",19866)</f>
        <v>19866</v>
      </c>
      <c r="B135" t="s">
        <v>22</v>
      </c>
      <c r="C135" s="5">
        <v>5.3054244339547198E-4</v>
      </c>
      <c r="D135" s="5">
        <v>2.48037205411329E-4</v>
      </c>
      <c r="E135" s="5">
        <v>1.4123006862863199E-4</v>
      </c>
      <c r="F135" s="5">
        <v>6.0236750529720504E-4</v>
      </c>
      <c r="G135" s="5">
        <v>1.1483957348370799E-4</v>
      </c>
      <c r="H135" s="5">
        <v>8.5760293382715499E-4</v>
      </c>
      <c r="I135" s="5">
        <v>1.2971421745101399E-4</v>
      </c>
      <c r="J135" s="5">
        <v>1.2504048399342E-4</v>
      </c>
      <c r="K135" s="5">
        <v>1.3245994986443499E-4</v>
      </c>
      <c r="L135" s="5">
        <v>7.8774671227745195E-4</v>
      </c>
      <c r="M135" s="5">
        <v>9.53022920535398E-4</v>
      </c>
      <c r="N135" s="5">
        <v>1.11391223747396E-4</v>
      </c>
      <c r="O135" t="s">
        <v>187</v>
      </c>
      <c r="P135">
        <v>0.72</v>
      </c>
      <c r="Q135">
        <v>196</v>
      </c>
      <c r="R135" t="s">
        <v>24</v>
      </c>
      <c r="S135" t="s">
        <v>24</v>
      </c>
      <c r="T135" t="s">
        <v>24</v>
      </c>
      <c r="U135" t="s">
        <v>25</v>
      </c>
      <c r="V135" t="s">
        <v>26</v>
      </c>
    </row>
    <row r="136" spans="1:22">
      <c r="A136" s="2">
        <f>HYPERLINK("http://hydra.cos.uni-heidelberg.de/cgi-bin/perl/getCephData.pl?clusid=11655",11655)</f>
        <v>11655</v>
      </c>
      <c r="B136" t="s">
        <v>22</v>
      </c>
      <c r="C136" s="5">
        <v>2.30574001475674E-6</v>
      </c>
      <c r="D136" s="5">
        <v>4.8019957772379004E-6</v>
      </c>
      <c r="E136" s="5">
        <v>1.61241260819641E-5</v>
      </c>
      <c r="F136" s="5">
        <v>1.8190170777508801E-7</v>
      </c>
      <c r="G136" s="5">
        <v>1.1258781714088999E-5</v>
      </c>
      <c r="H136" s="5">
        <v>6.2986374950266598E-7</v>
      </c>
      <c r="I136" s="5">
        <v>2.34661727298042E-5</v>
      </c>
      <c r="J136" s="5">
        <v>6.3902125459777797E-8</v>
      </c>
      <c r="K136" s="5">
        <v>2.5215534252148999E-5</v>
      </c>
      <c r="L136" s="5">
        <v>4.9834388387898102E-7</v>
      </c>
      <c r="M136" s="5">
        <v>4.9990262591898899E-6</v>
      </c>
      <c r="N136" s="5">
        <v>2.9749098211175299E-5</v>
      </c>
      <c r="O136" t="s">
        <v>188</v>
      </c>
      <c r="P136">
        <v>0.67</v>
      </c>
      <c r="Q136">
        <v>225</v>
      </c>
      <c r="R136" t="s">
        <v>24</v>
      </c>
      <c r="S136" t="s">
        <v>24</v>
      </c>
      <c r="T136" t="s">
        <v>24</v>
      </c>
      <c r="U136" t="s">
        <v>25</v>
      </c>
      <c r="V136" t="s">
        <v>26</v>
      </c>
    </row>
    <row r="137" spans="1:22">
      <c r="A137" s="2">
        <f>HYPERLINK("http://hydra.cos.uni-heidelberg.de/cgi-bin/perl/getCephData.pl?clusid=20209",20209)</f>
        <v>20209</v>
      </c>
      <c r="B137" t="s">
        <v>8</v>
      </c>
      <c r="C137" s="5">
        <v>0</v>
      </c>
      <c r="D137" s="5">
        <v>0</v>
      </c>
      <c r="E137" s="5">
        <v>0</v>
      </c>
      <c r="F137" s="5">
        <v>3.6380341555017702E-8</v>
      </c>
      <c r="G137" s="5">
        <v>8.1388783475342299E-8</v>
      </c>
      <c r="H137" s="5">
        <v>0</v>
      </c>
      <c r="I137" s="5">
        <v>1.80020414250892E-4</v>
      </c>
      <c r="J137" s="5">
        <v>2.3324275792818901E-6</v>
      </c>
      <c r="K137" s="5">
        <v>1.660130272636E-7</v>
      </c>
      <c r="L137" s="5">
        <v>9.3439478227309001E-8</v>
      </c>
      <c r="M137" s="5">
        <v>0</v>
      </c>
      <c r="N137" s="5">
        <v>4.8281025772865302E-5</v>
      </c>
      <c r="O137" t="s">
        <v>189</v>
      </c>
      <c r="P137">
        <v>0.85</v>
      </c>
      <c r="Q137">
        <v>386</v>
      </c>
      <c r="R137" t="s">
        <v>24</v>
      </c>
      <c r="S137" t="s">
        <v>24</v>
      </c>
      <c r="T137" t="s">
        <v>24</v>
      </c>
      <c r="U137" t="s">
        <v>25</v>
      </c>
      <c r="V137" t="s">
        <v>26</v>
      </c>
    </row>
    <row r="138" spans="1:22">
      <c r="A138" s="2">
        <f>HYPERLINK("http://hydra.cos.uni-heidelberg.de/cgi-bin/perl/getCephData.pl?clusid=20624",20624)</f>
        <v>20624</v>
      </c>
      <c r="B138" t="s">
        <v>22</v>
      </c>
      <c r="C138" s="5">
        <v>1.2223200078228499E-6</v>
      </c>
      <c r="D138" s="5">
        <v>2.8247033983752402E-7</v>
      </c>
      <c r="E138" s="5">
        <v>3.19923136546906E-7</v>
      </c>
      <c r="F138" s="5">
        <v>7.4579700187786203E-7</v>
      </c>
      <c r="G138" s="5">
        <v>2.1161083703589002E-6</v>
      </c>
      <c r="H138" s="5">
        <v>6.5158318914068904E-7</v>
      </c>
      <c r="I138" s="5">
        <v>3.48694132932834E-6</v>
      </c>
      <c r="J138" s="5">
        <v>1.59755313649444E-7</v>
      </c>
      <c r="K138" s="5">
        <v>3.6891783836355601E-7</v>
      </c>
      <c r="L138" s="5">
        <v>5.6063686936385401E-7</v>
      </c>
      <c r="M138" s="5">
        <v>6.4158625786394305E-7</v>
      </c>
      <c r="N138" s="5">
        <v>2.43220205021201E-6</v>
      </c>
      <c r="O138" t="s">
        <v>190</v>
      </c>
      <c r="P138">
        <v>0.47</v>
      </c>
      <c r="Q138">
        <v>172</v>
      </c>
      <c r="R138" t="s">
        <v>24</v>
      </c>
      <c r="S138" t="s">
        <v>24</v>
      </c>
      <c r="T138" t="s">
        <v>24</v>
      </c>
      <c r="U138" t="s">
        <v>25</v>
      </c>
      <c r="V138" t="s">
        <v>26</v>
      </c>
    </row>
    <row r="139" spans="1:22">
      <c r="A139" s="2">
        <f>HYPERLINK("http://hydra.cos.uni-heidelberg.de/cgi-bin/perl/getCephData.pl?clusid=1767",1767)</f>
        <v>1767</v>
      </c>
      <c r="B139" t="s">
        <v>22</v>
      </c>
      <c r="C139" s="5">
        <v>1.66680001066752E-7</v>
      </c>
      <c r="D139" s="5">
        <v>7.3442288357756097E-7</v>
      </c>
      <c r="E139" s="5">
        <v>0</v>
      </c>
      <c r="F139" s="5">
        <v>1.8190170777508801E-7</v>
      </c>
      <c r="G139" s="5">
        <v>8.1388783475342299E-8</v>
      </c>
      <c r="H139" s="5">
        <v>1.52036077466161E-7</v>
      </c>
      <c r="I139" s="5">
        <v>2.07331646608712E-7</v>
      </c>
      <c r="J139" s="5">
        <v>5.2080232249718902E-6</v>
      </c>
      <c r="K139" s="5">
        <v>6.6405210905440004E-6</v>
      </c>
      <c r="L139" s="5">
        <v>9.3439478227309001E-8</v>
      </c>
      <c r="M139" s="5">
        <v>5.3465521488661903E-8</v>
      </c>
      <c r="N139" s="5">
        <v>1.8150761568746402E-8</v>
      </c>
      <c r="O139" t="s">
        <v>191</v>
      </c>
      <c r="P139">
        <v>0.65</v>
      </c>
      <c r="Q139">
        <v>539</v>
      </c>
      <c r="R139" t="s">
        <v>24</v>
      </c>
      <c r="S139" t="s">
        <v>24</v>
      </c>
      <c r="T139" t="s">
        <v>24</v>
      </c>
      <c r="U139" t="s">
        <v>25</v>
      </c>
      <c r="V139" t="s">
        <v>26</v>
      </c>
    </row>
    <row r="140" spans="1:22">
      <c r="A140" s="2">
        <f>HYPERLINK("http://hydra.cos.uni-heidelberg.de/cgi-bin/perl/getCephData.pl?clusid=5737",5737)</f>
        <v>5737</v>
      </c>
      <c r="B140" t="s">
        <v>22</v>
      </c>
      <c r="C140" s="5">
        <v>2.2835160146145E-5</v>
      </c>
      <c r="D140" s="5">
        <v>1.21462246130135E-6</v>
      </c>
      <c r="E140" s="5">
        <v>1.29568870301497E-6</v>
      </c>
      <c r="F140" s="5">
        <v>6.0391366981329302E-6</v>
      </c>
      <c r="G140" s="5">
        <v>4.1508279572424596E-6</v>
      </c>
      <c r="H140" s="5">
        <v>9.0787257686935907E-6</v>
      </c>
      <c r="I140" s="5">
        <v>1.07435489606333E-6</v>
      </c>
      <c r="J140" s="5">
        <v>2.2605376881396399E-5</v>
      </c>
      <c r="K140" s="5">
        <v>7.1938978480893398E-7</v>
      </c>
      <c r="L140" s="5">
        <v>1.7286303472052199E-5</v>
      </c>
      <c r="M140" s="5">
        <v>1.6012923685854199E-5</v>
      </c>
      <c r="N140" s="5">
        <v>7.9863350902483995E-7</v>
      </c>
      <c r="O140" t="s">
        <v>200</v>
      </c>
      <c r="P140">
        <v>0.65</v>
      </c>
      <c r="Q140">
        <v>153</v>
      </c>
      <c r="R140" t="s">
        <v>24</v>
      </c>
      <c r="S140" t="s">
        <v>24</v>
      </c>
      <c r="T140" t="s">
        <v>24</v>
      </c>
      <c r="U140" t="s">
        <v>25</v>
      </c>
      <c r="V140" t="s">
        <v>26</v>
      </c>
    </row>
    <row r="141" spans="1:22">
      <c r="A141" s="2">
        <f>HYPERLINK("http://hydra.cos.uni-heidelberg.de/cgi-bin/perl/getCephData.pl?clusid=7024",7024)</f>
        <v>7024</v>
      </c>
      <c r="B141" t="s">
        <v>22</v>
      </c>
      <c r="C141" s="5">
        <v>6.6477540425456306E-5</v>
      </c>
      <c r="D141" s="5">
        <v>3.5591262819528001E-6</v>
      </c>
      <c r="E141" s="5">
        <v>7.5309906343141604E-5</v>
      </c>
      <c r="F141" s="5">
        <v>1.1041433661947899E-5</v>
      </c>
      <c r="G141" s="5">
        <v>2.3222932884964301E-5</v>
      </c>
      <c r="H141" s="5">
        <v>5.0063308365642901E-5</v>
      </c>
      <c r="I141" s="5">
        <v>2.5041893244030398E-4</v>
      </c>
      <c r="J141" s="5">
        <v>4.0881384762892802E-5</v>
      </c>
      <c r="K141" s="5">
        <v>6.6645007500376401E-5</v>
      </c>
      <c r="L141" s="5">
        <v>3.48010145575489E-5</v>
      </c>
      <c r="M141" s="5">
        <v>3.4859520010607599E-5</v>
      </c>
      <c r="N141" s="5">
        <v>1.06526819646972E-4</v>
      </c>
      <c r="O141" t="s">
        <v>201</v>
      </c>
      <c r="P141">
        <v>2.96</v>
      </c>
      <c r="Q141">
        <v>561</v>
      </c>
      <c r="R141" t="s">
        <v>24</v>
      </c>
      <c r="S141" t="s">
        <v>24</v>
      </c>
      <c r="T141" t="s">
        <v>24</v>
      </c>
      <c r="U141" t="s">
        <v>25</v>
      </c>
      <c r="V141" t="s">
        <v>26</v>
      </c>
    </row>
    <row r="142" spans="1:22">
      <c r="A142" s="2">
        <f>HYPERLINK("http://hydra.cos.uni-heidelberg.de/cgi-bin/perl/getCephData.pl?clusid=26973",26973)</f>
        <v>26973</v>
      </c>
      <c r="B142" t="s">
        <v>22</v>
      </c>
      <c r="C142" s="5">
        <v>4.33368002773555E-6</v>
      </c>
      <c r="D142" s="5">
        <v>1.8360572089438999E-6</v>
      </c>
      <c r="E142" s="5">
        <v>3.0072774835409099E-6</v>
      </c>
      <c r="F142" s="5">
        <v>1.3751769107796701E-5</v>
      </c>
      <c r="G142" s="5">
        <v>1.8719420199328701E-6</v>
      </c>
      <c r="H142" s="5">
        <v>3.3447937042555301E-6</v>
      </c>
      <c r="I142" s="5">
        <v>4.5047512308620203E-6</v>
      </c>
      <c r="J142" s="5">
        <v>2.0768190774427799E-6</v>
      </c>
      <c r="K142" s="5">
        <v>1.3465501100269799E-6</v>
      </c>
      <c r="L142" s="5">
        <v>2.9070059892940601E-6</v>
      </c>
      <c r="M142" s="5">
        <v>2.6732760744330902E-6</v>
      </c>
      <c r="N142" s="5">
        <v>1.0237029524772899E-5</v>
      </c>
      <c r="O142" t="s">
        <v>202</v>
      </c>
      <c r="P142">
        <v>0.64</v>
      </c>
      <c r="Q142">
        <v>1674</v>
      </c>
      <c r="R142" t="s">
        <v>24</v>
      </c>
      <c r="S142" t="s">
        <v>24</v>
      </c>
      <c r="T142" t="s">
        <v>24</v>
      </c>
      <c r="U142" t="s">
        <v>25</v>
      </c>
      <c r="V142" t="s">
        <v>26</v>
      </c>
    </row>
    <row r="143" spans="1:22">
      <c r="A143" s="2">
        <f>HYPERLINK("http://hydra.cos.uni-heidelberg.de/cgi-bin/perl/getCephData.pl?clusid=3353",3353)</f>
        <v>3353</v>
      </c>
      <c r="B143" t="s">
        <v>22</v>
      </c>
      <c r="C143" s="5">
        <v>1.1112000071116799E-7</v>
      </c>
      <c r="D143" s="5">
        <v>0</v>
      </c>
      <c r="E143" s="5">
        <v>0</v>
      </c>
      <c r="F143" s="5">
        <v>0</v>
      </c>
      <c r="G143" s="5">
        <v>1.8990716144246501E-7</v>
      </c>
      <c r="H143" s="5">
        <v>1.10769142153917E-6</v>
      </c>
      <c r="I143" s="5">
        <v>3.7696663019765797E-8</v>
      </c>
      <c r="J143" s="5">
        <v>4.7127817526586104E-6</v>
      </c>
      <c r="K143" s="5">
        <v>0</v>
      </c>
      <c r="L143" s="5">
        <v>2.6993627043444798E-7</v>
      </c>
      <c r="M143" s="5">
        <v>1.33663803721655E-7</v>
      </c>
      <c r="N143" s="5">
        <v>0</v>
      </c>
      <c r="O143" t="s">
        <v>203</v>
      </c>
      <c r="P143">
        <v>0.82</v>
      </c>
      <c r="Q143">
        <v>552</v>
      </c>
      <c r="R143" t="s">
        <v>24</v>
      </c>
      <c r="S143" t="s">
        <v>24</v>
      </c>
      <c r="T143" t="s">
        <v>24</v>
      </c>
      <c r="U143" t="s">
        <v>25</v>
      </c>
      <c r="V143" t="s">
        <v>26</v>
      </c>
    </row>
    <row r="144" spans="1:22">
      <c r="A144" s="2">
        <f>HYPERLINK("http://hydra.cos.uni-heidelberg.de/cgi-bin/perl/getCephData.pl?clusid=16605",16605)</f>
        <v>16605</v>
      </c>
      <c r="B144" t="s">
        <v>9</v>
      </c>
      <c r="C144" s="5">
        <v>2.4446400156456998E-6</v>
      </c>
      <c r="D144" s="5">
        <v>1.2993635632526101E-6</v>
      </c>
      <c r="E144" s="5">
        <v>5.4386933212973995E-7</v>
      </c>
      <c r="F144" s="5">
        <v>3.81993586327686E-7</v>
      </c>
      <c r="G144" s="5">
        <v>1.0580541851794501E-6</v>
      </c>
      <c r="H144" s="5">
        <v>9.9583630740335204E-6</v>
      </c>
      <c r="I144" s="5">
        <v>7.0115793216764403E-6</v>
      </c>
      <c r="J144" s="5">
        <v>2.6009762615266101E-4</v>
      </c>
      <c r="K144" s="5">
        <v>1.2912124342724399E-7</v>
      </c>
      <c r="L144" s="5">
        <v>1.21575143337976E-5</v>
      </c>
      <c r="M144" s="5">
        <v>1.20297423349489E-6</v>
      </c>
      <c r="N144" s="5">
        <v>8.1678427059358604E-7</v>
      </c>
      <c r="O144" t="s">
        <v>204</v>
      </c>
      <c r="P144">
        <v>0.73</v>
      </c>
      <c r="Q144">
        <v>394</v>
      </c>
      <c r="R144" t="s">
        <v>24</v>
      </c>
      <c r="S144" t="s">
        <v>24</v>
      </c>
      <c r="T144" t="s">
        <v>24</v>
      </c>
      <c r="U144" t="s">
        <v>25</v>
      </c>
      <c r="V144" t="s">
        <v>26</v>
      </c>
    </row>
    <row r="145" spans="1:22">
      <c r="A145" s="2">
        <f>HYPERLINK("http://hydra.cos.uni-heidelberg.de/cgi-bin/perl/getCephData.pl?clusid=17180",17180)</f>
        <v>17180</v>
      </c>
      <c r="B145" t="s">
        <v>22</v>
      </c>
      <c r="C145" s="5">
        <v>2.3335200149345299E-6</v>
      </c>
      <c r="D145" s="5">
        <v>1.41235169918762E-6</v>
      </c>
      <c r="E145" s="5">
        <v>4.15900077510978E-7</v>
      </c>
      <c r="F145" s="5">
        <v>1.3642628083131599E-6</v>
      </c>
      <c r="G145" s="5">
        <v>3.5811064729150599E-6</v>
      </c>
      <c r="H145" s="5">
        <v>1.5637996539376501E-6</v>
      </c>
      <c r="I145" s="5">
        <v>2.6953114059132599E-6</v>
      </c>
      <c r="J145" s="5">
        <v>1.31957889074441E-5</v>
      </c>
      <c r="K145" s="5">
        <v>1.45722546153605E-6</v>
      </c>
      <c r="L145" s="5">
        <v>4.19439435598143E-6</v>
      </c>
      <c r="M145" s="5">
        <v>2.5930777922000998E-6</v>
      </c>
      <c r="N145" s="5">
        <v>1.9421314878558599E-6</v>
      </c>
      <c r="O145" t="s">
        <v>205</v>
      </c>
      <c r="P145">
        <v>0.68</v>
      </c>
      <c r="Q145">
        <v>395</v>
      </c>
      <c r="R145" t="s">
        <v>24</v>
      </c>
      <c r="S145" t="s">
        <v>24</v>
      </c>
      <c r="T145" t="s">
        <v>24</v>
      </c>
      <c r="U145" t="s">
        <v>25</v>
      </c>
      <c r="V145" t="s">
        <v>26</v>
      </c>
    </row>
    <row r="146" spans="1:22">
      <c r="A146" s="2">
        <f>HYPERLINK("http://hydra.cos.uni-heidelberg.de/cgi-bin/perl/getCephData.pl?clusid=28046",28046)</f>
        <v>28046</v>
      </c>
      <c r="B146" t="s">
        <v>22</v>
      </c>
      <c r="C146" s="5">
        <v>3.8892000248908802E-7</v>
      </c>
      <c r="D146" s="5">
        <v>1.12988135935009E-7</v>
      </c>
      <c r="E146" s="5">
        <v>0</v>
      </c>
      <c r="F146" s="5">
        <v>5.4570512332526503E-8</v>
      </c>
      <c r="G146" s="5">
        <v>0</v>
      </c>
      <c r="H146" s="5">
        <v>2.8235271529429798E-7</v>
      </c>
      <c r="I146" s="5">
        <v>9.4241657549414598E-8</v>
      </c>
      <c r="J146" s="5">
        <v>7.8280103688227798E-7</v>
      </c>
      <c r="K146" s="5">
        <v>0</v>
      </c>
      <c r="L146" s="5">
        <v>6.2292985484872694E-8</v>
      </c>
      <c r="M146" s="5">
        <v>5.3465521488661903E-8</v>
      </c>
      <c r="N146" s="5">
        <v>1.45206092549971E-7</v>
      </c>
      <c r="O146" t="s">
        <v>206</v>
      </c>
      <c r="P146">
        <v>0.61</v>
      </c>
      <c r="Q146">
        <v>173</v>
      </c>
      <c r="R146" t="s">
        <v>24</v>
      </c>
      <c r="S146" t="s">
        <v>24</v>
      </c>
      <c r="T146" t="s">
        <v>24</v>
      </c>
      <c r="U146" t="s">
        <v>25</v>
      </c>
      <c r="V146" t="s">
        <v>26</v>
      </c>
    </row>
    <row r="147" spans="1:22">
      <c r="A147" s="2">
        <f>HYPERLINK("http://hydra.cos.uni-heidelberg.de/cgi-bin/perl/getCephData.pl?clusid=5178",5178)</f>
        <v>5178</v>
      </c>
      <c r="B147" t="s">
        <v>22</v>
      </c>
      <c r="C147" s="5">
        <v>1.6279080104186099E-5</v>
      </c>
      <c r="D147" s="5">
        <v>1.72589377640727E-5</v>
      </c>
      <c r="E147" s="5">
        <v>1.10693405245229E-5</v>
      </c>
      <c r="F147" s="5">
        <v>5.78447430724781E-6</v>
      </c>
      <c r="G147" s="5">
        <v>1.12316521195972E-5</v>
      </c>
      <c r="H147" s="5">
        <v>1.4801798113312601E-5</v>
      </c>
      <c r="I147" s="5">
        <v>1.03854306619455E-5</v>
      </c>
      <c r="J147" s="5">
        <v>4.0258339039659999E-6</v>
      </c>
      <c r="K147" s="5">
        <v>1.68595452132145E-5</v>
      </c>
      <c r="L147" s="5">
        <v>1.1275030372762E-5</v>
      </c>
      <c r="M147" s="5">
        <v>1.06129060154994E-5</v>
      </c>
      <c r="N147" s="5">
        <v>1.0745250848697801E-5</v>
      </c>
      <c r="O147" t="s">
        <v>207</v>
      </c>
      <c r="P147">
        <v>0.86</v>
      </c>
      <c r="Q147">
        <v>381</v>
      </c>
      <c r="R147" t="s">
        <v>24</v>
      </c>
      <c r="S147" t="s">
        <v>24</v>
      </c>
      <c r="T147" t="s">
        <v>24</v>
      </c>
      <c r="U147" t="s">
        <v>25</v>
      </c>
      <c r="V147" t="s">
        <v>26</v>
      </c>
    </row>
    <row r="148" spans="1:22">
      <c r="A148" s="2">
        <f>HYPERLINK("http://hydra.cos.uni-heidelberg.de/cgi-bin/perl/getCephData.pl?clusid=3585",3585)</f>
        <v>3585</v>
      </c>
      <c r="B148" t="s">
        <v>22</v>
      </c>
      <c r="C148" s="5">
        <v>1.06397400680943E-5</v>
      </c>
      <c r="D148" s="5">
        <v>5.9318771365879999E-7</v>
      </c>
      <c r="E148" s="5">
        <v>3.1992313654690602E-8</v>
      </c>
      <c r="F148" s="5">
        <v>3.45613244772668E-7</v>
      </c>
      <c r="G148" s="5">
        <v>4.0694391737671101E-7</v>
      </c>
      <c r="H148" s="5">
        <v>1.0208136629870799E-6</v>
      </c>
      <c r="I148" s="5">
        <v>3.7696663019765797E-8</v>
      </c>
      <c r="J148" s="5">
        <v>9.5853188189666703E-8</v>
      </c>
      <c r="K148" s="5">
        <v>3.7998537351446201E-6</v>
      </c>
      <c r="L148" s="5">
        <v>8.5133746829326004E-7</v>
      </c>
      <c r="M148" s="5">
        <v>2.0851553380578099E-6</v>
      </c>
      <c r="N148" s="5">
        <v>4.5376903921865899E-7</v>
      </c>
      <c r="O148" t="s">
        <v>210</v>
      </c>
      <c r="P148">
        <v>0.56999999999999995</v>
      </c>
      <c r="Q148">
        <v>156</v>
      </c>
      <c r="R148" t="s">
        <v>24</v>
      </c>
      <c r="S148" t="s">
        <v>24</v>
      </c>
      <c r="T148" t="s">
        <v>24</v>
      </c>
      <c r="U148" t="s">
        <v>25</v>
      </c>
      <c r="V148" t="s">
        <v>26</v>
      </c>
    </row>
    <row r="149" spans="1:22">
      <c r="A149" s="2">
        <f>HYPERLINK("http://hydra.cos.uni-heidelberg.de/cgi-bin/perl/getCephData.pl?clusid=6562",6562)</f>
        <v>6562</v>
      </c>
      <c r="B149" t="s">
        <v>22</v>
      </c>
      <c r="C149" s="5">
        <v>3.16692002026829E-6</v>
      </c>
      <c r="D149" s="5">
        <v>3.1071737382127602E-7</v>
      </c>
      <c r="E149" s="5">
        <v>4.7988470482035899E-8</v>
      </c>
      <c r="F149" s="5">
        <v>5.4570512332526503E-8</v>
      </c>
      <c r="G149" s="5">
        <v>1.8990716144246499E-6</v>
      </c>
      <c r="H149" s="5">
        <v>1.2054288999102699E-6</v>
      </c>
      <c r="I149" s="5">
        <v>1.3193832056918001E-7</v>
      </c>
      <c r="J149" s="5">
        <v>8.3072763097711096E-7</v>
      </c>
      <c r="K149" s="5">
        <v>2.95134270690845E-7</v>
      </c>
      <c r="L149" s="5">
        <v>1.4327386661520701E-6</v>
      </c>
      <c r="M149" s="5">
        <v>1.4168363194495399E-6</v>
      </c>
      <c r="N149" s="5">
        <v>7.2603046274985501E-8</v>
      </c>
      <c r="O149" t="s">
        <v>211</v>
      </c>
      <c r="P149">
        <v>1.45</v>
      </c>
      <c r="Q149">
        <v>570</v>
      </c>
      <c r="R149" t="s">
        <v>24</v>
      </c>
      <c r="S149" t="s">
        <v>24</v>
      </c>
      <c r="T149" t="s">
        <v>24</v>
      </c>
      <c r="U149" t="s">
        <v>25</v>
      </c>
      <c r="V149" t="s">
        <v>39</v>
      </c>
    </row>
    <row r="150" spans="1:22">
      <c r="A150" s="2">
        <f>HYPERLINK("http://hydra.cos.uni-heidelberg.de/cgi-bin/perl/getCephData.pl?clusid=2560",2560)</f>
        <v>2560</v>
      </c>
      <c r="B150" t="s">
        <v>22</v>
      </c>
      <c r="C150" s="5">
        <v>3.7503000240019198E-6</v>
      </c>
      <c r="D150" s="5">
        <v>3.6721144178878101E-7</v>
      </c>
      <c r="E150" s="5">
        <v>1.7595772510079801E-7</v>
      </c>
      <c r="F150" s="5">
        <v>1.6734957115308101E-6</v>
      </c>
      <c r="G150" s="5">
        <v>2.0347195868835598E-6</v>
      </c>
      <c r="H150" s="5">
        <v>3.4533909024456499E-6</v>
      </c>
      <c r="I150" s="5">
        <v>5.1455945021980398E-6</v>
      </c>
      <c r="J150" s="5">
        <v>9.5853188189666703E-8</v>
      </c>
      <c r="K150" s="5">
        <v>3.5785030321264901E-6</v>
      </c>
      <c r="L150" s="5">
        <v>7.1014003452754799E-6</v>
      </c>
      <c r="M150" s="5">
        <v>5.8812073637528101E-6</v>
      </c>
      <c r="N150" s="5">
        <v>3.6483030753180199E-6</v>
      </c>
      <c r="O150" t="s">
        <v>228</v>
      </c>
      <c r="P150">
        <v>0.61</v>
      </c>
      <c r="Q150">
        <v>280</v>
      </c>
      <c r="R150" t="s">
        <v>24</v>
      </c>
      <c r="S150" t="s">
        <v>24</v>
      </c>
      <c r="T150" t="s">
        <v>24</v>
      </c>
      <c r="U150" t="s">
        <v>25</v>
      </c>
      <c r="V150" t="s">
        <v>26</v>
      </c>
    </row>
    <row r="151" spans="1:22">
      <c r="A151" s="2">
        <f>HYPERLINK("http://hydra.cos.uni-heidelberg.de/cgi-bin/perl/getCephData.pl?clusid=20399",20399)</f>
        <v>20399</v>
      </c>
      <c r="B151" t="s">
        <v>9</v>
      </c>
      <c r="C151" s="5">
        <v>0</v>
      </c>
      <c r="D151" s="5">
        <v>5.6494067967504697E-8</v>
      </c>
      <c r="E151" s="5">
        <v>1.5996156827345301E-8</v>
      </c>
      <c r="F151" s="5">
        <v>4.9477264514824001E-6</v>
      </c>
      <c r="G151" s="5">
        <v>0</v>
      </c>
      <c r="H151" s="5">
        <v>4.3438879276045901E-8</v>
      </c>
      <c r="I151" s="5">
        <v>9.2356824398426301E-7</v>
      </c>
      <c r="J151" s="5">
        <v>2.27331811323159E-5</v>
      </c>
      <c r="K151" s="5">
        <v>1.1067535150906701E-7</v>
      </c>
      <c r="L151" s="5">
        <v>5.1910821237393901E-8</v>
      </c>
      <c r="M151" s="5">
        <v>0</v>
      </c>
      <c r="N151" s="5">
        <v>6.7157817804361499E-7</v>
      </c>
      <c r="O151" t="s">
        <v>232</v>
      </c>
      <c r="P151">
        <v>0.8</v>
      </c>
      <c r="Q151">
        <v>617</v>
      </c>
      <c r="R151" t="s">
        <v>24</v>
      </c>
      <c r="S151" t="s">
        <v>24</v>
      </c>
      <c r="T151" t="s">
        <v>24</v>
      </c>
      <c r="U151" t="s">
        <v>25</v>
      </c>
      <c r="V151" t="s">
        <v>39</v>
      </c>
    </row>
    <row r="152" spans="1:22">
      <c r="A152" s="2">
        <f>HYPERLINK("http://hydra.cos.uni-heidelberg.de/cgi-bin/perl/getCephData.pl?clusid=21149",21149)</f>
        <v>21149</v>
      </c>
      <c r="B152" t="s">
        <v>22</v>
      </c>
      <c r="C152" s="5">
        <v>2.36213341511765E-4</v>
      </c>
      <c r="D152" s="5">
        <v>3.1862654333672702E-5</v>
      </c>
      <c r="E152" s="5">
        <v>1.78741056388756E-4</v>
      </c>
      <c r="F152" s="5">
        <v>1.9490767988100701E-4</v>
      </c>
      <c r="G152" s="5">
        <v>1.27563353300353E-4</v>
      </c>
      <c r="H152" s="5">
        <v>6.4702210681670397E-5</v>
      </c>
      <c r="I152" s="5">
        <v>1.4664001914688899E-5</v>
      </c>
      <c r="J152" s="5">
        <v>5.1441210995121102E-6</v>
      </c>
      <c r="K152" s="5">
        <v>6.03918501401141E-5</v>
      </c>
      <c r="L152" s="5">
        <v>4.5608847539174301E-5</v>
      </c>
      <c r="M152" s="5">
        <v>1.57589624587831E-4</v>
      </c>
      <c r="N152" s="5">
        <v>3.7699131778286199E-5</v>
      </c>
      <c r="O152" t="s">
        <v>236</v>
      </c>
      <c r="P152">
        <v>0.97</v>
      </c>
      <c r="Q152">
        <v>493</v>
      </c>
      <c r="R152" t="s">
        <v>24</v>
      </c>
      <c r="S152" t="s">
        <v>24</v>
      </c>
      <c r="T152" t="s">
        <v>24</v>
      </c>
      <c r="U152" t="s">
        <v>25</v>
      </c>
      <c r="V152" t="s">
        <v>26</v>
      </c>
    </row>
    <row r="153" spans="1:22">
      <c r="A153" s="2">
        <f>HYPERLINK("http://hydra.cos.uni-heidelberg.de/cgi-bin/perl/getCephData.pl?clusid=6819",6819)</f>
        <v>6819</v>
      </c>
      <c r="B153" t="s">
        <v>22</v>
      </c>
      <c r="C153" s="5">
        <v>1.7501400112008999E-5</v>
      </c>
      <c r="D153" s="5">
        <v>1.21462246130135E-6</v>
      </c>
      <c r="E153" s="5">
        <v>2.0858988502858299E-5</v>
      </c>
      <c r="F153" s="5">
        <v>6.4575106260156403E-6</v>
      </c>
      <c r="G153" s="5">
        <v>6.2398067331095804E-6</v>
      </c>
      <c r="H153" s="5">
        <v>1.3031663782813801E-5</v>
      </c>
      <c r="I153" s="5">
        <v>2.4796864934402001E-4</v>
      </c>
      <c r="J153" s="5">
        <v>3.5513606224271503E-5</v>
      </c>
      <c r="K153" s="5">
        <v>6.5353795066103905E-5</v>
      </c>
      <c r="L153" s="5">
        <v>7.8904448280838701E-6</v>
      </c>
      <c r="M153" s="5">
        <v>1.18426130097386E-5</v>
      </c>
      <c r="N153" s="5">
        <v>3.5965734048470899E-4</v>
      </c>
      <c r="O153" t="s">
        <v>237</v>
      </c>
      <c r="P153">
        <v>0.62</v>
      </c>
      <c r="Q153">
        <v>323</v>
      </c>
      <c r="R153" t="s">
        <v>24</v>
      </c>
      <c r="S153" t="s">
        <v>24</v>
      </c>
      <c r="T153" t="s">
        <v>24</v>
      </c>
      <c r="U153" t="s">
        <v>25</v>
      </c>
      <c r="V153" t="s">
        <v>26</v>
      </c>
    </row>
    <row r="154" spans="1:22">
      <c r="A154" s="2">
        <f>HYPERLINK("http://hydra.cos.uni-heidelberg.de/cgi-bin/perl/getCephData.pl?clusid=20910",20910)</f>
        <v>20910</v>
      </c>
      <c r="B154" t="s">
        <v>13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4.1528656989915101E-8</v>
      </c>
      <c r="M154" s="5">
        <v>0</v>
      </c>
      <c r="N154" s="5">
        <v>2.0457723364134E-4</v>
      </c>
      <c r="O154" t="s">
        <v>238</v>
      </c>
      <c r="P154">
        <v>0.6</v>
      </c>
      <c r="Q154">
        <v>227</v>
      </c>
      <c r="R154" t="s">
        <v>24</v>
      </c>
      <c r="S154" t="s">
        <v>24</v>
      </c>
      <c r="T154" t="s">
        <v>24</v>
      </c>
      <c r="U154" t="s">
        <v>25</v>
      </c>
      <c r="V154" t="s">
        <v>39</v>
      </c>
    </row>
    <row r="155" spans="1:22">
      <c r="A155" s="2">
        <f>HYPERLINK("http://hydra.cos.uni-heidelberg.de/cgi-bin/perl/getCephData.pl?clusid=25705",25705)</f>
        <v>25705</v>
      </c>
      <c r="B155" t="s">
        <v>22</v>
      </c>
      <c r="C155" s="5">
        <v>4.1670000266688002E-7</v>
      </c>
      <c r="D155" s="5">
        <v>1.9490453448789098E-6</v>
      </c>
      <c r="E155" s="5">
        <v>1.06374442901846E-5</v>
      </c>
      <c r="F155" s="5">
        <v>1.7153331043190802E-5</v>
      </c>
      <c r="G155" s="5">
        <v>1.09874857691712E-5</v>
      </c>
      <c r="H155" s="5">
        <v>4.01809633303425E-7</v>
      </c>
      <c r="I155" s="5">
        <v>7.4639392779136298E-5</v>
      </c>
      <c r="J155" s="5">
        <v>0</v>
      </c>
      <c r="K155" s="5">
        <v>2.6414517226830601E-5</v>
      </c>
      <c r="L155" s="5">
        <v>6.2292985484872699E-7</v>
      </c>
      <c r="M155" s="5">
        <v>2.6732760744330999E-7</v>
      </c>
      <c r="N155" s="5">
        <v>1.48382475824502E-4</v>
      </c>
      <c r="O155" t="s">
        <v>239</v>
      </c>
      <c r="P155">
        <v>0.68</v>
      </c>
      <c r="Q155">
        <v>870</v>
      </c>
      <c r="R155" t="s">
        <v>24</v>
      </c>
      <c r="S155" t="s">
        <v>24</v>
      </c>
      <c r="T155" t="s">
        <v>24</v>
      </c>
      <c r="U155" t="s">
        <v>25</v>
      </c>
      <c r="V155" t="s">
        <v>39</v>
      </c>
    </row>
    <row r="156" spans="1:22">
      <c r="A156" s="2">
        <f>HYPERLINK("http://hydra.cos.uni-heidelberg.de/cgi-bin/perl/getCephData.pl?clusid=8391",8391)</f>
        <v>8391</v>
      </c>
      <c r="B156" t="s">
        <v>9</v>
      </c>
      <c r="C156" s="5">
        <v>1.6084620102941601E-5</v>
      </c>
      <c r="D156" s="5">
        <v>2.4009978886189502E-6</v>
      </c>
      <c r="E156" s="5">
        <v>1.7275849373532899E-6</v>
      </c>
      <c r="F156" s="5">
        <v>4.9113461099273905E-7</v>
      </c>
      <c r="G156" s="5">
        <v>1.32935013009726E-6</v>
      </c>
      <c r="H156" s="5">
        <v>4.4416254059756902E-6</v>
      </c>
      <c r="I156" s="5">
        <v>1.39477653173134E-6</v>
      </c>
      <c r="J156" s="5">
        <v>8.9855973715266503E-4</v>
      </c>
      <c r="K156" s="5">
        <v>1.1067535150906701E-7</v>
      </c>
      <c r="L156" s="5">
        <v>1.32891702367728E-6</v>
      </c>
      <c r="M156" s="5">
        <v>4.5445693265362599E-7</v>
      </c>
      <c r="N156" s="5">
        <v>1.28870407138099E-6</v>
      </c>
      <c r="O156" t="s">
        <v>240</v>
      </c>
      <c r="P156">
        <v>1.1299999999999999</v>
      </c>
      <c r="Q156">
        <v>367</v>
      </c>
      <c r="R156" t="s">
        <v>24</v>
      </c>
      <c r="S156" t="s">
        <v>24</v>
      </c>
      <c r="T156" t="s">
        <v>24</v>
      </c>
      <c r="U156" t="s">
        <v>25</v>
      </c>
      <c r="V156" t="s">
        <v>26</v>
      </c>
    </row>
    <row r="157" spans="1:22">
      <c r="A157" s="2">
        <f>HYPERLINK("http://hydra.cos.uni-heidelberg.de/cgi-bin/perl/getCephData.pl?clusid=6697",6697)</f>
        <v>6697</v>
      </c>
      <c r="B157" t="s">
        <v>22</v>
      </c>
      <c r="C157" s="5">
        <v>6.9755580446435707E-5</v>
      </c>
      <c r="D157" s="5">
        <v>3.1919148401640198E-6</v>
      </c>
      <c r="E157" s="5">
        <v>1.40606218512365E-5</v>
      </c>
      <c r="F157" s="5">
        <v>5.0423153395254501E-5</v>
      </c>
      <c r="G157" s="5">
        <v>4.9375861975041001E-5</v>
      </c>
      <c r="H157" s="5">
        <v>2.57592554106952E-5</v>
      </c>
      <c r="I157" s="5">
        <v>2.5671427516460501E-5</v>
      </c>
      <c r="J157" s="5">
        <v>8.6747135311648294E-6</v>
      </c>
      <c r="K157" s="5">
        <v>1.4812051210296799E-5</v>
      </c>
      <c r="L157" s="5">
        <v>1.6388246264645201E-4</v>
      </c>
      <c r="M157" s="5">
        <v>6.2180401491313805E-5</v>
      </c>
      <c r="N157" s="5">
        <v>2.8297037285675598E-5</v>
      </c>
      <c r="O157" t="s">
        <v>243</v>
      </c>
      <c r="P157">
        <v>0.75</v>
      </c>
      <c r="Q157">
        <v>270</v>
      </c>
      <c r="R157" t="s">
        <v>24</v>
      </c>
      <c r="S157" t="s">
        <v>24</v>
      </c>
      <c r="T157" t="s">
        <v>24</v>
      </c>
      <c r="U157" t="s">
        <v>25</v>
      </c>
      <c r="V157" t="s">
        <v>26</v>
      </c>
    </row>
    <row r="158" spans="1:22">
      <c r="A158" s="2">
        <f>HYPERLINK("http://hydra.cos.uni-heidelberg.de/cgi-bin/perl/getCephData.pl?clusid=21340",21340)</f>
        <v>21340</v>
      </c>
      <c r="B158" t="s">
        <v>22</v>
      </c>
      <c r="C158" s="5">
        <v>3.8892000248908802E-7</v>
      </c>
      <c r="D158" s="5">
        <v>1.9772923788626701E-7</v>
      </c>
      <c r="E158" s="5">
        <v>0</v>
      </c>
      <c r="F158" s="5">
        <v>5.2205790131450396E-6</v>
      </c>
      <c r="G158" s="5">
        <v>2.9842553940958799E-7</v>
      </c>
      <c r="H158" s="5">
        <v>1.6289579728517199E-7</v>
      </c>
      <c r="I158" s="5">
        <v>5.4660161378660499E-7</v>
      </c>
      <c r="J158" s="5">
        <v>0</v>
      </c>
      <c r="K158" s="5">
        <v>3.6891783836355598E-8</v>
      </c>
      <c r="L158" s="5">
        <v>2.6993627043444798E-7</v>
      </c>
      <c r="M158" s="5">
        <v>5.6138797563095001E-7</v>
      </c>
      <c r="N158" s="5">
        <v>0</v>
      </c>
      <c r="O158" t="s">
        <v>244</v>
      </c>
      <c r="P158">
        <v>0.8</v>
      </c>
      <c r="Q158">
        <v>290</v>
      </c>
      <c r="R158" t="s">
        <v>24</v>
      </c>
      <c r="S158" t="s">
        <v>24</v>
      </c>
      <c r="T158" t="s">
        <v>24</v>
      </c>
      <c r="U158" t="s">
        <v>25</v>
      </c>
      <c r="V158" t="s">
        <v>26</v>
      </c>
    </row>
    <row r="159" spans="1:22">
      <c r="A159" s="2">
        <f>HYPERLINK("http://hydra.cos.uni-heidelberg.de/cgi-bin/perl/getCephData.pl?clusid=9691",9691)</f>
        <v>9691</v>
      </c>
      <c r="B159" t="s">
        <v>9</v>
      </c>
      <c r="C159" s="5">
        <v>1.19454000764506E-6</v>
      </c>
      <c r="D159" s="5">
        <v>2.5422330585377102E-7</v>
      </c>
      <c r="E159" s="5">
        <v>1.11973097791417E-7</v>
      </c>
      <c r="F159" s="5">
        <v>7.0941666032284504E-7</v>
      </c>
      <c r="G159" s="5">
        <v>8.1388783475342296E-7</v>
      </c>
      <c r="H159" s="5">
        <v>1.16199002063423E-6</v>
      </c>
      <c r="I159" s="5">
        <v>1.6398048413598099E-6</v>
      </c>
      <c r="J159" s="5">
        <v>3.2094842512173398E-5</v>
      </c>
      <c r="K159" s="5">
        <v>4.61147297954445E-7</v>
      </c>
      <c r="L159" s="5">
        <v>1.3704456806672E-6</v>
      </c>
      <c r="M159" s="5">
        <v>1.1227759512619E-6</v>
      </c>
      <c r="N159" s="5">
        <v>6.1712589333737597E-7</v>
      </c>
      <c r="O159" t="s">
        <v>255</v>
      </c>
      <c r="P159">
        <v>0.94</v>
      </c>
      <c r="Q159">
        <v>112</v>
      </c>
      <c r="R159" t="s">
        <v>24</v>
      </c>
      <c r="S159" t="s">
        <v>24</v>
      </c>
      <c r="T159" t="s">
        <v>24</v>
      </c>
      <c r="U159" t="s">
        <v>25</v>
      </c>
      <c r="V159" t="s">
        <v>26</v>
      </c>
    </row>
    <row r="160" spans="1:22">
      <c r="A160" s="2">
        <f>HYPERLINK("http://hydra.cos.uni-heidelberg.de/cgi-bin/perl/getCephData.pl?clusid=10194",10194)</f>
        <v>10194</v>
      </c>
      <c r="B160" t="s">
        <v>22</v>
      </c>
      <c r="C160" s="5">
        <v>4.8337200309358096E-6</v>
      </c>
      <c r="D160" s="5">
        <v>4.8019957772379E-7</v>
      </c>
      <c r="E160" s="5">
        <v>3.5191545020159601E-7</v>
      </c>
      <c r="F160" s="5">
        <v>2.8467617266801299E-5</v>
      </c>
      <c r="G160" s="5">
        <v>1.2750909411136999E-6</v>
      </c>
      <c r="H160" s="5">
        <v>5.7447917842570697E-6</v>
      </c>
      <c r="I160" s="5">
        <v>3.6000313183876401E-6</v>
      </c>
      <c r="J160" s="5">
        <v>6.9062222090654905E-5</v>
      </c>
      <c r="K160" s="5">
        <v>3.320260545272E-7</v>
      </c>
      <c r="L160" s="5">
        <v>5.5233113796587104E-6</v>
      </c>
      <c r="M160" s="5">
        <v>3.7425865042063302E-6</v>
      </c>
      <c r="N160" s="5">
        <v>4.0839213529679303E-6</v>
      </c>
      <c r="O160" t="s">
        <v>256</v>
      </c>
      <c r="P160">
        <v>0.68</v>
      </c>
      <c r="Q160">
        <v>886</v>
      </c>
      <c r="R160" t="s">
        <v>24</v>
      </c>
      <c r="S160" t="s">
        <v>24</v>
      </c>
      <c r="T160" t="s">
        <v>24</v>
      </c>
      <c r="U160" t="s">
        <v>25</v>
      </c>
      <c r="V160" t="s">
        <v>26</v>
      </c>
    </row>
    <row r="161" spans="1:22">
      <c r="A161" s="2">
        <f>HYPERLINK("http://hydra.cos.uni-heidelberg.de/cgi-bin/perl/getCephData.pl?clusid=20278",20278)</f>
        <v>20278</v>
      </c>
      <c r="B161" t="s">
        <v>22</v>
      </c>
      <c r="C161" s="5">
        <v>3.0808020197171301E-5</v>
      </c>
      <c r="D161" s="5">
        <v>1.1016343253663399E-6</v>
      </c>
      <c r="E161" s="5">
        <v>4.3829469706926103E-6</v>
      </c>
      <c r="F161" s="5">
        <v>6.54846147990318E-6</v>
      </c>
      <c r="G161" s="5">
        <v>2.8377555838402699E-5</v>
      </c>
      <c r="H161" s="5">
        <v>1.3639808092678399E-5</v>
      </c>
      <c r="I161" s="5">
        <v>1.32880737144675E-5</v>
      </c>
      <c r="J161" s="5">
        <v>3.19510627298889E-7</v>
      </c>
      <c r="K161" s="5">
        <v>4.6299188714626196E-6</v>
      </c>
      <c r="L161" s="5">
        <v>3.3648594326078701E-5</v>
      </c>
      <c r="M161" s="5">
        <v>4.9535805659245202E-5</v>
      </c>
      <c r="N161" s="5">
        <v>9.07538078437318E-6</v>
      </c>
      <c r="O161" t="s">
        <v>257</v>
      </c>
      <c r="P161">
        <v>0.52</v>
      </c>
      <c r="Q161">
        <v>118</v>
      </c>
      <c r="R161" t="s">
        <v>24</v>
      </c>
      <c r="S161" t="s">
        <v>24</v>
      </c>
      <c r="T161" t="s">
        <v>24</v>
      </c>
      <c r="U161" t="s">
        <v>25</v>
      </c>
      <c r="V161" t="s">
        <v>26</v>
      </c>
    </row>
    <row r="162" spans="1:22">
      <c r="A162" s="2">
        <f>HYPERLINK("http://hydra.cos.uni-heidelberg.de/cgi-bin/perl/getCephData.pl?clusid=2336",2336)</f>
        <v>2336</v>
      </c>
      <c r="B162" t="s">
        <v>22</v>
      </c>
      <c r="C162" s="5">
        <v>1.22509800784063E-5</v>
      </c>
      <c r="D162" s="5">
        <v>1.2428694952851E-6</v>
      </c>
      <c r="E162" s="5">
        <v>2.7513389743033902E-6</v>
      </c>
      <c r="F162" s="5">
        <v>1.7080570360080799E-5</v>
      </c>
      <c r="G162" s="5">
        <v>1.80954395260178E-5</v>
      </c>
      <c r="H162" s="5">
        <v>1.2716731908062401E-5</v>
      </c>
      <c r="I162" s="5">
        <v>1.8640999863274201E-5</v>
      </c>
      <c r="J162" s="5">
        <v>5.7511912913800001E-6</v>
      </c>
      <c r="K162" s="5">
        <v>6.5851834147894697E-6</v>
      </c>
      <c r="L162" s="5">
        <v>2.48445190442167E-5</v>
      </c>
      <c r="M162" s="5">
        <v>1.05594404940107E-5</v>
      </c>
      <c r="N162" s="5">
        <v>1.1289773695760199E-5</v>
      </c>
      <c r="O162" t="s">
        <v>258</v>
      </c>
      <c r="P162">
        <v>0.56000000000000005</v>
      </c>
      <c r="Q162">
        <v>886</v>
      </c>
      <c r="R162" t="s">
        <v>24</v>
      </c>
      <c r="S162" t="s">
        <v>24</v>
      </c>
      <c r="T162" t="s">
        <v>24</v>
      </c>
      <c r="U162" t="s">
        <v>25</v>
      </c>
      <c r="V162" t="s">
        <v>26</v>
      </c>
    </row>
    <row r="163" spans="1:22">
      <c r="A163" s="2">
        <f>HYPERLINK("http://hydra.cos.uni-heidelberg.de/cgi-bin/perl/getCephData.pl?clusid=3103",3103)</f>
        <v>3103</v>
      </c>
      <c r="B163" t="s">
        <v>6</v>
      </c>
      <c r="C163" s="5">
        <v>1.3890000088896E-7</v>
      </c>
      <c r="D163" s="5">
        <v>1.6948220390251401E-7</v>
      </c>
      <c r="E163" s="5">
        <v>0</v>
      </c>
      <c r="F163" s="5">
        <v>1.6371153699757999E-7</v>
      </c>
      <c r="G163" s="5">
        <v>1.3147272786661901E-3</v>
      </c>
      <c r="H163" s="5">
        <v>3.2579159457034399E-7</v>
      </c>
      <c r="I163" s="5">
        <v>0</v>
      </c>
      <c r="J163" s="5">
        <v>1.59755313649444E-8</v>
      </c>
      <c r="K163" s="5">
        <v>1.8445891918177799E-8</v>
      </c>
      <c r="L163" s="5">
        <v>4.1528656989915101E-8</v>
      </c>
      <c r="M163" s="5">
        <v>2.1386208595464801E-7</v>
      </c>
      <c r="N163" s="5">
        <v>7.2603046274985395E-8</v>
      </c>
      <c r="O163" t="s">
        <v>259</v>
      </c>
      <c r="P163">
        <v>0.5</v>
      </c>
      <c r="Q163">
        <v>173</v>
      </c>
      <c r="R163" t="s">
        <v>24</v>
      </c>
      <c r="S163" t="s">
        <v>24</v>
      </c>
      <c r="T163" t="s">
        <v>24</v>
      </c>
      <c r="U163" t="s">
        <v>25</v>
      </c>
      <c r="V163" t="s">
        <v>26</v>
      </c>
    </row>
    <row r="164" spans="1:22">
      <c r="A164" s="2">
        <f>HYPERLINK("http://hydra.cos.uni-heidelberg.de/cgi-bin/perl/getCephData.pl?clusid=12707",12707)</f>
        <v>12707</v>
      </c>
      <c r="B164" t="s">
        <v>22</v>
      </c>
      <c r="C164" s="5">
        <v>0</v>
      </c>
      <c r="D164" s="5">
        <v>0</v>
      </c>
      <c r="E164" s="5">
        <v>0</v>
      </c>
      <c r="F164" s="5">
        <v>7.2760683110035404E-8</v>
      </c>
      <c r="G164" s="5">
        <v>1.08518377967123E-7</v>
      </c>
      <c r="H164" s="5">
        <v>1.52036077466161E-7</v>
      </c>
      <c r="I164" s="5">
        <v>0</v>
      </c>
      <c r="J164" s="5">
        <v>7.9877656824722203E-7</v>
      </c>
      <c r="K164" s="5">
        <v>0</v>
      </c>
      <c r="L164" s="5">
        <v>1.3496813521722399E-7</v>
      </c>
      <c r="M164" s="5">
        <v>2.6732760744330999E-7</v>
      </c>
      <c r="N164" s="5">
        <v>6.1712589333737597E-7</v>
      </c>
      <c r="O164" t="s">
        <v>260</v>
      </c>
      <c r="P164">
        <v>0.71</v>
      </c>
      <c r="Q164">
        <v>249</v>
      </c>
      <c r="R164" t="s">
        <v>24</v>
      </c>
      <c r="S164" t="s">
        <v>24</v>
      </c>
      <c r="T164" t="s">
        <v>24</v>
      </c>
      <c r="U164" t="s">
        <v>25</v>
      </c>
      <c r="V164" t="s">
        <v>26</v>
      </c>
    </row>
    <row r="165" spans="1:22">
      <c r="A165" s="2">
        <f>HYPERLINK("http://hydra.cos.uni-heidelberg.de/cgi-bin/perl/getCephData.pl?clusid=16016",16016)</f>
        <v>16016</v>
      </c>
      <c r="B165" t="s">
        <v>22</v>
      </c>
      <c r="C165" s="5">
        <v>5.5560000355583997E-8</v>
      </c>
      <c r="D165" s="5">
        <v>5.6494067967504697E-8</v>
      </c>
      <c r="E165" s="5">
        <v>0</v>
      </c>
      <c r="F165" s="5">
        <v>1.0732200758730199E-6</v>
      </c>
      <c r="G165" s="5">
        <v>1.81768283094931E-6</v>
      </c>
      <c r="H165" s="5">
        <v>8.6877758552091801E-8</v>
      </c>
      <c r="I165" s="5">
        <v>2.2617997811859499E-7</v>
      </c>
      <c r="J165" s="5">
        <v>0</v>
      </c>
      <c r="K165" s="5">
        <v>9.2229459590888896E-8</v>
      </c>
      <c r="L165" s="5">
        <v>1.1140062237544699E-5</v>
      </c>
      <c r="M165" s="5">
        <v>1.0265380125823101E-5</v>
      </c>
      <c r="N165" s="5">
        <v>1.2705533098122499E-7</v>
      </c>
      <c r="O165" t="s">
        <v>261</v>
      </c>
      <c r="P165">
        <v>0.88</v>
      </c>
      <c r="Q165">
        <v>461</v>
      </c>
      <c r="R165" t="s">
        <v>24</v>
      </c>
      <c r="S165" t="s">
        <v>24</v>
      </c>
      <c r="T165" t="s">
        <v>24</v>
      </c>
      <c r="U165" t="s">
        <v>25</v>
      </c>
      <c r="V165" t="s">
        <v>26</v>
      </c>
    </row>
    <row r="166" spans="1:22">
      <c r="A166" s="2">
        <f>HYPERLINK("http://hydra.cos.uni-heidelberg.de/cgi-bin/perl/getCephData.pl?clusid=17599",17599)</f>
        <v>17599</v>
      </c>
      <c r="B166" t="s">
        <v>22</v>
      </c>
      <c r="C166" s="5">
        <v>4.1670000266688002E-7</v>
      </c>
      <c r="D166" s="5">
        <v>1.12988135935009E-7</v>
      </c>
      <c r="E166" s="5">
        <v>4.4789239116566801E-7</v>
      </c>
      <c r="F166" s="5">
        <v>6.9122648954533601E-7</v>
      </c>
      <c r="G166" s="5">
        <v>4.6120310636027299E-7</v>
      </c>
      <c r="H166" s="5">
        <v>6.2986374950266598E-7</v>
      </c>
      <c r="I166" s="5">
        <v>1.67750150437958E-5</v>
      </c>
      <c r="J166" s="5">
        <v>2.2365743910922199E-7</v>
      </c>
      <c r="K166" s="5">
        <v>3.4124900048628899E-6</v>
      </c>
      <c r="L166" s="5">
        <v>2.6993627043444798E-7</v>
      </c>
      <c r="M166" s="5">
        <v>1.60396564465986E-7</v>
      </c>
      <c r="N166" s="5">
        <v>8.9664762149606996E-6</v>
      </c>
      <c r="O166" t="s">
        <v>262</v>
      </c>
      <c r="P166">
        <v>0.53</v>
      </c>
      <c r="Q166">
        <v>157</v>
      </c>
      <c r="R166" t="s">
        <v>24</v>
      </c>
      <c r="S166" t="s">
        <v>24</v>
      </c>
      <c r="T166" t="s">
        <v>24</v>
      </c>
      <c r="U166" t="s">
        <v>25</v>
      </c>
      <c r="V166" t="s">
        <v>26</v>
      </c>
    </row>
    <row r="167" spans="1:22">
      <c r="A167" s="2">
        <f>HYPERLINK("http://hydra.cos.uni-heidelberg.de/cgi-bin/perl/getCephData.pl?clusid=21184",21184)</f>
        <v>21184</v>
      </c>
      <c r="B167" t="s">
        <v>22</v>
      </c>
      <c r="C167" s="5">
        <v>2.9446800188459501E-6</v>
      </c>
      <c r="D167" s="5">
        <v>0</v>
      </c>
      <c r="E167" s="5">
        <v>1.31168485984231E-6</v>
      </c>
      <c r="F167" s="5">
        <v>1.8372072485283899E-6</v>
      </c>
      <c r="G167" s="5">
        <v>0</v>
      </c>
      <c r="H167" s="5">
        <v>1.4334830161095101E-6</v>
      </c>
      <c r="I167" s="5">
        <v>0</v>
      </c>
      <c r="J167" s="5">
        <v>0</v>
      </c>
      <c r="K167" s="5">
        <v>0</v>
      </c>
      <c r="L167" s="5">
        <v>1.6403819511016499E-6</v>
      </c>
      <c r="M167" s="5">
        <v>6.4158625786394297E-6</v>
      </c>
      <c r="N167" s="5">
        <v>0</v>
      </c>
      <c r="O167" t="s">
        <v>266</v>
      </c>
      <c r="P167">
        <v>0.74</v>
      </c>
      <c r="Q167">
        <v>500</v>
      </c>
      <c r="R167" t="s">
        <v>24</v>
      </c>
      <c r="S167" t="s">
        <v>24</v>
      </c>
      <c r="T167" t="s">
        <v>24</v>
      </c>
      <c r="U167" t="s">
        <v>25</v>
      </c>
      <c r="V167" t="s">
        <v>39</v>
      </c>
    </row>
    <row r="168" spans="1:22">
      <c r="A168" s="2">
        <f>HYPERLINK("http://hydra.cos.uni-heidelberg.de/cgi-bin/perl/getCephData.pl?clusid=2325",2325)</f>
        <v>2325</v>
      </c>
      <c r="B168" t="s">
        <v>5</v>
      </c>
      <c r="C168" s="5">
        <v>0</v>
      </c>
      <c r="D168" s="5">
        <v>0</v>
      </c>
      <c r="E168" s="5">
        <v>0</v>
      </c>
      <c r="F168" s="5">
        <v>5.6389529410277399E-7</v>
      </c>
      <c r="G168" s="5">
        <v>0</v>
      </c>
      <c r="H168" s="5">
        <v>0</v>
      </c>
      <c r="I168" s="5">
        <v>0</v>
      </c>
      <c r="J168" s="5">
        <v>0</v>
      </c>
      <c r="K168" s="5">
        <v>7.3783567672711103E-8</v>
      </c>
      <c r="L168" s="5">
        <v>0</v>
      </c>
      <c r="M168" s="5">
        <v>0</v>
      </c>
      <c r="N168" s="5">
        <v>0</v>
      </c>
      <c r="O168" t="s">
        <v>267</v>
      </c>
      <c r="P168">
        <v>0.57999999999999996</v>
      </c>
      <c r="Q168">
        <v>146</v>
      </c>
      <c r="R168" t="s">
        <v>24</v>
      </c>
      <c r="S168" t="s">
        <v>24</v>
      </c>
      <c r="T168" t="s">
        <v>24</v>
      </c>
      <c r="U168" t="s">
        <v>25</v>
      </c>
      <c r="V168" t="s">
        <v>26</v>
      </c>
    </row>
    <row r="169" spans="1:22">
      <c r="A169" s="2">
        <f>HYPERLINK("http://hydra.cos.uni-heidelberg.de/cgi-bin/perl/getCephData.pl?clusid=25488",25488)</f>
        <v>25488</v>
      </c>
      <c r="B169" t="s">
        <v>22</v>
      </c>
      <c r="C169" s="5">
        <v>2.1446160137255399E-5</v>
      </c>
      <c r="D169" s="5">
        <v>8.1068987533369305E-6</v>
      </c>
      <c r="E169" s="5">
        <v>9.0538247642774305E-6</v>
      </c>
      <c r="F169" s="5">
        <v>1.0204685806182499E-5</v>
      </c>
      <c r="G169" s="5">
        <v>1.1475818470023301E-5</v>
      </c>
      <c r="H169" s="5">
        <v>2.7637986939384201E-5</v>
      </c>
      <c r="I169" s="5">
        <v>3.3681968408160803E-5</v>
      </c>
      <c r="J169" s="5">
        <v>1.5432363298536298E-5</v>
      </c>
      <c r="K169" s="5">
        <v>1.4738267642624101E-5</v>
      </c>
      <c r="L169" s="5">
        <v>2.3640187991509201E-5</v>
      </c>
      <c r="M169" s="5">
        <v>2.1332743073976101E-5</v>
      </c>
      <c r="N169" s="5">
        <v>3.4740557642580498E-5</v>
      </c>
      <c r="O169" t="s">
        <v>268</v>
      </c>
      <c r="P169">
        <v>0.52</v>
      </c>
      <c r="Q169">
        <v>121</v>
      </c>
      <c r="R169" t="s">
        <v>24</v>
      </c>
      <c r="S169" t="s">
        <v>24</v>
      </c>
      <c r="T169" t="s">
        <v>24</v>
      </c>
      <c r="U169" t="s">
        <v>25</v>
      </c>
      <c r="V169" t="s">
        <v>26</v>
      </c>
    </row>
    <row r="170" spans="1:22">
      <c r="A170" s="2">
        <f>HYPERLINK("http://hydra.cos.uni-heidelberg.de/cgi-bin/perl/getCephData.pl?clusid=27340",27340)</f>
        <v>27340</v>
      </c>
      <c r="B170" t="s">
        <v>9</v>
      </c>
      <c r="C170" s="5">
        <v>2.7780000177791999E-8</v>
      </c>
      <c r="D170" s="5">
        <v>0</v>
      </c>
      <c r="E170" s="5">
        <v>0</v>
      </c>
      <c r="F170" s="5">
        <v>0</v>
      </c>
      <c r="G170" s="5">
        <v>1.62777566950685E-7</v>
      </c>
      <c r="H170" s="5">
        <v>0</v>
      </c>
      <c r="I170" s="5">
        <v>0</v>
      </c>
      <c r="J170" s="5">
        <v>2.4875499888355E-4</v>
      </c>
      <c r="K170" s="5">
        <v>0</v>
      </c>
      <c r="L170" s="5">
        <v>0</v>
      </c>
      <c r="M170" s="5">
        <v>0</v>
      </c>
      <c r="N170" s="5">
        <v>0</v>
      </c>
      <c r="O170" t="s">
        <v>269</v>
      </c>
      <c r="P170">
        <v>0.68</v>
      </c>
      <c r="Q170">
        <v>396</v>
      </c>
      <c r="R170" t="s">
        <v>24</v>
      </c>
      <c r="S170" t="s">
        <v>24</v>
      </c>
      <c r="T170" t="s">
        <v>24</v>
      </c>
      <c r="U170" t="s">
        <v>25</v>
      </c>
      <c r="V170" t="s">
        <v>26</v>
      </c>
    </row>
    <row r="171" spans="1:22">
      <c r="A171" s="2">
        <f>HYPERLINK("http://hydra.cos.uni-heidelberg.de/cgi-bin/perl/getCephData.pl?clusid=4225",4225)</f>
        <v>4225</v>
      </c>
      <c r="B171" t="s">
        <v>7</v>
      </c>
      <c r="C171" s="5">
        <v>4.0864380261532E-5</v>
      </c>
      <c r="D171" s="5">
        <v>0</v>
      </c>
      <c r="E171" s="5">
        <v>0</v>
      </c>
      <c r="F171" s="5">
        <v>2.0009187855259701E-7</v>
      </c>
      <c r="G171" s="5">
        <v>0</v>
      </c>
      <c r="H171" s="5">
        <v>1.38939255364433E-3</v>
      </c>
      <c r="I171" s="5">
        <v>0</v>
      </c>
      <c r="J171" s="5">
        <v>1.59755313649444E-8</v>
      </c>
      <c r="K171" s="5">
        <v>3.6891783836355598E-8</v>
      </c>
      <c r="L171" s="5">
        <v>8.20190975550823E-5</v>
      </c>
      <c r="M171" s="5">
        <v>5.2957599034519601E-5</v>
      </c>
      <c r="N171" s="5">
        <v>3.6301523137492697E-8</v>
      </c>
      <c r="O171" t="s">
        <v>272</v>
      </c>
      <c r="P171">
        <v>0.63</v>
      </c>
      <c r="Q171">
        <v>236</v>
      </c>
      <c r="R171" t="s">
        <v>24</v>
      </c>
      <c r="S171" t="s">
        <v>24</v>
      </c>
      <c r="T171" t="s">
        <v>24</v>
      </c>
      <c r="U171" t="s">
        <v>25</v>
      </c>
      <c r="V171" t="s">
        <v>26</v>
      </c>
    </row>
    <row r="172" spans="1:22">
      <c r="A172" s="2">
        <f>HYPERLINK("http://hydra.cos.uni-heidelberg.de/cgi-bin/perl/getCephData.pl?clusid=13927",13927)</f>
        <v>13927</v>
      </c>
      <c r="B172" t="s">
        <v>6</v>
      </c>
      <c r="C172" s="5">
        <v>0</v>
      </c>
      <c r="D172" s="5">
        <v>2.8247033983752402E-8</v>
      </c>
      <c r="E172" s="5">
        <v>0</v>
      </c>
      <c r="F172" s="5">
        <v>9.4588888043046005E-7</v>
      </c>
      <c r="G172" s="5">
        <v>3.1169191111606899E-4</v>
      </c>
      <c r="H172" s="5">
        <v>4.3438879276045901E-8</v>
      </c>
      <c r="I172" s="5">
        <v>3.7696663019765797E-8</v>
      </c>
      <c r="J172" s="5">
        <v>0</v>
      </c>
      <c r="K172" s="5">
        <v>0</v>
      </c>
      <c r="L172" s="5">
        <v>7.2675149732351401E-8</v>
      </c>
      <c r="M172" s="5">
        <v>0</v>
      </c>
      <c r="N172" s="5">
        <v>1.8150761568746402E-8</v>
      </c>
      <c r="O172" t="s">
        <v>273</v>
      </c>
      <c r="P172">
        <v>0.54</v>
      </c>
      <c r="Q172">
        <v>161</v>
      </c>
      <c r="R172" t="s">
        <v>24</v>
      </c>
      <c r="S172" t="s">
        <v>24</v>
      </c>
      <c r="T172" t="s">
        <v>24</v>
      </c>
      <c r="U172" t="s">
        <v>25</v>
      </c>
      <c r="V172" t="s">
        <v>26</v>
      </c>
    </row>
    <row r="173" spans="1:22">
      <c r="A173" s="2">
        <f>HYPERLINK("http://hydra.cos.uni-heidelberg.de/cgi-bin/perl/getCephData.pl?clusid=10465",10465)</f>
        <v>10465</v>
      </c>
      <c r="B173" t="s">
        <v>6</v>
      </c>
      <c r="C173" s="5">
        <v>1.6390200104897299E-6</v>
      </c>
      <c r="D173" s="5">
        <v>5.6494067967504697E-8</v>
      </c>
      <c r="E173" s="5">
        <v>3.1992313654690602E-8</v>
      </c>
      <c r="F173" s="5">
        <v>4.1473589372720101E-6</v>
      </c>
      <c r="G173" s="5">
        <v>3.04936642087616E-4</v>
      </c>
      <c r="H173" s="5">
        <v>2.9321243511331E-6</v>
      </c>
      <c r="I173" s="5">
        <v>1.8848331509882898E-8</v>
      </c>
      <c r="J173" s="5">
        <v>2.2365743910922199E-7</v>
      </c>
      <c r="K173" s="5">
        <v>7.3783567672711103E-8</v>
      </c>
      <c r="L173" s="5">
        <v>2.4294264339100298E-6</v>
      </c>
      <c r="M173" s="5">
        <v>8.3673541129755906E-6</v>
      </c>
      <c r="N173" s="5">
        <v>0</v>
      </c>
      <c r="O173" t="s">
        <v>274</v>
      </c>
      <c r="P173">
        <v>0.55000000000000004</v>
      </c>
      <c r="Q173">
        <v>362</v>
      </c>
      <c r="R173" t="s">
        <v>24</v>
      </c>
      <c r="S173" t="s">
        <v>24</v>
      </c>
      <c r="T173" t="s">
        <v>24</v>
      </c>
      <c r="U173" t="s">
        <v>25</v>
      </c>
      <c r="V173" t="s">
        <v>26</v>
      </c>
    </row>
    <row r="174" spans="1:22">
      <c r="A174" s="2">
        <f>HYPERLINK("http://hydra.cos.uni-heidelberg.de/cgi-bin/perl/getCephData.pl?clusid=25400",25400)</f>
        <v>25400</v>
      </c>
      <c r="B174" t="s">
        <v>22</v>
      </c>
      <c r="C174" s="5">
        <v>1.3890000088895999E-6</v>
      </c>
      <c r="D174" s="5">
        <v>2.8994450502962499E-3</v>
      </c>
      <c r="E174" s="5">
        <v>6.8309988115495299E-4</v>
      </c>
      <c r="F174" s="5">
        <v>1.78263673619587E-6</v>
      </c>
      <c r="G174" s="5">
        <v>3.7167544453739599E-6</v>
      </c>
      <c r="H174" s="5">
        <v>2.8343868727619901E-6</v>
      </c>
      <c r="I174" s="5">
        <v>2.7989772292176101E-5</v>
      </c>
      <c r="J174" s="5">
        <v>4.7958545157563201E-4</v>
      </c>
      <c r="K174" s="5">
        <v>2.1950611382631598E-6</v>
      </c>
      <c r="L174" s="5">
        <v>9.7592343926300505E-7</v>
      </c>
      <c r="M174" s="5">
        <v>6.1485349711961197E-7</v>
      </c>
      <c r="N174" s="5">
        <v>6.90091954843737E-5</v>
      </c>
      <c r="O174" t="s">
        <v>275</v>
      </c>
      <c r="P174">
        <v>0.72</v>
      </c>
      <c r="Q174">
        <v>147</v>
      </c>
      <c r="R174" t="s">
        <v>24</v>
      </c>
      <c r="S174" t="s">
        <v>24</v>
      </c>
      <c r="T174" t="s">
        <v>24</v>
      </c>
      <c r="U174" t="s">
        <v>25</v>
      </c>
      <c r="V174" t="s">
        <v>26</v>
      </c>
    </row>
    <row r="175" spans="1:22">
      <c r="A175" s="2">
        <f>HYPERLINK("http://hydra.cos.uni-heidelberg.de/cgi-bin/perl/getCephData.pl?clusid=5731",5731)</f>
        <v>5731</v>
      </c>
      <c r="B175" t="s">
        <v>22</v>
      </c>
      <c r="C175" s="5">
        <v>1.1945400076450499E-4</v>
      </c>
      <c r="D175" s="5">
        <v>8.4741101951257096E-7</v>
      </c>
      <c r="E175" s="5">
        <v>2.6233697196846301E-5</v>
      </c>
      <c r="F175" s="5">
        <v>2.2428480568668399E-5</v>
      </c>
      <c r="G175" s="5">
        <v>8.02493405066875E-5</v>
      </c>
      <c r="H175" s="5">
        <v>4.6892270178491502E-5</v>
      </c>
      <c r="I175" s="5">
        <v>2.2712239469408999E-5</v>
      </c>
      <c r="J175" s="5">
        <v>1.9330392951582701E-6</v>
      </c>
      <c r="K175" s="5">
        <v>1.4701375858787701E-5</v>
      </c>
      <c r="L175" s="5">
        <v>3.2122416181699402E-5</v>
      </c>
      <c r="M175" s="5">
        <v>3.5207045900283801E-5</v>
      </c>
      <c r="N175" s="5">
        <v>4.7682050641096699E-5</v>
      </c>
      <c r="O175" t="s">
        <v>276</v>
      </c>
      <c r="P175">
        <v>1.1499999999999999</v>
      </c>
      <c r="Q175">
        <v>928</v>
      </c>
      <c r="R175" t="s">
        <v>24</v>
      </c>
      <c r="S175" t="s">
        <v>24</v>
      </c>
      <c r="T175" t="s">
        <v>24</v>
      </c>
      <c r="U175" t="s">
        <v>25</v>
      </c>
      <c r="V175" t="s">
        <v>277</v>
      </c>
    </row>
  </sheetData>
  <sortState ref="A2:V176">
    <sortCondition ref="R2:R17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Simakov</dc:creator>
  <cp:lastModifiedBy>Oleg Simakov</cp:lastModifiedBy>
  <dcterms:created xsi:type="dcterms:W3CDTF">2015-02-02T01:52:35Z</dcterms:created>
  <dcterms:modified xsi:type="dcterms:W3CDTF">2015-02-02T02:05:42Z</dcterms:modified>
</cp:coreProperties>
</file>