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65" yWindow="-15" windowWidth="27900" windowHeight="13365"/>
  </bookViews>
  <sheets>
    <sheet name="parameter&amp;results" sheetId="1" r:id="rId1"/>
    <sheet name="transmission" sheetId="2" state="hidden" r:id="rId2"/>
  </sheets>
  <calcPr calcId="152511"/>
</workbook>
</file>

<file path=xl/calcChain.xml><?xml version="1.0" encoding="utf-8"?>
<calcChain xmlns="http://schemas.openxmlformats.org/spreadsheetml/2006/main">
  <c r="C21" i="2" l="1"/>
  <c r="F24" i="1" l="1"/>
  <c r="G24" i="1"/>
  <c r="F25" i="1"/>
  <c r="F26" i="1"/>
  <c r="G26" i="1"/>
  <c r="G27" i="1"/>
  <c r="G29" i="1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5" i="2" s="1"/>
  <c r="L37" i="2"/>
  <c r="L36" i="2" l="1"/>
  <c r="L35" i="2"/>
  <c r="H10" i="2"/>
  <c r="C13" i="2"/>
  <c r="C17" i="2" s="1"/>
  <c r="N12" i="2"/>
  <c r="H12" i="2"/>
  <c r="C12" i="2"/>
  <c r="C16" i="2" s="1"/>
  <c r="O11" i="2"/>
  <c r="N11" i="2"/>
  <c r="H11" i="2"/>
  <c r="O10" i="2"/>
  <c r="N10" i="2"/>
  <c r="C7" i="2"/>
  <c r="K11" i="2" s="1"/>
  <c r="C6" i="2"/>
  <c r="I11" i="2"/>
  <c r="C22" i="2"/>
  <c r="H24" i="2" l="1"/>
  <c r="E26" i="1" s="1"/>
  <c r="C25" i="2"/>
  <c r="J11" i="2" s="1"/>
  <c r="J14" i="2" s="1"/>
  <c r="I10" i="2"/>
  <c r="I13" i="2" s="1"/>
  <c r="C52" i="2"/>
  <c r="C43" i="2"/>
  <c r="K32" i="2" s="1"/>
  <c r="J23" i="2"/>
  <c r="G25" i="1" s="1"/>
  <c r="C44" i="2"/>
  <c r="C51" i="2"/>
  <c r="H23" i="2"/>
  <c r="E25" i="1" s="1"/>
  <c r="C49" i="2"/>
  <c r="H15" i="2"/>
  <c r="C23" i="2"/>
  <c r="I27" i="2" s="1"/>
  <c r="F29" i="1" s="1"/>
  <c r="L13" i="2"/>
  <c r="H13" i="2"/>
  <c r="C24" i="2"/>
  <c r="J26" i="2" s="1"/>
  <c r="G28" i="1" s="1"/>
  <c r="I14" i="2"/>
  <c r="H14" i="2"/>
  <c r="K14" i="2"/>
  <c r="L14" i="2"/>
  <c r="I12" i="2"/>
  <c r="I15" i="2" s="1"/>
  <c r="C48" i="2"/>
  <c r="K35" i="2" s="1"/>
  <c r="H22" i="2"/>
  <c r="E24" i="1" s="1"/>
  <c r="P22" i="2"/>
  <c r="M24" i="1" s="1"/>
  <c r="C46" i="2"/>
  <c r="C50" i="2" s="1"/>
  <c r="C47" i="2"/>
  <c r="D50" i="2" s="1"/>
  <c r="K22" i="2" l="1"/>
  <c r="O22" i="2" s="1"/>
  <c r="L24" i="1" s="1"/>
  <c r="K37" i="2"/>
  <c r="L25" i="2"/>
  <c r="I27" i="1" s="1"/>
  <c r="K27" i="2"/>
  <c r="K23" i="2"/>
  <c r="K33" i="2"/>
  <c r="L26" i="2"/>
  <c r="I28" i="1" s="1"/>
  <c r="K25" i="2"/>
  <c r="H27" i="1" s="1"/>
  <c r="K36" i="2"/>
  <c r="K26" i="2"/>
  <c r="L27" i="2"/>
  <c r="I29" i="1" s="1"/>
  <c r="H25" i="2"/>
  <c r="E27" i="1" s="1"/>
  <c r="I25" i="2"/>
  <c r="F27" i="1" s="1"/>
  <c r="H27" i="2"/>
  <c r="E29" i="1" s="1"/>
  <c r="C45" i="2"/>
  <c r="C54" i="2"/>
  <c r="M26" i="2" s="1"/>
  <c r="C55" i="2"/>
  <c r="N33" i="2" s="1"/>
  <c r="H26" i="2"/>
  <c r="E28" i="1" s="1"/>
  <c r="I26" i="2"/>
  <c r="F28" i="1" s="1"/>
  <c r="D45" i="2"/>
  <c r="H43" i="2"/>
  <c r="H42" i="2"/>
  <c r="H25" i="1" l="1"/>
  <c r="H29" i="1"/>
  <c r="H28" i="1"/>
  <c r="K42" i="2"/>
  <c r="H24" i="1"/>
  <c r="Q22" i="2"/>
  <c r="D24" i="1" s="1"/>
  <c r="C24" i="1"/>
  <c r="O25" i="2"/>
  <c r="L27" i="1" s="1"/>
  <c r="N36" i="2"/>
  <c r="M33" i="2"/>
  <c r="K34" i="2"/>
  <c r="K24" i="2"/>
  <c r="N26" i="2"/>
  <c r="M23" i="2"/>
  <c r="M36" i="2"/>
  <c r="J28" i="1" s="1"/>
  <c r="N23" i="2"/>
  <c r="K25" i="1" s="1"/>
  <c r="K45" i="2"/>
  <c r="O27" i="2"/>
  <c r="L29" i="1" s="1"/>
  <c r="K47" i="2"/>
  <c r="H44" i="2"/>
  <c r="J40" i="1"/>
  <c r="J39" i="1"/>
  <c r="J38" i="1"/>
  <c r="O14" i="2"/>
  <c r="O12" i="2"/>
  <c r="O15" i="2" s="1"/>
  <c r="I38" i="1"/>
  <c r="I39" i="1"/>
  <c r="I40" i="1"/>
  <c r="J25" i="1" l="1"/>
  <c r="K44" i="2"/>
  <c r="H26" i="1"/>
  <c r="O26" i="2"/>
  <c r="L28" i="1" s="1"/>
  <c r="K28" i="1"/>
  <c r="Q25" i="2"/>
  <c r="D27" i="1" s="1"/>
  <c r="C27" i="1"/>
  <c r="Q27" i="2"/>
  <c r="D29" i="1" s="1"/>
  <c r="C29" i="1"/>
  <c r="O24" i="2"/>
  <c r="L26" i="1" s="1"/>
  <c r="K43" i="2"/>
  <c r="O23" i="2"/>
  <c r="L25" i="1" s="1"/>
  <c r="K46" i="2"/>
  <c r="N15" i="2"/>
  <c r="J43" i="1" s="1"/>
  <c r="N14" i="2"/>
  <c r="J42" i="1" s="1"/>
  <c r="K38" i="1"/>
  <c r="K42" i="1"/>
  <c r="K40" i="1"/>
  <c r="K43" i="1"/>
  <c r="K39" i="1"/>
  <c r="O13" i="2"/>
  <c r="N13" i="2" s="1"/>
  <c r="E40" i="1"/>
  <c r="E39" i="1"/>
  <c r="E38" i="1"/>
  <c r="H39" i="1"/>
  <c r="C28" i="1" l="1"/>
  <c r="Q26" i="2"/>
  <c r="D28" i="1" s="1"/>
  <c r="Q24" i="2"/>
  <c r="D26" i="1" s="1"/>
  <c r="C26" i="1"/>
  <c r="Q23" i="2"/>
  <c r="D25" i="1" s="1"/>
  <c r="C25" i="1"/>
  <c r="F39" i="1"/>
  <c r="J41" i="1"/>
  <c r="K41" i="1"/>
  <c r="L15" i="2"/>
  <c r="I43" i="1" s="1"/>
  <c r="I41" i="1"/>
  <c r="E41" i="1"/>
  <c r="H42" i="1"/>
  <c r="E43" i="1"/>
  <c r="E42" i="1"/>
  <c r="I42" i="1"/>
  <c r="F38" i="1" l="1"/>
  <c r="F41" i="1"/>
  <c r="H45" i="2"/>
  <c r="H46" i="2"/>
  <c r="H47" i="2"/>
  <c r="F42" i="1"/>
  <c r="M10" i="2"/>
  <c r="G42" i="1"/>
  <c r="G39" i="1"/>
  <c r="F43" i="1"/>
  <c r="F40" i="1"/>
  <c r="M12" i="2"/>
  <c r="M11" i="2"/>
  <c r="P11" i="2" l="1"/>
  <c r="C40" i="1"/>
  <c r="P12" i="2"/>
  <c r="C38" i="1"/>
  <c r="P10" i="2"/>
  <c r="C39" i="1"/>
  <c r="M13" i="2"/>
  <c r="M14" i="2"/>
  <c r="M15" i="2"/>
  <c r="D39" i="1" l="1"/>
  <c r="D40" i="1"/>
  <c r="P14" i="2"/>
  <c r="P15" i="2"/>
  <c r="C41" i="1"/>
  <c r="P13" i="2"/>
  <c r="C43" i="1"/>
  <c r="C42" i="1"/>
  <c r="D43" i="1" l="1"/>
  <c r="D42" i="1"/>
</calcChain>
</file>

<file path=xl/sharedStrings.xml><?xml version="1.0" encoding="utf-8"?>
<sst xmlns="http://schemas.openxmlformats.org/spreadsheetml/2006/main" count="227" uniqueCount="117">
  <si>
    <t>sensitivity of rapid test</t>
  </si>
  <si>
    <t>specificity of rapid test</t>
  </si>
  <si>
    <t>prevalence of infection among those cases (%)</t>
  </si>
  <si>
    <t>rate of transmission (per day)</t>
  </si>
  <si>
    <t>average time of PCR test (in days)</t>
  </si>
  <si>
    <t>Parameters</t>
  </si>
  <si>
    <t>bed capacity (total)</t>
  </si>
  <si>
    <t>number of suspect Ebola cases seeking healthcare per day</t>
  </si>
  <si>
    <t>average time of rapid test (in hours)</t>
  </si>
  <si>
    <t>Reproduction number</t>
  </si>
  <si>
    <t>average duration of infectiousness</t>
  </si>
  <si>
    <t>delay between symptom onset to hospitalisation</t>
  </si>
  <si>
    <t>average duration from hospitalisation to discharge</t>
  </si>
  <si>
    <t>rate for RDT results</t>
  </si>
  <si>
    <t>rate for PCR results</t>
  </si>
  <si>
    <t>deltaRDT</t>
  </si>
  <si>
    <t>timing</t>
  </si>
  <si>
    <t>bed demand</t>
  </si>
  <si>
    <t>PCR</t>
  </si>
  <si>
    <t>RDT</t>
  </si>
  <si>
    <t>PCR &amp; Dual</t>
  </si>
  <si>
    <t>bed use (Neff)</t>
  </si>
  <si>
    <t>contribution</t>
  </si>
  <si>
    <t>Dual</t>
  </si>
  <si>
    <t>infectious - pre-hospitalisation</t>
  </si>
  <si>
    <t>nosocomial infection released to the community</t>
  </si>
  <si>
    <t>infectious diagnosed false negative- post-hospitalisation</t>
  </si>
  <si>
    <t>nosocomial infection sent to confirmed ward</t>
  </si>
  <si>
    <t>no limit</t>
  </si>
  <si>
    <t>limit</t>
  </si>
  <si>
    <t>infectious never admitted</t>
  </si>
  <si>
    <t>% admitted patients</t>
  </si>
  <si>
    <t>Testing strategy</t>
  </si>
  <si>
    <t>Contribution from infected that are never admitted</t>
  </si>
  <si>
    <t xml:space="preserve">Proportion of patients admitted </t>
  </si>
  <si>
    <t>Bed demand</t>
  </si>
  <si>
    <t>Initially infected in the community - Infection pre-hospital</t>
  </si>
  <si>
    <t>Initally infected discharged to the community (false negative) - infection post-hospital</t>
  </si>
  <si>
    <t>Nosocomial infection sent to confirmed ward (false positive)</t>
  </si>
  <si>
    <t>Reproduction number relative to pcr</t>
  </si>
  <si>
    <t>tau4</t>
  </si>
  <si>
    <t>Nosocomial infection discharged to the community after testing</t>
  </si>
  <si>
    <t>transmission</t>
  </si>
  <si>
    <t>patient</t>
  </si>
  <si>
    <t>number dying</t>
  </si>
  <si>
    <t>uninfected</t>
  </si>
  <si>
    <t>infected</t>
  </si>
  <si>
    <t>in confirmed ward</t>
  </si>
  <si>
    <t xml:space="preserve"> in community (false negative)</t>
  </si>
  <si>
    <t>in community (turned away)</t>
  </si>
  <si>
    <t>in community after testing</t>
  </si>
  <si>
    <t xml:space="preserve">in confirmed ward </t>
  </si>
  <si>
    <t>in community after being discharged from confirmed ward</t>
  </si>
  <si>
    <t>p</t>
  </si>
  <si>
    <t>padmit_PCR</t>
  </si>
  <si>
    <t>padmit_RDT</t>
  </si>
  <si>
    <t>p2 (prev in confirmed)</t>
  </si>
  <si>
    <t>CFR ebola</t>
  </si>
  <si>
    <t>CFR Lassa</t>
  </si>
  <si>
    <t>reduction in CFR with care</t>
  </si>
  <si>
    <t>-</t>
  </si>
  <si>
    <t>Eh_.5</t>
  </si>
  <si>
    <t>A</t>
  </si>
  <si>
    <t>B</t>
  </si>
  <si>
    <t>rdt</t>
  </si>
  <si>
    <t>if no hosp</t>
  </si>
  <si>
    <t>Total</t>
  </si>
  <si>
    <t>SH_rdt</t>
  </si>
  <si>
    <t>incubation period</t>
  </si>
  <si>
    <t>RDT proba get in conf and stay</t>
  </si>
  <si>
    <t>RDT proba get in conf and discharge</t>
  </si>
  <si>
    <t>Eh_.5 with bed lim</t>
  </si>
  <si>
    <t>SH_rdt with bed lim</t>
  </si>
  <si>
    <t>ok</t>
  </si>
  <si>
    <t>Eh with bed lim low_high</t>
  </si>
  <si>
    <t>Eh low-high</t>
  </si>
  <si>
    <t>checks</t>
  </si>
  <si>
    <t>number dying from Ebola</t>
  </si>
  <si>
    <t>checked</t>
  </si>
  <si>
    <t>Total dying</t>
  </si>
  <si>
    <t>CFR among patients seeking care</t>
  </si>
  <si>
    <t>Average time of rapid test (in hours)</t>
  </si>
  <si>
    <t>Average time of PCR test (in days)</t>
  </si>
  <si>
    <t>Daily number of suspected Ebola cases seeking care</t>
  </si>
  <si>
    <t>Prevalence of infection among those cases (%)</t>
  </si>
  <si>
    <t>Rate of transmission (per day)</t>
  </si>
  <si>
    <t>Sensitivity of rapid test</t>
  </si>
  <si>
    <t>Specificity of rapid test</t>
  </si>
  <si>
    <t>Bed capacity (total)</t>
  </si>
  <si>
    <t>Reduction in CFR with care</t>
  </si>
  <si>
    <t>Average duration of infectiousness</t>
  </si>
  <si>
    <t>Delay between symptom onset to hospitalisation</t>
  </si>
  <si>
    <t>Average duration from hospitalisation to discharge</t>
  </si>
  <si>
    <t>For patients perspective</t>
  </si>
  <si>
    <t>For transmission perspective</t>
  </si>
  <si>
    <t>CFR  relative to community</t>
  </si>
  <si>
    <t>Among initally Ebola-infected</t>
  </si>
  <si>
    <t>In confirmed ward</t>
  </si>
  <si>
    <t>In community (due to bed limitations issues)</t>
  </si>
  <si>
    <t>Iin community (due to imperfect sensitivity of RDT)</t>
  </si>
  <si>
    <t>Number of patients dying</t>
  </si>
  <si>
    <t>In community after testing</t>
  </si>
  <si>
    <t>In confirmed ward (due to imperfect RDT specificity)</t>
  </si>
  <si>
    <t>In community after being discharged from confirmed ward (RDT specificity)</t>
  </si>
  <si>
    <t>Among initially Ebola-uninfected (in bracket: from Ebola)</t>
  </si>
  <si>
    <t>Number dying if they stayed in the community</t>
  </si>
  <si>
    <t>No limit in bed capacity</t>
  </si>
  <si>
    <t>With limits in bed capacity</t>
  </si>
  <si>
    <t>Reproduction number (relative to PCR)</t>
  </si>
  <si>
    <t>Reproduction number among patients seeking care</t>
  </si>
  <si>
    <t>PCR-only</t>
  </si>
  <si>
    <t>RDT-only</t>
  </si>
  <si>
    <t>Community reproduction number</t>
  </si>
  <si>
    <t>Evaluation of simple HU model - transmission perspective</t>
  </si>
  <si>
    <t>Evaluation of simple HU model - patient perspective</t>
  </si>
  <si>
    <t>Contributions to the reproduction number from admitted patients</t>
  </si>
  <si>
    <t>CFR for non-Ebola illness mistaken as Ebola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</si>
</sst>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9">
    <xf numFmtId="0" fontId="0" fillId="0" borderId="0" xfId="0"/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0" xfId="0" quotePrefix="1"/>
    <xf numFmtId="0" fontId="1" fillId="2" borderId="0" xfId="0" applyFont="1" applyFill="1" applyBorder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quotePrefix="1" applyBorder="1" applyAlignment="1">
      <alignment wrapText="1"/>
    </xf>
    <xf numFmtId="0" fontId="0" fillId="0" borderId="6" xfId="0" applyBorder="1"/>
    <xf numFmtId="0" fontId="0" fillId="0" borderId="15" xfId="0" applyBorder="1"/>
    <xf numFmtId="0" fontId="0" fillId="0" borderId="7" xfId="0" applyBorder="1"/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2" fontId="0" fillId="0" borderId="0" xfId="0" applyNumberFormat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2" fontId="0" fillId="0" borderId="0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0" fillId="3" borderId="8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</xf>
    <xf numFmtId="0" fontId="0" fillId="3" borderId="14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3" borderId="9" xfId="0" applyFill="1" applyBorder="1" applyAlignment="1" applyProtection="1">
      <alignment horizontal="center" vertical="center"/>
    </xf>
    <xf numFmtId="0" fontId="0" fillId="3" borderId="9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0" fontId="0" fillId="3" borderId="16" xfId="0" applyFill="1" applyBorder="1" applyAlignment="1" applyProtection="1">
      <alignment horizontal="center" vertical="center"/>
    </xf>
    <xf numFmtId="0" fontId="0" fillId="3" borderId="5" xfId="0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wrapText="1"/>
    </xf>
    <xf numFmtId="0" fontId="0" fillId="3" borderId="16" xfId="0" applyFill="1" applyBorder="1" applyAlignment="1" applyProtection="1">
      <alignment horizontal="center" wrapText="1"/>
    </xf>
    <xf numFmtId="0" fontId="0" fillId="3" borderId="10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</xf>
    <xf numFmtId="2" fontId="0" fillId="4" borderId="8" xfId="0" applyNumberFormat="1" applyFill="1" applyBorder="1" applyAlignment="1" applyProtection="1">
      <alignment horizontal="center" vertical="center"/>
    </xf>
    <xf numFmtId="2" fontId="0" fillId="0" borderId="14" xfId="0" applyNumberFormat="1" applyBorder="1" applyAlignment="1" applyProtection="1">
      <alignment horizontal="center" vertical="center"/>
    </xf>
    <xf numFmtId="2" fontId="0" fillId="0" borderId="17" xfId="0" applyNumberForma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2" fontId="0" fillId="4" borderId="9" xfId="0" applyNumberFormat="1" applyFill="1" applyBorder="1" applyAlignment="1" applyProtection="1">
      <alignment horizontal="center" vertical="center"/>
    </xf>
    <xf numFmtId="2" fontId="0" fillId="0" borderId="0" xfId="0" applyNumberFormat="1" applyBorder="1" applyAlignment="1" applyProtection="1">
      <alignment horizontal="center" vertical="center"/>
    </xf>
    <xf numFmtId="2" fontId="0" fillId="0" borderId="16" xfId="0" applyNumberFormat="1" applyBorder="1" applyAlignment="1" applyProtection="1">
      <alignment horizontal="center" vertical="center"/>
    </xf>
    <xf numFmtId="2" fontId="0" fillId="0" borderId="5" xfId="0" applyNumberFormat="1" applyBorder="1" applyAlignment="1" applyProtection="1">
      <alignment horizontal="center" vertical="center"/>
    </xf>
    <xf numFmtId="2" fontId="0" fillId="0" borderId="5" xfId="0" applyNumberFormat="1" applyBorder="1" applyAlignment="1" applyProtection="1">
      <alignment horizontal="center" vertical="center"/>
    </xf>
    <xf numFmtId="0" fontId="0" fillId="3" borderId="6" xfId="0" applyFill="1" applyBorder="1" applyAlignment="1" applyProtection="1">
      <alignment horizontal="center" vertical="center"/>
    </xf>
    <xf numFmtId="2" fontId="0" fillId="4" borderId="10" xfId="0" applyNumberFormat="1" applyFill="1" applyBorder="1" applyAlignment="1" applyProtection="1">
      <alignment horizontal="center" vertical="center"/>
    </xf>
    <xf numFmtId="2" fontId="0" fillId="0" borderId="15" xfId="0" applyNumberFormat="1" applyBorder="1" applyAlignment="1" applyProtection="1">
      <alignment horizontal="center" vertical="center"/>
    </xf>
    <xf numFmtId="2" fontId="0" fillId="0" borderId="18" xfId="0" applyNumberFormat="1" applyBorder="1" applyAlignment="1" applyProtection="1">
      <alignment horizontal="center" vertical="center"/>
    </xf>
    <xf numFmtId="2" fontId="0" fillId="0" borderId="7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center" vertical="center"/>
    </xf>
    <xf numFmtId="2" fontId="0" fillId="0" borderId="4" xfId="0" applyNumberFormat="1" applyBorder="1" applyAlignment="1" applyProtection="1">
      <alignment horizontal="center" vertical="center"/>
    </xf>
    <xf numFmtId="2" fontId="0" fillId="0" borderId="6" xfId="0" applyNumberFormat="1" applyBorder="1" applyAlignment="1" applyProtection="1">
      <alignment horizontal="center" vertical="center"/>
    </xf>
    <xf numFmtId="2" fontId="0" fillId="0" borderId="7" xfId="0" applyNumberFormat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wrapText="1"/>
    </xf>
    <xf numFmtId="0" fontId="0" fillId="3" borderId="2" xfId="0" applyFill="1" applyBorder="1" applyAlignment="1" applyProtection="1">
      <alignment horizontal="center" wrapText="1"/>
    </xf>
    <xf numFmtId="0" fontId="0" fillId="3" borderId="3" xfId="0" applyFill="1" applyBorder="1" applyAlignment="1" applyProtection="1">
      <alignment horizontal="center" wrapText="1"/>
    </xf>
    <xf numFmtId="0" fontId="0" fillId="3" borderId="4" xfId="0" applyFill="1" applyBorder="1" applyAlignment="1" applyProtection="1">
      <alignment wrapText="1"/>
    </xf>
    <xf numFmtId="0" fontId="0" fillId="3" borderId="0" xfId="0" applyFill="1" applyBorder="1" applyAlignment="1" applyProtection="1">
      <alignment wrapText="1"/>
    </xf>
    <xf numFmtId="0" fontId="0" fillId="3" borderId="5" xfId="0" applyFill="1" applyBorder="1" applyAlignment="1" applyProtection="1">
      <alignment horizontal="center" vertical="center" wrapText="1"/>
    </xf>
    <xf numFmtId="0" fontId="0" fillId="3" borderId="9" xfId="0" applyFill="1" applyBorder="1" applyAlignment="1" applyProtection="1">
      <alignment horizontal="center" wrapText="1"/>
    </xf>
    <xf numFmtId="0" fontId="0" fillId="3" borderId="4" xfId="0" applyFill="1" applyBorder="1" applyAlignment="1" applyProtection="1">
      <alignment horizontal="center" wrapText="1"/>
    </xf>
    <xf numFmtId="0" fontId="0" fillId="3" borderId="5" xfId="0" applyFill="1" applyBorder="1" applyAlignment="1" applyProtection="1">
      <alignment horizontal="center" wrapText="1"/>
    </xf>
    <xf numFmtId="0" fontId="0" fillId="3" borderId="8" xfId="0" applyFill="1" applyBorder="1" applyAlignment="1" applyProtection="1">
      <alignment horizontal="center" vertical="center"/>
    </xf>
    <xf numFmtId="1" fontId="0" fillId="4" borderId="8" xfId="1" applyNumberFormat="1" applyFont="1" applyFill="1" applyBorder="1" applyAlignment="1" applyProtection="1">
      <alignment horizontal="center" vertical="center"/>
    </xf>
    <xf numFmtId="2" fontId="0" fillId="0" borderId="8" xfId="0" applyNumberFormat="1" applyBorder="1" applyAlignment="1" applyProtection="1">
      <alignment horizontal="center" vertical="center"/>
    </xf>
    <xf numFmtId="1" fontId="0" fillId="0" borderId="3" xfId="0" applyNumberFormat="1" applyBorder="1" applyAlignment="1" applyProtection="1">
      <alignment horizontal="center" vertical="center"/>
    </xf>
    <xf numFmtId="0" fontId="0" fillId="3" borderId="9" xfId="0" applyFill="1" applyBorder="1" applyAlignment="1" applyProtection="1">
      <alignment horizontal="center" vertical="center"/>
    </xf>
    <xf numFmtId="2" fontId="0" fillId="4" borderId="9" xfId="1" applyNumberFormat="1" applyFont="1" applyFill="1" applyBorder="1" applyAlignment="1" applyProtection="1">
      <alignment horizontal="center" vertical="center"/>
    </xf>
    <xf numFmtId="2" fontId="0" fillId="0" borderId="9" xfId="0" applyNumberFormat="1" applyBorder="1" applyAlignment="1" applyProtection="1">
      <alignment horizontal="center" vertical="center"/>
    </xf>
    <xf numFmtId="1" fontId="0" fillId="0" borderId="5" xfId="0" applyNumberFormat="1" applyBorder="1" applyAlignment="1" applyProtection="1">
      <alignment horizontal="center" vertical="center"/>
    </xf>
    <xf numFmtId="0" fontId="0" fillId="3" borderId="10" xfId="0" applyFill="1" applyBorder="1" applyAlignment="1" applyProtection="1">
      <alignment horizontal="center" vertical="center"/>
    </xf>
    <xf numFmtId="2" fontId="0" fillId="0" borderId="10" xfId="0" applyNumberFormat="1" applyBorder="1" applyAlignment="1" applyProtection="1">
      <alignment horizontal="center" vertical="center"/>
    </xf>
    <xf numFmtId="1" fontId="0" fillId="0" borderId="7" xfId="0" applyNumberFormat="1" applyBorder="1" applyAlignment="1" applyProtection="1">
      <alignment horizontal="center" vertical="center"/>
    </xf>
    <xf numFmtId="2" fontId="0" fillId="4" borderId="10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Normal="100" workbookViewId="0">
      <selection activeCell="C5" sqref="C5"/>
    </sheetView>
  </sheetViews>
  <sheetFormatPr defaultRowHeight="15" x14ac:dyDescent="0.25"/>
  <cols>
    <col min="1" max="1" width="19.140625" style="35" customWidth="1"/>
    <col min="2" max="2" width="46.5703125" style="35" customWidth="1"/>
    <col min="3" max="3" width="13.28515625" style="35" customWidth="1"/>
    <col min="4" max="4" width="13.5703125" style="35" customWidth="1"/>
    <col min="5" max="5" width="18.5703125" style="35" customWidth="1"/>
    <col min="6" max="6" width="16.7109375" style="35" customWidth="1"/>
    <col min="7" max="7" width="14.7109375" style="35" customWidth="1"/>
    <col min="8" max="8" width="16.5703125" style="35" customWidth="1"/>
    <col min="9" max="9" width="13.7109375" style="35" customWidth="1"/>
    <col min="10" max="10" width="14.140625" style="35" customWidth="1"/>
    <col min="11" max="11" width="14.5703125" style="35" customWidth="1"/>
    <col min="12" max="12" width="9.85546875" style="35" bestFit="1" customWidth="1"/>
    <col min="13" max="13" width="12" style="35" customWidth="1"/>
    <col min="14" max="14" width="22.7109375" style="35" customWidth="1"/>
    <col min="15" max="15" width="22.28515625" style="35" bestFit="1" customWidth="1"/>
    <col min="16" max="16" width="9.140625" style="35"/>
    <col min="17" max="17" width="19.7109375" style="35" customWidth="1"/>
    <col min="18" max="16384" width="9.140625" style="35"/>
  </cols>
  <sheetData>
    <row r="1" spans="1:4" thickBot="1" x14ac:dyDescent="0.35"/>
    <row r="2" spans="1:4" ht="15.75" thickBot="1" x14ac:dyDescent="0.3">
      <c r="B2" s="29" t="s">
        <v>5</v>
      </c>
      <c r="C2" s="30"/>
    </row>
    <row r="3" spans="1:4" ht="15.75" customHeight="1" x14ac:dyDescent="0.25">
      <c r="B3" s="31" t="s">
        <v>81</v>
      </c>
      <c r="C3" s="36">
        <v>1</v>
      </c>
      <c r="D3" s="37"/>
    </row>
    <row r="4" spans="1:4" ht="15.75" customHeight="1" x14ac:dyDescent="0.25">
      <c r="B4" s="32" t="s">
        <v>82</v>
      </c>
      <c r="C4" s="38">
        <v>2</v>
      </c>
    </row>
    <row r="5" spans="1:4" ht="15.75" customHeight="1" x14ac:dyDescent="0.25">
      <c r="B5" s="32" t="s">
        <v>83</v>
      </c>
      <c r="C5" s="38">
        <v>60</v>
      </c>
    </row>
    <row r="6" spans="1:4" x14ac:dyDescent="0.25">
      <c r="B6" s="32" t="s">
        <v>84</v>
      </c>
      <c r="C6" s="38">
        <v>70</v>
      </c>
    </row>
    <row r="7" spans="1:4" x14ac:dyDescent="0.25">
      <c r="B7" s="32" t="s">
        <v>85</v>
      </c>
      <c r="C7" s="38">
        <v>0.15</v>
      </c>
    </row>
    <row r="8" spans="1:4" ht="15" customHeight="1" thickBot="1" x14ac:dyDescent="0.3">
      <c r="B8" s="33" t="s">
        <v>92</v>
      </c>
      <c r="C8" s="28">
        <v>7</v>
      </c>
    </row>
    <row r="9" spans="1:4" ht="15" customHeight="1" x14ac:dyDescent="0.25">
      <c r="B9" s="31" t="s">
        <v>86</v>
      </c>
      <c r="C9" s="27">
        <v>0.92</v>
      </c>
    </row>
    <row r="10" spans="1:4" ht="15" customHeight="1" thickBot="1" x14ac:dyDescent="0.3">
      <c r="B10" s="33" t="s">
        <v>87</v>
      </c>
      <c r="C10" s="28">
        <v>0.85</v>
      </c>
    </row>
    <row r="11" spans="1:4" ht="15" customHeight="1" thickBot="1" x14ac:dyDescent="0.3">
      <c r="B11" s="34" t="s">
        <v>88</v>
      </c>
      <c r="C11" s="39">
        <v>200</v>
      </c>
    </row>
    <row r="12" spans="1:4" ht="15" customHeight="1" x14ac:dyDescent="0.25">
      <c r="A12" s="46" t="s">
        <v>93</v>
      </c>
      <c r="B12" s="31" t="s">
        <v>57</v>
      </c>
      <c r="C12" s="36">
        <v>0.6</v>
      </c>
    </row>
    <row r="13" spans="1:4" ht="15" customHeight="1" x14ac:dyDescent="0.25">
      <c r="A13" s="47"/>
      <c r="B13" s="32" t="s">
        <v>116</v>
      </c>
      <c r="C13" s="38">
        <v>0.2</v>
      </c>
    </row>
    <row r="14" spans="1:4" ht="15" customHeight="1" thickBot="1" x14ac:dyDescent="0.3">
      <c r="A14" s="48"/>
      <c r="B14" s="33" t="s">
        <v>89</v>
      </c>
      <c r="C14" s="40">
        <v>0.7</v>
      </c>
    </row>
    <row r="15" spans="1:4" ht="15" customHeight="1" thickBot="1" x14ac:dyDescent="0.3">
      <c r="A15" s="46" t="s">
        <v>94</v>
      </c>
      <c r="B15" s="31" t="s">
        <v>112</v>
      </c>
      <c r="C15" s="36">
        <v>1.7</v>
      </c>
    </row>
    <row r="16" spans="1:4" ht="15.75" customHeight="1" x14ac:dyDescent="0.25">
      <c r="A16" s="47"/>
      <c r="B16" s="31" t="s">
        <v>90</v>
      </c>
      <c r="C16" s="27">
        <v>15</v>
      </c>
    </row>
    <row r="17" spans="1:13" ht="15.75" thickBot="1" x14ac:dyDescent="0.3">
      <c r="A17" s="48"/>
      <c r="B17" s="33" t="s">
        <v>91</v>
      </c>
      <c r="C17" s="28">
        <v>4</v>
      </c>
    </row>
    <row r="18" spans="1:13" ht="19.5" customHeight="1" x14ac:dyDescent="0.25">
      <c r="A18" s="41"/>
    </row>
    <row r="19" spans="1:13" ht="15.75" thickBot="1" x14ac:dyDescent="0.3"/>
    <row r="20" spans="1:13" ht="14.45" customHeight="1" thickBot="1" x14ac:dyDescent="0.3">
      <c r="A20" s="49"/>
      <c r="B20" s="50" t="s">
        <v>114</v>
      </c>
      <c r="C20" s="51"/>
      <c r="D20" s="51"/>
      <c r="E20" s="51"/>
      <c r="F20" s="51"/>
      <c r="G20" s="51"/>
      <c r="H20" s="51"/>
      <c r="I20" s="51"/>
      <c r="J20" s="51"/>
      <c r="K20" s="52"/>
      <c r="L20" s="49"/>
      <c r="M20" s="49"/>
    </row>
    <row r="21" spans="1:13" ht="24" customHeight="1" x14ac:dyDescent="0.25">
      <c r="A21" s="49"/>
      <c r="B21" s="53" t="s">
        <v>32</v>
      </c>
      <c r="C21" s="54" t="s">
        <v>80</v>
      </c>
      <c r="D21" s="54" t="s">
        <v>95</v>
      </c>
      <c r="E21" s="55" t="s">
        <v>100</v>
      </c>
      <c r="F21" s="56"/>
      <c r="G21" s="56"/>
      <c r="H21" s="56"/>
      <c r="I21" s="56"/>
      <c r="J21" s="56"/>
      <c r="K21" s="57"/>
      <c r="L21" s="54" t="s">
        <v>79</v>
      </c>
      <c r="M21" s="54" t="s">
        <v>105</v>
      </c>
    </row>
    <row r="22" spans="1:13" ht="24" customHeight="1" x14ac:dyDescent="0.25">
      <c r="A22" s="49"/>
      <c r="B22" s="58"/>
      <c r="C22" s="59"/>
      <c r="D22" s="59"/>
      <c r="E22" s="60" t="s">
        <v>96</v>
      </c>
      <c r="F22" s="61"/>
      <c r="G22" s="62"/>
      <c r="H22" s="61" t="s">
        <v>104</v>
      </c>
      <c r="I22" s="61"/>
      <c r="J22" s="61"/>
      <c r="K22" s="63"/>
      <c r="L22" s="59"/>
      <c r="M22" s="59"/>
    </row>
    <row r="23" spans="1:13" ht="105.75" thickBot="1" x14ac:dyDescent="0.3">
      <c r="A23" s="49"/>
      <c r="B23" s="58"/>
      <c r="C23" s="59"/>
      <c r="D23" s="59"/>
      <c r="E23" s="64" t="s">
        <v>97</v>
      </c>
      <c r="F23" s="64" t="s">
        <v>98</v>
      </c>
      <c r="G23" s="65" t="s">
        <v>99</v>
      </c>
      <c r="H23" s="64" t="s">
        <v>101</v>
      </c>
      <c r="I23" s="64" t="s">
        <v>98</v>
      </c>
      <c r="J23" s="64" t="s">
        <v>102</v>
      </c>
      <c r="K23" s="64" t="s">
        <v>103</v>
      </c>
      <c r="L23" s="59"/>
      <c r="M23" s="66"/>
    </row>
    <row r="24" spans="1:13" x14ac:dyDescent="0.25">
      <c r="A24" s="54" t="s">
        <v>106</v>
      </c>
      <c r="B24" s="67" t="s">
        <v>110</v>
      </c>
      <c r="C24" s="68">
        <f>transmission!O22/'parameter&amp;results'!$C$5</f>
        <v>0.37908014992727185</v>
      </c>
      <c r="D24" s="68">
        <f>transmission!Q22</f>
        <v>0.78975031234848303</v>
      </c>
      <c r="E24" s="69">
        <f>transmission!H22</f>
        <v>17.639999999999997</v>
      </c>
      <c r="F24" s="69" t="str">
        <f>transmission!I22</f>
        <v>-</v>
      </c>
      <c r="G24" s="70" t="str">
        <f>transmission!J22</f>
        <v>-</v>
      </c>
      <c r="H24" s="69" t="str">
        <f>CONCATENATE(ROUND(transmission!K22,2),"   (",ROUND(transmission!K32,2),")")</f>
        <v>5.1   (1.5)</v>
      </c>
      <c r="I24" s="69" t="s">
        <v>60</v>
      </c>
      <c r="J24" s="69" t="s">
        <v>60</v>
      </c>
      <c r="K24" s="71" t="s">
        <v>60</v>
      </c>
      <c r="L24" s="71">
        <f>transmission!O22</f>
        <v>22.744808995636312</v>
      </c>
      <c r="M24" s="72">
        <f>transmission!P22</f>
        <v>28.8</v>
      </c>
    </row>
    <row r="25" spans="1:13" x14ac:dyDescent="0.25">
      <c r="A25" s="59"/>
      <c r="B25" s="73" t="s">
        <v>111</v>
      </c>
      <c r="C25" s="74">
        <f>transmission!O23/'parameter&amp;results'!$C$5</f>
        <v>0.37596884343950843</v>
      </c>
      <c r="D25" s="74">
        <f>transmission!Q23</f>
        <v>0.7832684238323091</v>
      </c>
      <c r="E25" s="75">
        <f>transmission!H23</f>
        <v>16.2288</v>
      </c>
      <c r="F25" s="75" t="str">
        <f>transmission!I23</f>
        <v>-</v>
      </c>
      <c r="G25" s="76">
        <f>transmission!J23</f>
        <v>2.0159999999999991</v>
      </c>
      <c r="H25" s="75" t="str">
        <f>CONCATENATE(ROUND(transmission!K23,2),"   (",ROUND(transmission!K33,2),")")</f>
        <v>3.09   (0.03)</v>
      </c>
      <c r="I25" s="75" t="s">
        <v>60</v>
      </c>
      <c r="J25" s="75" t="str">
        <f>CONCATENATE(ROUND(transmission!M23,2),"   (",ROUND(transmission!M33,2),")")</f>
        <v>0.45   (0.07)</v>
      </c>
      <c r="K25" s="77" t="str">
        <f>CONCATENATE(ROUND(transmission!N23,2),"   (",ROUND(transmission!N33,2),")")</f>
        <v>0.77   (0.77)</v>
      </c>
      <c r="L25" s="77">
        <f>transmission!O23</f>
        <v>22.558130606370504</v>
      </c>
      <c r="M25" s="78"/>
    </row>
    <row r="26" spans="1:13" ht="15.75" thickBot="1" x14ac:dyDescent="0.3">
      <c r="A26" s="66"/>
      <c r="B26" s="79" t="s">
        <v>23</v>
      </c>
      <c r="C26" s="80">
        <f>transmission!O24/'parameter&amp;results'!$C$5</f>
        <v>0.3653822082731531</v>
      </c>
      <c r="D26" s="80">
        <f>transmission!Q24</f>
        <v>0.7612129339024023</v>
      </c>
      <c r="E26" s="81">
        <f>transmission!H24</f>
        <v>17.639999999999997</v>
      </c>
      <c r="F26" s="81" t="str">
        <f>transmission!I24</f>
        <v>-</v>
      </c>
      <c r="G26" s="82" t="str">
        <f>transmission!J24</f>
        <v>-</v>
      </c>
      <c r="H26" s="81" t="str">
        <f>CONCATENATE(ROUND(transmission!K24,2),"   (",ROUND(transmission!K34,2),")")</f>
        <v>4.28   (0.68)</v>
      </c>
      <c r="I26" s="81" t="s">
        <v>60</v>
      </c>
      <c r="J26" s="81" t="s">
        <v>60</v>
      </c>
      <c r="K26" s="83" t="s">
        <v>60</v>
      </c>
      <c r="L26" s="83">
        <f>transmission!O24</f>
        <v>21.922932496389187</v>
      </c>
      <c r="M26" s="78"/>
    </row>
    <row r="27" spans="1:13" x14ac:dyDescent="0.25">
      <c r="A27" s="54" t="s">
        <v>107</v>
      </c>
      <c r="B27" s="67" t="s">
        <v>110</v>
      </c>
      <c r="C27" s="68">
        <f>transmission!O25/'parameter&amp;results'!$C$5</f>
        <v>0.41883645450137691</v>
      </c>
      <c r="D27" s="74">
        <f>transmission!Q25</f>
        <v>0.87257594687786855</v>
      </c>
      <c r="E27" s="84">
        <f>transmission!H25</f>
        <v>10.690909090909091</v>
      </c>
      <c r="F27" s="69">
        <f>transmission!I25</f>
        <v>9.9272727272727259</v>
      </c>
      <c r="G27" s="70" t="str">
        <f>transmission!J25</f>
        <v>-</v>
      </c>
      <c r="H27" s="69" t="str">
        <f>CONCATENATE(ROUND(transmission!K25,2),"   (",ROUND(transmission!K35,2),")")</f>
        <v>3.09   (0.91)</v>
      </c>
      <c r="I27" s="69" t="str">
        <f>CONCATENATE(ROUND(transmission!L25,2),"   (",ROUND(transmission!L35,2),")")</f>
        <v>1.42   (0)</v>
      </c>
      <c r="J27" s="69" t="s">
        <v>60</v>
      </c>
      <c r="K27" s="71" t="s">
        <v>60</v>
      </c>
      <c r="L27" s="77">
        <f>transmission!O25</f>
        <v>25.130187270082615</v>
      </c>
      <c r="M27" s="78"/>
    </row>
    <row r="28" spans="1:13" x14ac:dyDescent="0.25">
      <c r="A28" s="59"/>
      <c r="B28" s="73" t="s">
        <v>111</v>
      </c>
      <c r="C28" s="74">
        <f>transmission!O26/'parameter&amp;results'!$C$5</f>
        <v>0.40829331893162046</v>
      </c>
      <c r="D28" s="74">
        <f>transmission!Q26</f>
        <v>0.85061108110754269</v>
      </c>
      <c r="E28" s="85">
        <f>transmission!H26</f>
        <v>11.18620059795111</v>
      </c>
      <c r="F28" s="75">
        <f>transmission!I26</f>
        <v>7.8301232951069686</v>
      </c>
      <c r="G28" s="76">
        <f>transmission!J26</f>
        <v>1.3895901363914418</v>
      </c>
      <c r="H28" s="75" t="str">
        <f>CONCATENATE(ROUND(transmission!K26,2),"   (",ROUND(transmission!K36,2),")")</f>
        <v>2.13   (0.02)</v>
      </c>
      <c r="I28" s="75" t="str">
        <f>CONCATENATE(ROUND(transmission!L26,2),"   (",ROUND(transmission!L36,2),")")</f>
        <v>1.12   (0)</v>
      </c>
      <c r="J28" s="75" t="str">
        <f>CONCATENATE(ROUND(transmission!M26,2),"   (",ROUND(transmission!M36,2),")")</f>
        <v>0.31   (0.31)</v>
      </c>
      <c r="K28" s="77" t="str">
        <f>CONCATENATE(ROUND(transmission!N26,2),"   (",ROUND(transmission!N36,2),")")</f>
        <v>0.53   (0.53)</v>
      </c>
      <c r="L28" s="77">
        <f>transmission!O26</f>
        <v>24.497599135897229</v>
      </c>
      <c r="M28" s="78"/>
    </row>
    <row r="29" spans="1:13" ht="15.75" thickBot="1" x14ac:dyDescent="0.3">
      <c r="A29" s="66"/>
      <c r="B29" s="79" t="s">
        <v>23</v>
      </c>
      <c r="C29" s="80">
        <f>transmission!O27/'parameter&amp;results'!$C$5</f>
        <v>0.4105346716806989</v>
      </c>
      <c r="D29" s="80">
        <f>transmission!Q27</f>
        <v>0.85528056600145608</v>
      </c>
      <c r="E29" s="86">
        <f>transmission!H27</f>
        <v>10.690909090909091</v>
      </c>
      <c r="F29" s="81">
        <f>transmission!I27</f>
        <v>9.9272727272727259</v>
      </c>
      <c r="G29" s="82" t="str">
        <f>transmission!J27</f>
        <v>-</v>
      </c>
      <c r="H29" s="81" t="str">
        <f>CONCATENATE(ROUND(transmission!K27,2),"   (",ROUND(transmission!K37,2),")")</f>
        <v>2.6   (0.41)</v>
      </c>
      <c r="I29" s="81" t="str">
        <f>CONCATENATE(ROUND(transmission!L27,2),"   (",ROUND(transmission!L37,2),")")</f>
        <v>1.42   (0)</v>
      </c>
      <c r="J29" s="81" t="s">
        <v>60</v>
      </c>
      <c r="K29" s="83" t="s">
        <v>60</v>
      </c>
      <c r="L29" s="83">
        <f>transmission!O27</f>
        <v>24.632080300841935</v>
      </c>
      <c r="M29" s="87"/>
    </row>
    <row r="30" spans="1:13" ht="15" customHeight="1" x14ac:dyDescent="0.25">
      <c r="A30" s="43"/>
      <c r="B30" s="43"/>
      <c r="C30" s="44"/>
      <c r="D30" s="44"/>
      <c r="E30" s="42"/>
      <c r="F30" s="42"/>
      <c r="G30" s="42"/>
      <c r="H30" s="42"/>
      <c r="I30" s="42"/>
      <c r="J30" s="42"/>
      <c r="K30" s="42"/>
      <c r="L30" s="42"/>
      <c r="M30" s="42"/>
    </row>
    <row r="31" spans="1:13" x14ac:dyDescent="0.25">
      <c r="A31" s="43"/>
      <c r="B31" s="43"/>
      <c r="C31" s="44"/>
      <c r="E31" s="42"/>
      <c r="F31" s="42"/>
      <c r="G31" s="42"/>
      <c r="H31" s="42"/>
      <c r="I31" s="42"/>
      <c r="J31" s="42"/>
      <c r="K31" s="42"/>
      <c r="L31" s="42"/>
      <c r="M31" s="42"/>
    </row>
    <row r="32" spans="1:13" x14ac:dyDescent="0.25">
      <c r="A32" s="43"/>
      <c r="B32" s="43"/>
      <c r="C32" s="44"/>
      <c r="E32" s="42"/>
      <c r="F32" s="42"/>
      <c r="G32" s="42"/>
      <c r="H32" s="42"/>
      <c r="I32" s="42"/>
      <c r="J32" s="42"/>
      <c r="K32" s="42"/>
      <c r="L32" s="42"/>
      <c r="M32" s="42"/>
    </row>
    <row r="33" spans="1:11" x14ac:dyDescent="0.25">
      <c r="A33" s="45"/>
      <c r="B33" s="45"/>
      <c r="C33" s="45"/>
    </row>
    <row r="34" spans="1:11" ht="15.75" thickBot="1" x14ac:dyDescent="0.3"/>
    <row r="35" spans="1:11" ht="20.25" customHeight="1" thickBot="1" x14ac:dyDescent="0.3">
      <c r="A35" s="49"/>
      <c r="B35" s="50" t="s">
        <v>113</v>
      </c>
      <c r="C35" s="51"/>
      <c r="D35" s="51"/>
      <c r="E35" s="51"/>
      <c r="F35" s="51"/>
      <c r="G35" s="51"/>
      <c r="H35" s="51"/>
      <c r="I35" s="51"/>
      <c r="J35" s="51"/>
      <c r="K35" s="52"/>
    </row>
    <row r="36" spans="1:11" x14ac:dyDescent="0.25">
      <c r="A36" s="49"/>
      <c r="B36" s="53" t="s">
        <v>32</v>
      </c>
      <c r="C36" s="54" t="s">
        <v>109</v>
      </c>
      <c r="D36" s="54" t="s">
        <v>108</v>
      </c>
      <c r="E36" s="55" t="s">
        <v>115</v>
      </c>
      <c r="F36" s="56"/>
      <c r="G36" s="56"/>
      <c r="H36" s="57"/>
      <c r="I36" s="88" t="s">
        <v>33</v>
      </c>
      <c r="J36" s="89" t="s">
        <v>34</v>
      </c>
      <c r="K36" s="90" t="s">
        <v>35</v>
      </c>
    </row>
    <row r="37" spans="1:11" ht="96.6" customHeight="1" thickBot="1" x14ac:dyDescent="0.3">
      <c r="A37" s="49"/>
      <c r="B37" s="58"/>
      <c r="C37" s="66"/>
      <c r="D37" s="66"/>
      <c r="E37" s="91" t="s">
        <v>36</v>
      </c>
      <c r="F37" s="92" t="s">
        <v>41</v>
      </c>
      <c r="G37" s="92" t="s">
        <v>38</v>
      </c>
      <c r="H37" s="93" t="s">
        <v>37</v>
      </c>
      <c r="I37" s="94"/>
      <c r="J37" s="95"/>
      <c r="K37" s="96"/>
    </row>
    <row r="38" spans="1:11" ht="17.25" customHeight="1" x14ac:dyDescent="0.25">
      <c r="A38" s="54" t="s">
        <v>106</v>
      </c>
      <c r="B38" s="97" t="s">
        <v>110</v>
      </c>
      <c r="C38" s="68">
        <f>transmission!M10</f>
        <v>0.5279766366883093</v>
      </c>
      <c r="D38" s="98">
        <v>1</v>
      </c>
      <c r="E38" s="84">
        <f>transmission!H10</f>
        <v>0.45333333333333331</v>
      </c>
      <c r="F38" s="69">
        <f>transmission!I10</f>
        <v>7.4643303354975946E-2</v>
      </c>
      <c r="G38" s="69" t="s">
        <v>60</v>
      </c>
      <c r="H38" s="71" t="s">
        <v>60</v>
      </c>
      <c r="I38" s="99">
        <f>transmission!L10</f>
        <v>0</v>
      </c>
      <c r="J38" s="84">
        <f>transmission!N10</f>
        <v>1</v>
      </c>
      <c r="K38" s="100">
        <f>transmission!O10</f>
        <v>330</v>
      </c>
    </row>
    <row r="39" spans="1:11" x14ac:dyDescent="0.25">
      <c r="A39" s="59"/>
      <c r="B39" s="101" t="s">
        <v>111</v>
      </c>
      <c r="C39" s="74">
        <f>transmission!M11</f>
        <v>0.59457350876985327</v>
      </c>
      <c r="D39" s="102">
        <f>(C39)/C38</f>
        <v>1.1261360209028708</v>
      </c>
      <c r="E39" s="85">
        <f>transmission!H11</f>
        <v>0.45333333333333331</v>
      </c>
      <c r="F39" s="75">
        <f>transmission!I11</f>
        <v>1.5868077162414437E-3</v>
      </c>
      <c r="G39" s="75">
        <f>transmission!J11</f>
        <v>4.0297812164723078E-2</v>
      </c>
      <c r="H39" s="77">
        <f>transmission!K11</f>
        <v>9.9355555555555503E-2</v>
      </c>
      <c r="I39" s="103">
        <f>transmission!L11</f>
        <v>0</v>
      </c>
      <c r="J39" s="85">
        <f>transmission!N11</f>
        <v>1</v>
      </c>
      <c r="K39" s="104">
        <f>transmission!O11</f>
        <v>290.15750000000003</v>
      </c>
    </row>
    <row r="40" spans="1:11" ht="15.75" thickBot="1" x14ac:dyDescent="0.3">
      <c r="A40" s="66"/>
      <c r="B40" s="105" t="s">
        <v>23</v>
      </c>
      <c r="C40" s="80">
        <f>transmission!M12</f>
        <v>0.48720895319390822</v>
      </c>
      <c r="D40" s="102">
        <f>(C40)/C38</f>
        <v>0.92278506156993412</v>
      </c>
      <c r="E40" s="86">
        <f>transmission!H12</f>
        <v>0.45333333333333331</v>
      </c>
      <c r="F40" s="81">
        <f>transmission!I12</f>
        <v>3.3875619860574926E-2</v>
      </c>
      <c r="G40" s="81" t="s">
        <v>60</v>
      </c>
      <c r="H40" s="83" t="s">
        <v>60</v>
      </c>
      <c r="I40" s="106">
        <f>transmission!L12</f>
        <v>0</v>
      </c>
      <c r="J40" s="86">
        <f>transmission!N12</f>
        <v>1</v>
      </c>
      <c r="K40" s="107">
        <f>transmission!O12</f>
        <v>330</v>
      </c>
    </row>
    <row r="41" spans="1:11" ht="17.25" customHeight="1" x14ac:dyDescent="0.25">
      <c r="A41" s="54" t="s">
        <v>107</v>
      </c>
      <c r="B41" s="97" t="s">
        <v>110</v>
      </c>
      <c r="C41" s="68">
        <f>transmission!M13</f>
        <v>0.98968281011412673</v>
      </c>
      <c r="D41" s="98">
        <v>1</v>
      </c>
      <c r="E41" s="84">
        <f>transmission!H13</f>
        <v>0.27474747474747474</v>
      </c>
      <c r="F41" s="69">
        <f>transmission!I13</f>
        <v>4.5238365669682395E-2</v>
      </c>
      <c r="G41" s="69" t="s">
        <v>60</v>
      </c>
      <c r="H41" s="71" t="s">
        <v>60</v>
      </c>
      <c r="I41" s="99">
        <f>transmission!L13</f>
        <v>0.66969696969696957</v>
      </c>
      <c r="J41" s="84">
        <f>transmission!N13</f>
        <v>0.60606060606060608</v>
      </c>
      <c r="K41" s="100">
        <f>transmission!O13</f>
        <v>330</v>
      </c>
    </row>
    <row r="42" spans="1:11" x14ac:dyDescent="0.25">
      <c r="A42" s="59"/>
      <c r="B42" s="101" t="s">
        <v>111</v>
      </c>
      <c r="C42" s="74">
        <f>transmission!M14</f>
        <v>0.9380507198813427</v>
      </c>
      <c r="D42" s="102">
        <f>(C42)/C41</f>
        <v>0.94782965844700284</v>
      </c>
      <c r="E42" s="85">
        <f>transmission!H14</f>
        <v>0.31247397246897513</v>
      </c>
      <c r="F42" s="75">
        <f>transmission!I14</f>
        <v>1.0937561264082048E-3</v>
      </c>
      <c r="G42" s="75">
        <f>transmission!J14</f>
        <v>2.7776509078499143E-2</v>
      </c>
      <c r="H42" s="77">
        <f>transmission!K14</f>
        <v>6.8483878966117018E-2</v>
      </c>
      <c r="I42" s="103">
        <f>transmission!L14</f>
        <v>0.52822260324134318</v>
      </c>
      <c r="J42" s="85">
        <f>transmission!N14</f>
        <v>0.68928082162273929</v>
      </c>
      <c r="K42" s="104">
        <f>transmission!O14</f>
        <v>290.15750000000003</v>
      </c>
    </row>
    <row r="43" spans="1:11" ht="15.75" thickBot="1" x14ac:dyDescent="0.3">
      <c r="A43" s="66"/>
      <c r="B43" s="105" t="s">
        <v>23</v>
      </c>
      <c r="C43" s="80">
        <f>transmission!M15</f>
        <v>0.96497512314782308</v>
      </c>
      <c r="D43" s="108">
        <f>(C43)/C41</f>
        <v>0.9750347417235079</v>
      </c>
      <c r="E43" s="86">
        <f>transmission!H15</f>
        <v>0.27474747474747474</v>
      </c>
      <c r="F43" s="81">
        <f>transmission!I15</f>
        <v>2.0530678703378748E-2</v>
      </c>
      <c r="G43" s="81" t="s">
        <v>60</v>
      </c>
      <c r="H43" s="83" t="s">
        <v>60</v>
      </c>
      <c r="I43" s="106">
        <f>transmission!L15</f>
        <v>0.66969696969696957</v>
      </c>
      <c r="J43" s="86">
        <f>transmission!N15</f>
        <v>0.60606060606060608</v>
      </c>
      <c r="K43" s="107">
        <f>transmission!O15</f>
        <v>330</v>
      </c>
    </row>
  </sheetData>
  <sheetProtection algorithmName="SHA-512" hashValue="D+glmeM69oRfYS+LIsK71XH0roZvYEeywHDMdAxj3ExmYe9Yr1w6k6XhaE4tieD8vyMT7MBDa3QjGMLWbeWVpQ==" saltValue="BFeEe/hCKs4lqj1lxmcE8Q==" spinCount="100000" sheet="1" objects="1" scenarios="1"/>
  <mergeCells count="25">
    <mergeCell ref="A38:A40"/>
    <mergeCell ref="A41:A43"/>
    <mergeCell ref="A12:A14"/>
    <mergeCell ref="B35:K35"/>
    <mergeCell ref="B2:C2"/>
    <mergeCell ref="B36:B37"/>
    <mergeCell ref="E36:H36"/>
    <mergeCell ref="I36:I37"/>
    <mergeCell ref="J36:J37"/>
    <mergeCell ref="K36:K37"/>
    <mergeCell ref="D36:D37"/>
    <mergeCell ref="C36:C37"/>
    <mergeCell ref="A24:A26"/>
    <mergeCell ref="A27:A29"/>
    <mergeCell ref="B20:K20"/>
    <mergeCell ref="B21:B23"/>
    <mergeCell ref="C21:C23"/>
    <mergeCell ref="A15:A17"/>
    <mergeCell ref="D21:D23"/>
    <mergeCell ref="M24:M29"/>
    <mergeCell ref="M21:M23"/>
    <mergeCell ref="L21:L23"/>
    <mergeCell ref="E21:K21"/>
    <mergeCell ref="E22:G22"/>
    <mergeCell ref="H22:K22"/>
  </mergeCells>
  <conditionalFormatting sqref="C38:C40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1:C43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38:D40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1:D43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4:D2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4:C2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4:C29 D30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7:C29 D30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7:D2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7:C2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4:D29 C30:C32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7:D29 C30:C32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55"/>
  <sheetViews>
    <sheetView topLeftCell="A13" zoomScaleNormal="100" workbookViewId="0">
      <selection activeCell="C29" sqref="C29 C38 C13"/>
    </sheetView>
  </sheetViews>
  <sheetFormatPr defaultRowHeight="15" x14ac:dyDescent="0.25"/>
  <cols>
    <col min="2" max="2" width="53.42578125" bestFit="1" customWidth="1"/>
    <col min="7" max="7" width="12.42578125" bestFit="1" customWidth="1"/>
    <col min="8" max="8" width="24.42578125" customWidth="1"/>
    <col min="9" max="9" width="30" customWidth="1"/>
    <col min="10" max="10" width="23.140625" customWidth="1"/>
    <col min="11" max="11" width="28.5703125" customWidth="1"/>
    <col min="12" max="13" width="17.140625" customWidth="1"/>
    <col min="16" max="16" width="21.7109375" bestFit="1" customWidth="1"/>
  </cols>
  <sheetData>
    <row r="4" spans="2:17" ht="14.45" x14ac:dyDescent="0.3">
      <c r="B4" t="s">
        <v>16</v>
      </c>
    </row>
    <row r="5" spans="2:17" ht="14.45" x14ac:dyDescent="0.3">
      <c r="B5" t="s">
        <v>13</v>
      </c>
      <c r="C5">
        <f>1/(C27/24)</f>
        <v>24</v>
      </c>
    </row>
    <row r="6" spans="2:17" thickBot="1" x14ac:dyDescent="0.35">
      <c r="B6" t="s">
        <v>14</v>
      </c>
      <c r="C6">
        <f>1/(C28-C27/24)</f>
        <v>0.5106382978723405</v>
      </c>
    </row>
    <row r="7" spans="2:17" ht="14.45" x14ac:dyDescent="0.3">
      <c r="B7" t="s">
        <v>15</v>
      </c>
      <c r="C7">
        <f>C35-C27/24-C36</f>
        <v>10.958333333333334</v>
      </c>
      <c r="F7" s="11" t="s">
        <v>42</v>
      </c>
      <c r="G7" s="12"/>
      <c r="H7" s="12"/>
      <c r="I7" s="12"/>
      <c r="J7" s="12"/>
      <c r="K7" s="12"/>
      <c r="L7" s="12"/>
      <c r="M7" s="12"/>
      <c r="N7" s="12"/>
      <c r="O7" s="12"/>
      <c r="P7" s="13"/>
      <c r="Q7" t="s">
        <v>78</v>
      </c>
    </row>
    <row r="8" spans="2:17" ht="14.45" x14ac:dyDescent="0.3">
      <c r="F8" s="14"/>
      <c r="G8" s="15"/>
      <c r="H8" s="15"/>
      <c r="I8" s="15"/>
      <c r="J8" s="15"/>
      <c r="K8" s="15"/>
      <c r="L8" s="15"/>
      <c r="M8" s="15"/>
      <c r="N8" s="15"/>
      <c r="O8" s="15"/>
      <c r="P8" s="16"/>
    </row>
    <row r="9" spans="2:17" ht="34.5" customHeight="1" x14ac:dyDescent="0.3">
      <c r="F9" s="14"/>
      <c r="G9" s="15" t="s">
        <v>22</v>
      </c>
      <c r="H9" s="17" t="s">
        <v>24</v>
      </c>
      <c r="I9" s="17" t="s">
        <v>25</v>
      </c>
      <c r="J9" s="17" t="s">
        <v>27</v>
      </c>
      <c r="K9" s="17" t="s">
        <v>26</v>
      </c>
      <c r="L9" s="17" t="s">
        <v>30</v>
      </c>
      <c r="M9" s="18" t="s">
        <v>9</v>
      </c>
      <c r="N9" s="17" t="s">
        <v>31</v>
      </c>
      <c r="O9" s="17" t="s">
        <v>17</v>
      </c>
      <c r="P9" s="19" t="s">
        <v>39</v>
      </c>
    </row>
    <row r="10" spans="2:17" ht="14.45" x14ac:dyDescent="0.3">
      <c r="F10" s="14" t="s">
        <v>28</v>
      </c>
      <c r="G10" s="15" t="s">
        <v>18</v>
      </c>
      <c r="H10" s="15">
        <f>C36/C35*C32</f>
        <v>0.45333333333333331</v>
      </c>
      <c r="I10" s="15">
        <f>C31*(1-C30/100)/(C5+C31*C30/100)*(1+C5/(C6+C31*C30/100))</f>
        <v>7.4643303354975946E-2</v>
      </c>
      <c r="J10" s="15">
        <v>0</v>
      </c>
      <c r="K10" s="15">
        <v>0</v>
      </c>
      <c r="L10" s="15">
        <v>0</v>
      </c>
      <c r="M10" s="15">
        <f>SUM(H10:L10)</f>
        <v>0.5279766366883093</v>
      </c>
      <c r="N10" s="15">
        <f>C29/C29</f>
        <v>1</v>
      </c>
      <c r="O10" s="15">
        <f>((1-C30/100)*C28+C30/100*C37)*C29</f>
        <v>330</v>
      </c>
      <c r="P10" s="16">
        <f>(M10-M10)/M10</f>
        <v>0</v>
      </c>
    </row>
    <row r="11" spans="2:17" ht="14.45" x14ac:dyDescent="0.3">
      <c r="B11" t="s">
        <v>17</v>
      </c>
      <c r="F11" s="14"/>
      <c r="G11" s="15" t="s">
        <v>19</v>
      </c>
      <c r="H11" s="15">
        <f>C36/C35*C32</f>
        <v>0.45333333333333331</v>
      </c>
      <c r="I11" s="15">
        <f>C31*(1-C30/100)/(C5+C31*C30/100)*C34</f>
        <v>1.5868077162414437E-3</v>
      </c>
      <c r="J11">
        <f>(1-C34)*C5*(1-C30/100)*(1-EXP(-C31*C21*C25))/(C5+C31*C30/100)/C22+(1-C34)*C31*(1-C30/100)/(C5+C31*C30/100)</f>
        <v>4.0297812164723078E-2</v>
      </c>
      <c r="K11" s="15">
        <f>(1-C33)*C7/C35*C32</f>
        <v>9.9355555555555503E-2</v>
      </c>
      <c r="L11" s="15">
        <v>0</v>
      </c>
      <c r="M11" s="15">
        <f t="shared" ref="M11:M14" si="0">SUM(H11:L11)</f>
        <v>0.59457350876985327</v>
      </c>
      <c r="N11" s="15">
        <f>C29/C29</f>
        <v>1</v>
      </c>
      <c r="O11" s="15">
        <f>(C27/24+((1-C30/100)*(1-C34)+C30/100*C33)*(C37-C27/24))*C29</f>
        <v>290.15750000000003</v>
      </c>
      <c r="P11" s="16">
        <f>(M11-M10)/M10</f>
        <v>0.12613602090287074</v>
      </c>
    </row>
    <row r="12" spans="2:17" ht="14.45" x14ac:dyDescent="0.3">
      <c r="B12" t="s">
        <v>20</v>
      </c>
      <c r="C12">
        <f>((1-C30/100)*C28+C30/100*C37)*C29</f>
        <v>330</v>
      </c>
      <c r="F12" s="14"/>
      <c r="G12" s="15" t="s">
        <v>23</v>
      </c>
      <c r="H12" s="15">
        <f>C36/C35*C32</f>
        <v>0.45333333333333331</v>
      </c>
      <c r="I12" s="20">
        <f>C31*(1-C30/100)/(C5+C31*C30/100)*(1+C34*C5*(1-C33)/(C6*((1-C30/100)*C34+C30/100*(1-C33))+C31*C30/100*(1-C33))+(1-C34)*C5*C33/(C6*((1-C30/100)*(1-C34)+C30/100*C33)+C31*C30/100*C33))</f>
        <v>3.3875619860574926E-2</v>
      </c>
      <c r="J12" s="15">
        <v>0</v>
      </c>
      <c r="K12" s="15">
        <v>0</v>
      </c>
      <c r="L12" s="15">
        <v>0</v>
      </c>
      <c r="M12" s="15">
        <f t="shared" si="0"/>
        <v>0.48720895319390822</v>
      </c>
      <c r="N12" s="15">
        <f>C29/C29</f>
        <v>1</v>
      </c>
      <c r="O12" s="15">
        <f>O10</f>
        <v>330</v>
      </c>
      <c r="P12" s="16">
        <f>(M12-M10)/M10</f>
        <v>-7.7214938430065896E-2</v>
      </c>
    </row>
    <row r="13" spans="2:17" ht="14.45" x14ac:dyDescent="0.3">
      <c r="B13" t="s">
        <v>19</v>
      </c>
      <c r="C13">
        <f>(C27/24+((1-C30/100)*(1-C34)+C30/100*C33)*(C37-C27/24))*C29</f>
        <v>290.15750000000003</v>
      </c>
      <c r="F13" s="14" t="s">
        <v>29</v>
      </c>
      <c r="G13" s="15" t="s">
        <v>18</v>
      </c>
      <c r="H13" s="15">
        <f>C16*H10/C29</f>
        <v>0.27474747474747474</v>
      </c>
      <c r="I13" s="15">
        <f>C16*I10/C29</f>
        <v>4.5238365669682395E-2</v>
      </c>
      <c r="J13" s="15">
        <v>0</v>
      </c>
      <c r="K13" s="15">
        <v>0</v>
      </c>
      <c r="L13" s="15">
        <f>(C29-C16)*C32/C29</f>
        <v>0.66969696969696957</v>
      </c>
      <c r="M13" s="15">
        <f t="shared" si="0"/>
        <v>0.98968281011412673</v>
      </c>
      <c r="N13" s="15">
        <f>MIN(1,C38/O13)</f>
        <v>0.60606060606060608</v>
      </c>
      <c r="O13" s="15">
        <f>O10</f>
        <v>330</v>
      </c>
      <c r="P13" s="16">
        <f>(M13-M13)/M13</f>
        <v>0</v>
      </c>
    </row>
    <row r="14" spans="2:17" ht="14.45" x14ac:dyDescent="0.3">
      <c r="F14" s="14"/>
      <c r="G14" s="15" t="s">
        <v>19</v>
      </c>
      <c r="H14" s="15">
        <f>C17*H11/C29</f>
        <v>0.31247397246897513</v>
      </c>
      <c r="I14" s="15">
        <f>C17*I11/C29</f>
        <v>1.0937561264082048E-3</v>
      </c>
      <c r="J14">
        <f>C17*J11/C29</f>
        <v>2.7776509078499143E-2</v>
      </c>
      <c r="K14" s="15">
        <f>C17*K11/C29</f>
        <v>6.8483878966117018E-2</v>
      </c>
      <c r="L14" s="15">
        <f>(C29-C17)*C32/C29</f>
        <v>0.52822260324134318</v>
      </c>
      <c r="M14" s="15">
        <f t="shared" si="0"/>
        <v>0.9380507198813427</v>
      </c>
      <c r="N14" s="15">
        <f>MIN(1,C38/O14)</f>
        <v>0.68928082162273929</v>
      </c>
      <c r="O14" s="15">
        <f>O11</f>
        <v>290.15750000000003</v>
      </c>
      <c r="P14" s="16">
        <f>(M14-M13)/M13</f>
        <v>-5.2170341552997171E-2</v>
      </c>
    </row>
    <row r="15" spans="2:17" ht="14.45" x14ac:dyDescent="0.3">
      <c r="B15" t="s">
        <v>21</v>
      </c>
      <c r="D15" s="9"/>
      <c r="F15" s="14"/>
      <c r="G15" s="15" t="s">
        <v>23</v>
      </c>
      <c r="H15" s="15">
        <f>C16*H12/C29</f>
        <v>0.27474747474747474</v>
      </c>
      <c r="I15" s="15">
        <f>C16*I12/C29</f>
        <v>2.0530678703378748E-2</v>
      </c>
      <c r="J15" s="15">
        <v>0</v>
      </c>
      <c r="K15" s="15">
        <v>0</v>
      </c>
      <c r="L15" s="15">
        <f>L13</f>
        <v>0.66969696969696957</v>
      </c>
      <c r="M15" s="15">
        <f>SUM(H15:L15)</f>
        <v>0.96497512314782308</v>
      </c>
      <c r="N15" s="15">
        <f>MIN(1,C38/O15)</f>
        <v>0.60606060606060608</v>
      </c>
      <c r="O15" s="15">
        <f>O12</f>
        <v>330</v>
      </c>
      <c r="P15" s="16">
        <f>(M15-M13)/M13</f>
        <v>-2.4965258276492094E-2</v>
      </c>
    </row>
    <row r="16" spans="2:17" ht="14.45" x14ac:dyDescent="0.3">
      <c r="B16" t="s">
        <v>20</v>
      </c>
      <c r="C16">
        <f>C29*MIN(1,C38/C12)</f>
        <v>36.363636363636367</v>
      </c>
      <c r="D16" s="9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6"/>
    </row>
    <row r="17" spans="2:17" thickBot="1" x14ac:dyDescent="0.35">
      <c r="B17" t="s">
        <v>19</v>
      </c>
      <c r="C17">
        <f>C29*MIN(1,C38/C13)</f>
        <v>41.356849297364356</v>
      </c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3"/>
    </row>
    <row r="18" spans="2:17" thickBot="1" x14ac:dyDescent="0.35"/>
    <row r="19" spans="2:17" ht="14.45" x14ac:dyDescent="0.3">
      <c r="F19" s="11"/>
      <c r="G19" s="12"/>
      <c r="H19" s="12" t="s">
        <v>44</v>
      </c>
      <c r="I19" s="12"/>
      <c r="J19" s="12"/>
      <c r="K19" s="12"/>
      <c r="L19" s="12"/>
      <c r="M19" s="12"/>
      <c r="N19" s="12"/>
      <c r="O19" s="12"/>
      <c r="P19" s="12"/>
      <c r="Q19" s="13"/>
    </row>
    <row r="20" spans="2:17" ht="14.45" x14ac:dyDescent="0.3">
      <c r="B20" t="s">
        <v>68</v>
      </c>
      <c r="C20">
        <v>4.5</v>
      </c>
      <c r="F20" s="14"/>
      <c r="G20" s="15"/>
      <c r="H20" s="15" t="s">
        <v>46</v>
      </c>
      <c r="I20" s="15"/>
      <c r="J20" s="15"/>
      <c r="K20" s="15" t="s">
        <v>45</v>
      </c>
      <c r="L20" s="15"/>
      <c r="M20" s="15"/>
      <c r="N20" s="15"/>
      <c r="O20" s="15"/>
      <c r="P20" s="15"/>
      <c r="Q20" s="16"/>
    </row>
    <row r="21" spans="2:17" x14ac:dyDescent="0.25">
      <c r="B21" t="s">
        <v>40</v>
      </c>
      <c r="C21">
        <f>C37</f>
        <v>7</v>
      </c>
      <c r="F21" s="14" t="s">
        <v>43</v>
      </c>
      <c r="G21" s="15"/>
      <c r="H21" s="15" t="s">
        <v>47</v>
      </c>
      <c r="I21" s="15" t="s">
        <v>49</v>
      </c>
      <c r="J21" s="15" t="s">
        <v>48</v>
      </c>
      <c r="K21" s="15" t="s">
        <v>50</v>
      </c>
      <c r="L21" s="15" t="s">
        <v>49</v>
      </c>
      <c r="M21" s="15" t="s">
        <v>51</v>
      </c>
      <c r="N21" s="15" t="s">
        <v>52</v>
      </c>
      <c r="O21" s="15" t="s">
        <v>66</v>
      </c>
      <c r="P21" s="15" t="s">
        <v>65</v>
      </c>
      <c r="Q21" s="16"/>
    </row>
    <row r="22" spans="2:17" x14ac:dyDescent="0.25">
      <c r="B22" t="s">
        <v>53</v>
      </c>
      <c r="C22">
        <f>C30/100</f>
        <v>0.7</v>
      </c>
      <c r="F22" s="14" t="s">
        <v>28</v>
      </c>
      <c r="G22" s="15" t="s">
        <v>18</v>
      </c>
      <c r="H22" s="15">
        <f>C29*C22*C39*C41</f>
        <v>17.639999999999997</v>
      </c>
      <c r="I22" s="15" t="s">
        <v>60</v>
      </c>
      <c r="J22" s="15" t="s">
        <v>60</v>
      </c>
      <c r="K22" s="15">
        <f>C29*(1-C22)*C40+(1-C40)*C43*C39</f>
        <v>5.1048089956363158</v>
      </c>
      <c r="L22" s="15" t="s">
        <v>60</v>
      </c>
      <c r="M22" s="15" t="s">
        <v>60</v>
      </c>
      <c r="N22" s="15" t="s">
        <v>60</v>
      </c>
      <c r="O22" s="15">
        <f t="shared" ref="O22:O27" si="1">SUM(H22:N22)</f>
        <v>22.744808995636312</v>
      </c>
      <c r="P22" s="15">
        <f>C29*C22*C39+C29*(1-C22)*C40</f>
        <v>28.8</v>
      </c>
      <c r="Q22" s="16">
        <f t="shared" ref="Q22:Q27" si="2">O22/$P$22</f>
        <v>0.78975031234848303</v>
      </c>
    </row>
    <row r="23" spans="2:17" x14ac:dyDescent="0.25">
      <c r="B23" t="s">
        <v>54</v>
      </c>
      <c r="C23">
        <f>C16/C29</f>
        <v>0.60606060606060608</v>
      </c>
      <c r="F23" s="14"/>
      <c r="G23" s="15" t="s">
        <v>19</v>
      </c>
      <c r="H23" s="15">
        <f>C29*C22*C39*C41*C33</f>
        <v>16.2288</v>
      </c>
      <c r="I23" s="15" t="s">
        <v>60</v>
      </c>
      <c r="J23" s="15">
        <f>C29*C22*C39*(1-C33)</f>
        <v>2.0159999999999991</v>
      </c>
      <c r="K23" s="15">
        <f>C34*C51*C40+C34*C44*(C40+C39*(1-C40))</f>
        <v>3.0919900435594276</v>
      </c>
      <c r="L23" s="15" t="s">
        <v>60</v>
      </c>
      <c r="M23" s="15">
        <f>(1-C34)*C44*C41*(C40+C39*(1-C41*C40))+(1-C34)*C51*(C41*C40+C41*C39*C54)</f>
        <v>0.44798511898653665</v>
      </c>
      <c r="N23" s="15">
        <f>(1-C34)*C51*(C39*C55)</f>
        <v>0.77335544382454036</v>
      </c>
      <c r="O23" s="15">
        <f t="shared" si="1"/>
        <v>22.558130606370504</v>
      </c>
      <c r="P23" s="15"/>
      <c r="Q23" s="16">
        <f t="shared" si="2"/>
        <v>0.7832684238323091</v>
      </c>
    </row>
    <row r="24" spans="2:17" ht="14.45" x14ac:dyDescent="0.3">
      <c r="B24" t="s">
        <v>55</v>
      </c>
      <c r="C24">
        <f>C17/C29</f>
        <v>0.68928082162273929</v>
      </c>
      <c r="F24" s="14"/>
      <c r="G24" s="15" t="s">
        <v>23</v>
      </c>
      <c r="H24" s="15">
        <f>C29*C22*C39*C41</f>
        <v>17.639999999999997</v>
      </c>
      <c r="I24" s="15" t="s">
        <v>60</v>
      </c>
      <c r="J24" s="15" t="s">
        <v>60</v>
      </c>
      <c r="K24" s="15">
        <f>C29*(1-C22)*C40+(1-C40)*(C45+D45)*C39</f>
        <v>4.2829324963891917</v>
      </c>
      <c r="L24" s="15" t="s">
        <v>60</v>
      </c>
      <c r="M24" s="15" t="s">
        <v>60</v>
      </c>
      <c r="N24" s="15" t="s">
        <v>60</v>
      </c>
      <c r="O24" s="15">
        <f t="shared" si="1"/>
        <v>21.922932496389187</v>
      </c>
      <c r="P24" s="15"/>
      <c r="Q24" s="16">
        <f t="shared" si="2"/>
        <v>0.7612129339024023</v>
      </c>
    </row>
    <row r="25" spans="2:17" thickBot="1" x14ac:dyDescent="0.35">
      <c r="B25" t="s">
        <v>56</v>
      </c>
      <c r="C25">
        <f>C22*C33/(C22*C33+(1-C22)*(1-C34))</f>
        <v>0.93468795355587808</v>
      </c>
      <c r="F25" s="14" t="s">
        <v>29</v>
      </c>
      <c r="G25" s="15" t="s">
        <v>18</v>
      </c>
      <c r="H25" s="15">
        <f>C29*C22*C23*C39*C41</f>
        <v>10.690909090909091</v>
      </c>
      <c r="I25" s="15">
        <f>C29*C22*(1-C23)*C39</f>
        <v>9.9272727272727259</v>
      </c>
      <c r="J25" s="15" t="s">
        <v>60</v>
      </c>
      <c r="K25" s="15">
        <f>C29*(1-C22)*C40*C23+(1-C40)*C48*C39</f>
        <v>3.0938236337189799</v>
      </c>
      <c r="L25" s="15">
        <f>C29*(1-C22)*C40*(1-C23)</f>
        <v>1.4181818181818184</v>
      </c>
      <c r="M25" s="15" t="s">
        <v>60</v>
      </c>
      <c r="N25" s="15" t="s">
        <v>60</v>
      </c>
      <c r="O25" s="15">
        <f t="shared" si="1"/>
        <v>25.130187270082615</v>
      </c>
      <c r="P25" s="15"/>
      <c r="Q25" s="16">
        <f t="shared" si="2"/>
        <v>0.87257594687786855</v>
      </c>
    </row>
    <row r="26" spans="2:17" thickBot="1" x14ac:dyDescent="0.35">
      <c r="B26" s="24" t="s">
        <v>5</v>
      </c>
      <c r="C26" s="25"/>
      <c r="F26" s="14"/>
      <c r="G26" s="15" t="s">
        <v>19</v>
      </c>
      <c r="H26" s="15">
        <f>C29*C22*C24*C39*C41*C33</f>
        <v>11.18620059795111</v>
      </c>
      <c r="I26" s="15">
        <f>C29*C22*(1-C24)*C39</f>
        <v>7.8301232951069686</v>
      </c>
      <c r="J26" s="15">
        <f>C29*C22*C39*(1-C33)*C24</f>
        <v>1.3895901363914418</v>
      </c>
      <c r="K26" s="15">
        <f>C34*C52*C40+C34*C49*(C40+C39*(1-C40))</f>
        <v>2.1312494376739717</v>
      </c>
      <c r="L26" s="15">
        <f>+C29*(1-C22)*(1-C24)*C40</f>
        <v>1.1185890421581388</v>
      </c>
      <c r="M26" s="15">
        <f>(1-C34)*C49*C41*(C40+C39*(1-C41*C40))+(1-C34)*C52*(C41*C40+C41*C39*C54)</f>
        <v>0.30878755088980064</v>
      </c>
      <c r="N26" s="15">
        <f>(1-C34)*C52*(C39*C55)</f>
        <v>0.53305907572579747</v>
      </c>
      <c r="O26" s="15">
        <f t="shared" si="1"/>
        <v>24.497599135897229</v>
      </c>
      <c r="P26" s="15"/>
      <c r="Q26" s="16">
        <f t="shared" si="2"/>
        <v>0.85061108110754269</v>
      </c>
    </row>
    <row r="27" spans="2:17" ht="14.45" x14ac:dyDescent="0.3">
      <c r="B27" s="1" t="s">
        <v>8</v>
      </c>
      <c r="C27" s="2">
        <f>'parameter&amp;results'!C3</f>
        <v>1</v>
      </c>
      <c r="F27" s="14"/>
      <c r="G27" s="15" t="s">
        <v>23</v>
      </c>
      <c r="H27" s="15">
        <f>C29*C22*C23*C39*C41</f>
        <v>10.690909090909091</v>
      </c>
      <c r="I27" s="15">
        <f>C29*(1-C23)*C39*C22</f>
        <v>9.9272727272727259</v>
      </c>
      <c r="J27" s="15" t="s">
        <v>60</v>
      </c>
      <c r="K27" s="15">
        <f>C29*(1-C22)*C40*C23+(1-C40)*(C50+D50)*C39</f>
        <v>2.5957166644782981</v>
      </c>
      <c r="L27" s="15">
        <f>C29*(1-C22)*C40*(1-C23)</f>
        <v>1.4181818181818184</v>
      </c>
      <c r="M27" s="15" t="s">
        <v>60</v>
      </c>
      <c r="N27" s="15" t="s">
        <v>60</v>
      </c>
      <c r="O27" s="15">
        <f t="shared" si="1"/>
        <v>24.632080300841935</v>
      </c>
      <c r="P27" s="15"/>
      <c r="Q27" s="16">
        <f t="shared" si="2"/>
        <v>0.85528056600145608</v>
      </c>
    </row>
    <row r="28" spans="2:17" ht="14.45" x14ac:dyDescent="0.3">
      <c r="B28" s="3" t="s">
        <v>4</v>
      </c>
      <c r="C28" s="4">
        <f>'parameter&amp;results'!C4</f>
        <v>2</v>
      </c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6"/>
    </row>
    <row r="29" spans="2:17" ht="14.45" x14ac:dyDescent="0.3">
      <c r="B29" s="3" t="s">
        <v>7</v>
      </c>
      <c r="C29" s="4">
        <f>'parameter&amp;results'!C5</f>
        <v>60</v>
      </c>
      <c r="F29" s="14"/>
      <c r="G29" s="15"/>
      <c r="H29" s="15" t="s">
        <v>77</v>
      </c>
      <c r="I29" s="15"/>
      <c r="J29" s="15"/>
      <c r="K29" s="15"/>
      <c r="L29" s="15"/>
      <c r="M29" s="15"/>
      <c r="N29" s="15"/>
      <c r="O29" s="15"/>
      <c r="P29" s="15"/>
      <c r="Q29" s="16"/>
    </row>
    <row r="30" spans="2:17" x14ac:dyDescent="0.25">
      <c r="B30" s="3" t="s">
        <v>2</v>
      </c>
      <c r="C30" s="4">
        <f>'parameter&amp;results'!C6</f>
        <v>70</v>
      </c>
      <c r="F30" s="14"/>
      <c r="G30" s="15"/>
      <c r="H30" s="15" t="s">
        <v>46</v>
      </c>
      <c r="I30" s="15"/>
      <c r="J30" s="15"/>
      <c r="K30" s="15" t="s">
        <v>45</v>
      </c>
      <c r="L30" s="15"/>
      <c r="M30" s="15"/>
      <c r="N30" s="15"/>
      <c r="O30" s="15"/>
      <c r="P30" s="15"/>
      <c r="Q30" s="16"/>
    </row>
    <row r="31" spans="2:17" ht="15.75" thickBot="1" x14ac:dyDescent="0.3">
      <c r="B31" s="5" t="s">
        <v>3</v>
      </c>
      <c r="C31" s="6">
        <f>'parameter&amp;results'!C7</f>
        <v>0.15</v>
      </c>
      <c r="F31" s="14" t="s">
        <v>43</v>
      </c>
      <c r="G31" s="15"/>
      <c r="H31" s="15"/>
      <c r="I31" s="15"/>
      <c r="J31" s="15"/>
      <c r="K31" s="15" t="s">
        <v>50</v>
      </c>
      <c r="L31" s="15" t="s">
        <v>49</v>
      </c>
      <c r="M31" s="15" t="s">
        <v>51</v>
      </c>
      <c r="N31" s="15" t="s">
        <v>52</v>
      </c>
      <c r="O31" s="15" t="s">
        <v>66</v>
      </c>
      <c r="P31" s="15" t="s">
        <v>65</v>
      </c>
      <c r="Q31" s="16"/>
    </row>
    <row r="32" spans="2:17" ht="15.75" thickBot="1" x14ac:dyDescent="0.3">
      <c r="B32" s="3" t="s">
        <v>9</v>
      </c>
      <c r="C32" s="4">
        <f>'parameter&amp;results'!C15</f>
        <v>1.7</v>
      </c>
      <c r="F32" s="14" t="s">
        <v>28</v>
      </c>
      <c r="G32" s="15" t="s">
        <v>18</v>
      </c>
      <c r="H32" s="15"/>
      <c r="I32" s="15"/>
      <c r="J32" s="15"/>
      <c r="K32" s="15">
        <f>(1-C40)*C43*C39</f>
        <v>1.5048089956363151</v>
      </c>
      <c r="L32" s="15" t="s">
        <v>60</v>
      </c>
      <c r="M32" s="15" t="s">
        <v>60</v>
      </c>
      <c r="N32" s="15" t="s">
        <v>60</v>
      </c>
      <c r="O32" s="15"/>
      <c r="P32" s="15"/>
      <c r="Q32" s="16"/>
    </row>
    <row r="33" spans="1:17" x14ac:dyDescent="0.25">
      <c r="B33" s="1" t="s">
        <v>0</v>
      </c>
      <c r="C33" s="1">
        <f>'parameter&amp;results'!C9</f>
        <v>0.92</v>
      </c>
      <c r="F33" s="14"/>
      <c r="G33" s="15" t="s">
        <v>19</v>
      </c>
      <c r="H33" s="15"/>
      <c r="I33" s="15"/>
      <c r="J33" s="15"/>
      <c r="K33" s="15">
        <f>C34*C44*(+C39*(1-C40))</f>
        <v>3.1990043559427507E-2</v>
      </c>
      <c r="L33" s="15" t="s">
        <v>60</v>
      </c>
      <c r="M33" s="15">
        <f>(1-C34)*C44*C41*(+C39*(1-C41*C40))+(1-C34)*C51*(+C41*C39*C54)</f>
        <v>6.9985118986536615E-2</v>
      </c>
      <c r="N33" s="15">
        <f>(1-C34)*C51*(C39*C55)</f>
        <v>0.77335544382454036</v>
      </c>
      <c r="O33" s="15"/>
      <c r="P33" s="15"/>
      <c r="Q33" s="16"/>
    </row>
    <row r="34" spans="1:17" ht="15.75" thickBot="1" x14ac:dyDescent="0.3">
      <c r="B34" s="5" t="s">
        <v>1</v>
      </c>
      <c r="C34" s="5">
        <f>'parameter&amp;results'!C10</f>
        <v>0.85</v>
      </c>
      <c r="F34" s="14"/>
      <c r="G34" s="15" t="s">
        <v>23</v>
      </c>
      <c r="H34" s="15"/>
      <c r="I34" s="15"/>
      <c r="J34" s="15"/>
      <c r="K34" s="15">
        <f>(1-C40)*(C45+D45)*C39</f>
        <v>0.6829324963891904</v>
      </c>
      <c r="L34" s="15" t="s">
        <v>60</v>
      </c>
      <c r="M34" s="15" t="s">
        <v>60</v>
      </c>
      <c r="N34" s="15" t="s">
        <v>60</v>
      </c>
      <c r="O34" s="15"/>
      <c r="P34" s="15"/>
      <c r="Q34" s="16"/>
    </row>
    <row r="35" spans="1:17" x14ac:dyDescent="0.25">
      <c r="B35" s="1" t="s">
        <v>10</v>
      </c>
      <c r="C35" s="1">
        <f>'parameter&amp;results'!C16</f>
        <v>15</v>
      </c>
      <c r="F35" s="14" t="s">
        <v>29</v>
      </c>
      <c r="G35" s="15" t="s">
        <v>18</v>
      </c>
      <c r="H35" s="15"/>
      <c r="I35" s="15"/>
      <c r="J35" s="15"/>
      <c r="K35" s="15">
        <f>(1-C40)*C48*C39</f>
        <v>0.91200545190079718</v>
      </c>
      <c r="L35" s="15">
        <f>0</f>
        <v>0</v>
      </c>
      <c r="M35" s="15" t="s">
        <v>60</v>
      </c>
      <c r="N35" s="15" t="s">
        <v>60</v>
      </c>
      <c r="O35" s="15"/>
      <c r="P35" s="15"/>
      <c r="Q35" s="16"/>
    </row>
    <row r="36" spans="1:17" x14ac:dyDescent="0.25">
      <c r="B36" s="3" t="s">
        <v>11</v>
      </c>
      <c r="C36" s="3">
        <f>'parameter&amp;results'!C17</f>
        <v>4</v>
      </c>
      <c r="F36" s="14"/>
      <c r="G36" s="15" t="s">
        <v>19</v>
      </c>
      <c r="H36" s="15"/>
      <c r="I36" s="15"/>
      <c r="J36" s="15"/>
      <c r="K36" s="15">
        <f>C34*C49*(+C39*(1-C40))</f>
        <v>2.2050123508389408E-2</v>
      </c>
      <c r="L36" s="15">
        <f>0</f>
        <v>0</v>
      </c>
      <c r="M36" s="15">
        <f>(1-C34)*C49*C41*(C40+C39*(1-C41*C40))+(1-C34)*C52*(C41*C40+C41*C39*C54)</f>
        <v>0.30878755088980064</v>
      </c>
      <c r="N36" s="15">
        <f>(1-C34)*C52*(C39*C55)</f>
        <v>0.53305907572579747</v>
      </c>
      <c r="O36" s="15"/>
      <c r="P36" s="15"/>
      <c r="Q36" s="16"/>
    </row>
    <row r="37" spans="1:17" ht="15.75" thickBot="1" x14ac:dyDescent="0.3">
      <c r="B37" s="5" t="s">
        <v>12</v>
      </c>
      <c r="C37" s="5">
        <f>'parameter&amp;results'!C8</f>
        <v>7</v>
      </c>
      <c r="F37" s="21"/>
      <c r="G37" s="22" t="s">
        <v>23</v>
      </c>
      <c r="H37" s="22"/>
      <c r="I37" s="22"/>
      <c r="J37" s="22"/>
      <c r="K37" s="22">
        <f>+(1-C40)*(C50+D50)*C39</f>
        <v>0.41389848266011542</v>
      </c>
      <c r="L37" s="22">
        <f>0</f>
        <v>0</v>
      </c>
      <c r="M37" s="22" t="s">
        <v>60</v>
      </c>
      <c r="N37" s="22" t="s">
        <v>60</v>
      </c>
      <c r="O37" s="22"/>
      <c r="P37" s="22"/>
      <c r="Q37" s="23"/>
    </row>
    <row r="38" spans="1:17" ht="15.75" thickBot="1" x14ac:dyDescent="0.3">
      <c r="B38" s="7" t="s">
        <v>6</v>
      </c>
      <c r="C38" s="8">
        <f>'parameter&amp;results'!C11</f>
        <v>200</v>
      </c>
    </row>
    <row r="39" spans="1:17" x14ac:dyDescent="0.25">
      <c r="B39" s="3" t="s">
        <v>57</v>
      </c>
      <c r="C39" s="4">
        <f>'parameter&amp;results'!C12</f>
        <v>0.6</v>
      </c>
    </row>
    <row r="40" spans="1:17" x14ac:dyDescent="0.25">
      <c r="B40" s="3" t="s">
        <v>58</v>
      </c>
      <c r="C40" s="4">
        <f>'parameter&amp;results'!C13</f>
        <v>0.2</v>
      </c>
    </row>
    <row r="41" spans="1:17" x14ac:dyDescent="0.25">
      <c r="B41" s="3" t="s">
        <v>59</v>
      </c>
      <c r="C41" s="4">
        <f>'parameter&amp;results'!C14</f>
        <v>0.7</v>
      </c>
    </row>
    <row r="42" spans="1:17" x14ac:dyDescent="0.25">
      <c r="G42" t="s">
        <v>76</v>
      </c>
      <c r="H42">
        <f t="shared" ref="H42:H47" si="3">SUM(H22:J22)</f>
        <v>17.639999999999997</v>
      </c>
      <c r="I42" t="s">
        <v>73</v>
      </c>
      <c r="K42">
        <f t="shared" ref="K42:K47" si="4">SUM(K22:N22)</f>
        <v>5.1048089956363158</v>
      </c>
      <c r="L42" t="s">
        <v>73</v>
      </c>
    </row>
    <row r="43" spans="1:17" x14ac:dyDescent="0.25">
      <c r="A43" s="26" t="s">
        <v>28</v>
      </c>
      <c r="B43" s="10" t="s">
        <v>61</v>
      </c>
      <c r="C43">
        <f>C31*C29*C22*(1-C22)/(C5+C22*C31)*(1+C5/(C6+C22*C31))</f>
        <v>3.1350187409089894</v>
      </c>
      <c r="H43">
        <f t="shared" si="3"/>
        <v>18.244799999999998</v>
      </c>
      <c r="I43" t="s">
        <v>73</v>
      </c>
      <c r="K43">
        <f t="shared" si="4"/>
        <v>4.3133306063705046</v>
      </c>
      <c r="L43" t="s">
        <v>73</v>
      </c>
    </row>
    <row r="44" spans="1:17" x14ac:dyDescent="0.25">
      <c r="A44" s="26"/>
      <c r="B44" s="10" t="s">
        <v>64</v>
      </c>
      <c r="C44">
        <f>C31*C29*C22*(1-C22)/(C5+C22*C31)</f>
        <v>7.8406969508400745E-2</v>
      </c>
      <c r="H44">
        <f t="shared" si="3"/>
        <v>17.639999999999997</v>
      </c>
      <c r="I44" t="s">
        <v>73</v>
      </c>
      <c r="K44">
        <f t="shared" si="4"/>
        <v>4.2829324963891917</v>
      </c>
      <c r="L44" t="s">
        <v>73</v>
      </c>
    </row>
    <row r="45" spans="1:17" x14ac:dyDescent="0.25">
      <c r="A45" s="26"/>
      <c r="B45" s="10" t="s">
        <v>75</v>
      </c>
      <c r="C45">
        <f>(1-C34)*C31*C29*C22*(1-C22)/(C5+C22*C31)*C46</f>
        <v>0.59085701631075038</v>
      </c>
      <c r="D45">
        <f>(C34)*C31*C29*C22*(1-C22)/(C5+C22*C31)*C47</f>
        <v>0.83191901783339628</v>
      </c>
      <c r="H45">
        <f t="shared" si="3"/>
        <v>20.618181818181817</v>
      </c>
      <c r="I45" t="s">
        <v>73</v>
      </c>
      <c r="K45">
        <f t="shared" si="4"/>
        <v>4.5120054519007979</v>
      </c>
      <c r="L45" t="s">
        <v>73</v>
      </c>
    </row>
    <row r="46" spans="1:17" x14ac:dyDescent="0.25">
      <c r="B46" s="10" t="s">
        <v>62</v>
      </c>
      <c r="C46">
        <f>1+C33*C5/(C6*((1-C22)*(1-C34)+C22*C33)+C31*C22*C33)</f>
        <v>50.238477524411415</v>
      </c>
      <c r="H46">
        <f t="shared" si="3"/>
        <v>20.405914029449519</v>
      </c>
      <c r="I46" t="s">
        <v>73</v>
      </c>
      <c r="K46">
        <f t="shared" si="4"/>
        <v>4.0916851064477084</v>
      </c>
      <c r="L46" t="s">
        <v>73</v>
      </c>
    </row>
    <row r="47" spans="1:17" x14ac:dyDescent="0.25">
      <c r="B47" s="10" t="s">
        <v>63</v>
      </c>
      <c r="C47">
        <f>1+(1-C33)*C5/(C6*((1-C22)*(C34)+C22*(1-C33))+C31*C22*(1-C33))</f>
        <v>12.482669109787748</v>
      </c>
      <c r="H47">
        <f t="shared" si="3"/>
        <v>20.618181818181817</v>
      </c>
      <c r="I47" t="s">
        <v>73</v>
      </c>
      <c r="K47">
        <f t="shared" si="4"/>
        <v>4.0138984826601165</v>
      </c>
      <c r="L47" t="s">
        <v>73</v>
      </c>
    </row>
    <row r="48" spans="1:17" x14ac:dyDescent="0.25">
      <c r="B48" s="10" t="s">
        <v>71</v>
      </c>
      <c r="C48">
        <f>C31*C16*C22*(1-C22)/(C5+C22*C31)*(1+C5/(C6+C22*C31))</f>
        <v>1.9000113581266607</v>
      </c>
    </row>
    <row r="49" spans="2:4" x14ac:dyDescent="0.25">
      <c r="B49" s="10" t="s">
        <v>64</v>
      </c>
      <c r="C49">
        <f>C31*C17*C22*(1-C22)/(C5+C22*C31)</f>
        <v>5.4044420363699532E-2</v>
      </c>
    </row>
    <row r="50" spans="2:4" x14ac:dyDescent="0.25">
      <c r="B50" s="10" t="s">
        <v>74</v>
      </c>
      <c r="C50">
        <f>(1-C34)*C31*C16*C22*(1-C22)/(C5+C22*C31)*C46</f>
        <v>0.35809516140045478</v>
      </c>
      <c r="D50">
        <f>(C34)*C31*C16*C22*(1-C22)/(C5+C22*C31)*C47</f>
        <v>0.50419334414145245</v>
      </c>
    </row>
    <row r="51" spans="2:4" x14ac:dyDescent="0.25">
      <c r="B51" s="10" t="s">
        <v>67</v>
      </c>
      <c r="C51">
        <f>C5*C29*(1-C22)/(C5+C31*C22)</f>
        <v>17.9215930304916</v>
      </c>
    </row>
    <row r="52" spans="2:4" x14ac:dyDescent="0.25">
      <c r="B52" s="10" t="s">
        <v>72</v>
      </c>
      <c r="C52">
        <f>C5*C17*(1-C22)/(C5+C31*C22)</f>
        <v>12.353010368845608</v>
      </c>
    </row>
    <row r="54" spans="2:4" x14ac:dyDescent="0.25">
      <c r="B54" s="10" t="s">
        <v>69</v>
      </c>
      <c r="C54">
        <f>(1-C41*C40)*(1-EXP(-C31*C25*(C21-2-C20)))</f>
        <v>5.8222776791977703E-2</v>
      </c>
    </row>
    <row r="55" spans="2:4" x14ac:dyDescent="0.25">
      <c r="B55" s="10" t="s">
        <v>70</v>
      </c>
      <c r="C55">
        <f>(1-C41*C40)*EXP(-C31*C25*C21)*(EXP(C31*C25*(2+C20))-1)</f>
        <v>0.4794684406736251</v>
      </c>
    </row>
  </sheetData>
  <sheetProtection algorithmName="SHA-512" hashValue="pNQbIWaP8Uxnm8NoTVQWi0+FyFM8bSvcqtwv7Rpp822ZNCblZxIFzd1r/0ku2bvsaRgeHrSH3birPji7TOd2NQ==" saltValue="U6/bg2m3h+vDWuugbN9+cQ==" spinCount="100000" sheet="1" objects="1" scenarios="1"/>
  <mergeCells count="2">
    <mergeCell ref="B26:C26"/>
    <mergeCell ref="A43:A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parameter&amp;results</vt:lpstr>
      <vt:lpstr>transmission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2015-08-14T11:13:33Z</dcterms:modified>
</cp:coreProperties>
</file>