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120" windowWidth="19125" windowHeight="11040"/>
  </bookViews>
  <sheets>
    <sheet name="גיליון1" sheetId="1" r:id="rId1"/>
    <sheet name="גיליון2" sheetId="2" r:id="rId2"/>
    <sheet name="גיליון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AP51" i="1"/>
  <c r="AO51"/>
  <c r="AK51"/>
  <c r="AJ51"/>
  <c r="AP50"/>
  <c r="AO50"/>
  <c r="AN50"/>
  <c r="AN51" s="1"/>
  <c r="AK50"/>
  <c r="AJ50"/>
  <c r="AI50"/>
  <c r="AI51" s="1"/>
  <c r="AP49"/>
  <c r="AO49"/>
  <c r="AN49"/>
  <c r="AK49"/>
  <c r="AJ49"/>
  <c r="AI49"/>
  <c r="AN44"/>
  <c r="AI44"/>
  <c r="AE41"/>
  <c r="AA41"/>
  <c r="P41"/>
  <c r="N41"/>
  <c r="M41"/>
  <c r="L41"/>
  <c r="AE40"/>
  <c r="AC40"/>
  <c r="AB40"/>
  <c r="AA40"/>
  <c r="P40"/>
  <c r="O40"/>
  <c r="L40"/>
  <c r="AE39"/>
  <c r="AB39"/>
  <c r="AA39"/>
  <c r="M39"/>
  <c r="AE35"/>
  <c r="AD35"/>
  <c r="AD41" s="1"/>
  <c r="AC35"/>
  <c r="AC41" s="1"/>
  <c r="AB35"/>
  <c r="AB41" s="1"/>
  <c r="P35"/>
  <c r="O35"/>
  <c r="O41" s="1"/>
  <c r="N35"/>
  <c r="M35"/>
  <c r="AE34"/>
  <c r="AD34"/>
  <c r="AD40" s="1"/>
  <c r="AC34"/>
  <c r="AB34"/>
  <c r="P34"/>
  <c r="O34"/>
  <c r="N34"/>
  <c r="N40" s="1"/>
  <c r="M34"/>
  <c r="M40" s="1"/>
  <c r="AE33"/>
  <c r="AD33"/>
  <c r="AD39" s="1"/>
  <c r="AC33"/>
  <c r="AC39" s="1"/>
  <c r="AB33"/>
  <c r="AA33"/>
  <c r="P33"/>
  <c r="P39" s="1"/>
  <c r="O33"/>
  <c r="O39" s="1"/>
  <c r="N33"/>
  <c r="N39" s="1"/>
  <c r="M33"/>
  <c r="L33"/>
  <c r="L39" s="1"/>
  <c r="AE29"/>
  <c r="AD29"/>
  <c r="AC29"/>
  <c r="AB29"/>
  <c r="P29"/>
  <c r="O29"/>
  <c r="N29"/>
  <c r="M29"/>
  <c r="AE28"/>
  <c r="AD28"/>
  <c r="AC28"/>
  <c r="AB28"/>
  <c r="P28"/>
  <c r="O28"/>
  <c r="N28"/>
  <c r="M28"/>
  <c r="AE27"/>
  <c r="AD27"/>
  <c r="AC27"/>
  <c r="AB27"/>
  <c r="AA27"/>
  <c r="P27"/>
  <c r="O27"/>
  <c r="N27"/>
  <c r="M27"/>
  <c r="L27"/>
  <c r="AP20"/>
  <c r="AO20"/>
  <c r="AN20"/>
  <c r="AM20"/>
  <c r="AL20"/>
  <c r="AK20"/>
  <c r="AU8" s="1"/>
  <c r="AJ20"/>
  <c r="AI20"/>
  <c r="AU13" s="1"/>
  <c r="AU18" s="1"/>
  <c r="AM18"/>
  <c r="AL18"/>
  <c r="AK18"/>
  <c r="AT13" s="1"/>
  <c r="AT18" s="1"/>
  <c r="AJ18"/>
  <c r="AI18"/>
  <c r="AT8" s="1"/>
  <c r="AL16"/>
  <c r="AK16"/>
  <c r="AJ16"/>
  <c r="AS13" s="1"/>
  <c r="AS18" s="1"/>
  <c r="AO12"/>
  <c r="AN12"/>
  <c r="AM12"/>
  <c r="AL12"/>
  <c r="AK12"/>
  <c r="AJ12"/>
  <c r="AU7" s="1"/>
  <c r="AI12"/>
  <c r="AI22" s="1"/>
  <c r="V11"/>
  <c r="M11"/>
  <c r="D11"/>
  <c r="AL10"/>
  <c r="AK10"/>
  <c r="AJ10"/>
  <c r="AI10"/>
  <c r="AT7" s="1"/>
  <c r="AS8"/>
  <c r="AM8"/>
  <c r="AL8"/>
  <c r="AK8"/>
  <c r="AJ8"/>
  <c r="AI8"/>
  <c r="AS12" s="1"/>
  <c r="AS17" s="1"/>
  <c r="AS7"/>
  <c r="AA6"/>
  <c r="I6"/>
  <c r="H6"/>
  <c r="AA5"/>
  <c r="Z5"/>
  <c r="Z6" s="1"/>
  <c r="R5"/>
  <c r="R6" s="1"/>
  <c r="Q5"/>
  <c r="Q6" s="1"/>
  <c r="I5"/>
  <c r="H5"/>
  <c r="AA4"/>
  <c r="Z4"/>
  <c r="R4"/>
  <c r="Q4"/>
  <c r="I4"/>
  <c r="H4"/>
  <c r="AU12" l="1"/>
  <c r="AU17" s="1"/>
  <c r="AT12"/>
  <c r="AT17" s="1"/>
</calcChain>
</file>

<file path=xl/sharedStrings.xml><?xml version="1.0" encoding="utf-8"?>
<sst xmlns="http://schemas.openxmlformats.org/spreadsheetml/2006/main" count="182" uniqueCount="49">
  <si>
    <t>Statistics were performed on 35</t>
  </si>
  <si>
    <t>Fig 3a</t>
  </si>
  <si>
    <t>PBS</t>
  </si>
  <si>
    <t>Agrin</t>
  </si>
  <si>
    <t>Fig 3b</t>
  </si>
  <si>
    <t>Fig 3c</t>
  </si>
  <si>
    <t>Fig 3e</t>
  </si>
  <si>
    <t>U1</t>
  </si>
  <si>
    <t>U2</t>
  </si>
  <si>
    <t>U3</t>
  </si>
  <si>
    <t>U4</t>
  </si>
  <si>
    <t>Ave</t>
  </si>
  <si>
    <t>STD</t>
  </si>
  <si>
    <t>Sem</t>
  </si>
  <si>
    <t>one tailed t-test</t>
  </si>
  <si>
    <t>SEM</t>
  </si>
  <si>
    <t>Statistics were performed on 5w</t>
  </si>
  <si>
    <t>Fig 3f</t>
  </si>
  <si>
    <t>Uninjured</t>
  </si>
  <si>
    <t>Baseline</t>
  </si>
  <si>
    <t>1w</t>
  </si>
  <si>
    <t>3w</t>
  </si>
  <si>
    <t>4w</t>
  </si>
  <si>
    <t>5w</t>
  </si>
  <si>
    <t>Fig 3g</t>
  </si>
  <si>
    <t>484/471</t>
  </si>
  <si>
    <t>Fig 3h</t>
  </si>
  <si>
    <t>LVPW</t>
  </si>
  <si>
    <t>LVAW</t>
  </si>
  <si>
    <t>486/413</t>
  </si>
  <si>
    <t>496/402</t>
  </si>
  <si>
    <t>476/403</t>
  </si>
  <si>
    <t>Statistics were performed on LVPW PBS vs Agrin</t>
  </si>
  <si>
    <t>498(bad inj)</t>
  </si>
  <si>
    <t>Dunnett's Multiple Comparison Test</t>
  </si>
  <si>
    <t>Mean Diff.</t>
  </si>
  <si>
    <t>q</t>
  </si>
  <si>
    <t>Significant? P &lt; 0.05?</t>
  </si>
  <si>
    <t>Summary</t>
  </si>
  <si>
    <t>95% CI of diff</t>
  </si>
  <si>
    <t>PBS vs Uninjured</t>
  </si>
  <si>
    <t>Yes</t>
  </si>
  <si>
    <t>**</t>
  </si>
  <si>
    <t>-24.61 to -6.158</t>
  </si>
  <si>
    <t>*</t>
  </si>
  <si>
    <t>-13.52 to -1.125</t>
  </si>
  <si>
    <t>PBS vs Agrin</t>
  </si>
  <si>
    <t>-21.35 to -4.892</t>
  </si>
  <si>
    <t>-11.36 to -0.3018</t>
  </si>
</sst>
</file>

<file path=xl/styles.xml><?xml version="1.0" encoding="utf-8"?>
<styleSheet xmlns="http://schemas.openxmlformats.org/spreadsheetml/2006/main">
  <fonts count="4">
    <font>
      <sz val="11"/>
      <color theme="1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i/>
      <sz val="9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0" xfId="0" applyFill="1" applyBorder="1"/>
    <xf numFmtId="0" fontId="0" fillId="0" borderId="5" xfId="0" applyFill="1" applyBorder="1"/>
    <xf numFmtId="0" fontId="2" fillId="0" borderId="4" xfId="0" applyFont="1" applyFill="1" applyBorder="1"/>
    <xf numFmtId="0" fontId="1" fillId="0" borderId="0" xfId="0" applyFont="1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/>
    <xf numFmtId="0" fontId="1" fillId="0" borderId="4" xfId="0" applyFont="1" applyFill="1" applyBorder="1"/>
    <xf numFmtId="0" fontId="3" fillId="0" borderId="0" xfId="0" applyFont="1" applyFill="1" applyAlignment="1">
      <alignment horizontal="left"/>
    </xf>
    <xf numFmtId="0" fontId="3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autoTitleDeleted val="1"/>
    <c:plotArea>
      <c:layout/>
      <c:barChart>
        <c:barDir val="col"/>
        <c:grouping val="clustered"/>
        <c:ser>
          <c:idx val="0"/>
          <c:order val="0"/>
          <c:tx>
            <c:strRef>
              <c:f>'[1]Fig 3'!$G$4</c:f>
              <c:strCache>
                <c:ptCount val="1"/>
                <c:pt idx="0">
                  <c:v>Ave</c:v>
                </c:pt>
              </c:strCache>
            </c:strRef>
          </c:tx>
          <c:errBars>
            <c:errBarType val="both"/>
            <c:errValType val="cust"/>
            <c:plus>
              <c:numRef>
                <c:f>'[1]Fig 3'!$H$6:$I$6</c:f>
                <c:numCache>
                  <c:formatCode>General</c:formatCode>
                  <c:ptCount val="2"/>
                  <c:pt idx="0">
                    <c:v>0.18215972788408741</c:v>
                  </c:pt>
                  <c:pt idx="1">
                    <c:v>0.18214321770801439</c:v>
                  </c:pt>
                </c:numCache>
              </c:numRef>
            </c:plus>
            <c:minus>
              <c:numRef>
                <c:f>'[1]Fig 3'!$H$6:$I$6</c:f>
                <c:numCache>
                  <c:formatCode>General</c:formatCode>
                  <c:ptCount val="2"/>
                  <c:pt idx="0">
                    <c:v>0.18215972788408741</c:v>
                  </c:pt>
                  <c:pt idx="1">
                    <c:v>0.18214321770801439</c:v>
                  </c:pt>
                </c:numCache>
              </c:numRef>
            </c:minus>
          </c:errBars>
          <c:cat>
            <c:strRef>
              <c:f>'[1]Fig 3'!$H$3:$I$3</c:f>
              <c:strCache>
                <c:ptCount val="2"/>
                <c:pt idx="0">
                  <c:v>PBS</c:v>
                </c:pt>
                <c:pt idx="1">
                  <c:v>Agrin</c:v>
                </c:pt>
              </c:strCache>
            </c:strRef>
          </c:cat>
          <c:val>
            <c:numRef>
              <c:f>'[1]Fig 3'!$H$4:$I$4</c:f>
              <c:numCache>
                <c:formatCode>General</c:formatCode>
                <c:ptCount val="2"/>
                <c:pt idx="0">
                  <c:v>0.29743476337903585</c:v>
                </c:pt>
                <c:pt idx="1">
                  <c:v>0.80164116148854936</c:v>
                </c:pt>
              </c:numCache>
            </c:numRef>
          </c:val>
        </c:ser>
        <c:axId val="116118656"/>
        <c:axId val="116120192"/>
      </c:barChart>
      <c:catAx>
        <c:axId val="116118656"/>
        <c:scaling>
          <c:orientation val="minMax"/>
        </c:scaling>
        <c:axPos val="b"/>
        <c:tickLblPos val="nextTo"/>
        <c:crossAx val="116120192"/>
        <c:crosses val="autoZero"/>
        <c:auto val="1"/>
        <c:lblAlgn val="ctr"/>
        <c:lblOffset val="100"/>
      </c:catAx>
      <c:valAx>
        <c:axId val="116120192"/>
        <c:scaling>
          <c:orientation val="minMax"/>
        </c:scaling>
        <c:axPos val="l"/>
        <c:majorGridlines/>
        <c:numFmt formatCode="General" sourceLinked="1"/>
        <c:tickLblPos val="nextTo"/>
        <c:crossAx val="116118656"/>
        <c:crosses val="autoZero"/>
        <c:crossBetween val="between"/>
      </c:valAx>
    </c:plotArea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autoTitleDeleted val="1"/>
    <c:plotArea>
      <c:layout/>
      <c:barChart>
        <c:barDir val="col"/>
        <c:grouping val="clustered"/>
        <c:ser>
          <c:idx val="0"/>
          <c:order val="0"/>
          <c:tx>
            <c:strRef>
              <c:f>'[1]Fig 3'!$P$4</c:f>
              <c:strCache>
                <c:ptCount val="1"/>
                <c:pt idx="0">
                  <c:v>Ave</c:v>
                </c:pt>
              </c:strCache>
            </c:strRef>
          </c:tx>
          <c:errBars>
            <c:errBarType val="both"/>
            <c:errValType val="cust"/>
            <c:plus>
              <c:numRef>
                <c:f>'[1]Fig 3'!$Q$6:$R$6</c:f>
                <c:numCache>
                  <c:formatCode>General</c:formatCode>
                  <c:ptCount val="2"/>
                  <c:pt idx="0">
                    <c:v>0.11954310542105259</c:v>
                  </c:pt>
                  <c:pt idx="1">
                    <c:v>7.2520113367203445E-2</c:v>
                  </c:pt>
                </c:numCache>
              </c:numRef>
            </c:plus>
            <c:minus>
              <c:numRef>
                <c:f>'[1]Fig 3'!$Q$6:$R$6</c:f>
                <c:numCache>
                  <c:formatCode>General</c:formatCode>
                  <c:ptCount val="2"/>
                  <c:pt idx="0">
                    <c:v>0.11954310542105259</c:v>
                  </c:pt>
                  <c:pt idx="1">
                    <c:v>7.2520113367203445E-2</c:v>
                  </c:pt>
                </c:numCache>
              </c:numRef>
            </c:minus>
          </c:errBars>
          <c:cat>
            <c:strRef>
              <c:f>'[1]Fig 3'!$Q$3:$R$3</c:f>
              <c:strCache>
                <c:ptCount val="2"/>
                <c:pt idx="0">
                  <c:v>PBS</c:v>
                </c:pt>
                <c:pt idx="1">
                  <c:v>Agrin</c:v>
                </c:pt>
              </c:strCache>
            </c:strRef>
          </c:cat>
          <c:val>
            <c:numRef>
              <c:f>'[1]Fig 3'!$Q$4:$R$4</c:f>
              <c:numCache>
                <c:formatCode>General</c:formatCode>
                <c:ptCount val="2"/>
                <c:pt idx="0">
                  <c:v>0.18880400141523965</c:v>
                </c:pt>
                <c:pt idx="1">
                  <c:v>0.58361082822269572</c:v>
                </c:pt>
              </c:numCache>
            </c:numRef>
          </c:val>
        </c:ser>
        <c:axId val="117086080"/>
        <c:axId val="117087616"/>
      </c:barChart>
      <c:catAx>
        <c:axId val="117086080"/>
        <c:scaling>
          <c:orientation val="minMax"/>
        </c:scaling>
        <c:axPos val="b"/>
        <c:tickLblPos val="nextTo"/>
        <c:crossAx val="117087616"/>
        <c:crosses val="autoZero"/>
        <c:auto val="1"/>
        <c:lblAlgn val="ctr"/>
        <c:lblOffset val="100"/>
      </c:catAx>
      <c:valAx>
        <c:axId val="117087616"/>
        <c:scaling>
          <c:orientation val="minMax"/>
        </c:scaling>
        <c:axPos val="l"/>
        <c:majorGridlines/>
        <c:numFmt formatCode="General" sourceLinked="1"/>
        <c:tickLblPos val="nextTo"/>
        <c:crossAx val="117086080"/>
        <c:crosses val="autoZero"/>
        <c:crossBetween val="between"/>
      </c:valAx>
    </c:plotArea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autoTitleDeleted val="1"/>
    <c:plotArea>
      <c:layout/>
      <c:barChart>
        <c:barDir val="col"/>
        <c:grouping val="clustered"/>
        <c:ser>
          <c:idx val="0"/>
          <c:order val="0"/>
          <c:tx>
            <c:strRef>
              <c:f>'[1]Fig 3'!$Y$4</c:f>
              <c:strCache>
                <c:ptCount val="1"/>
                <c:pt idx="0">
                  <c:v>Ave</c:v>
                </c:pt>
              </c:strCache>
            </c:strRef>
          </c:tx>
          <c:errBars>
            <c:errBarType val="both"/>
            <c:errValType val="cust"/>
            <c:plus>
              <c:numRef>
                <c:f>'[1]Fig 3'!$Z$6:$AA$6</c:f>
                <c:numCache>
                  <c:formatCode>General</c:formatCode>
                  <c:ptCount val="2"/>
                  <c:pt idx="0">
                    <c:v>0.14432549505204911</c:v>
                  </c:pt>
                  <c:pt idx="1">
                    <c:v>0.36136074801023665</c:v>
                  </c:pt>
                </c:numCache>
              </c:numRef>
            </c:plus>
            <c:minus>
              <c:numRef>
                <c:f>'[1]Fig 3'!$Z$6:$AA$6</c:f>
                <c:numCache>
                  <c:formatCode>General</c:formatCode>
                  <c:ptCount val="2"/>
                  <c:pt idx="0">
                    <c:v>0.14432549505204911</c:v>
                  </c:pt>
                  <c:pt idx="1">
                    <c:v>0.36136074801023665</c:v>
                  </c:pt>
                </c:numCache>
              </c:numRef>
            </c:minus>
          </c:errBars>
          <c:cat>
            <c:strRef>
              <c:f>'[1]Fig 3'!$Z$3:$AA$3</c:f>
              <c:strCache>
                <c:ptCount val="2"/>
                <c:pt idx="0">
                  <c:v>PBS</c:v>
                </c:pt>
                <c:pt idx="1">
                  <c:v>Agrin</c:v>
                </c:pt>
              </c:strCache>
            </c:strRef>
          </c:cat>
          <c:val>
            <c:numRef>
              <c:f>'[1]Fig 3'!$Z$4:$AA$4</c:f>
              <c:numCache>
                <c:formatCode>General</c:formatCode>
                <c:ptCount val="2"/>
                <c:pt idx="0">
                  <c:v>0.54311103736352406</c:v>
                </c:pt>
                <c:pt idx="1">
                  <c:v>1.5595209940958228</c:v>
                </c:pt>
              </c:numCache>
            </c:numRef>
          </c:val>
        </c:ser>
        <c:axId val="117107328"/>
        <c:axId val="117109120"/>
      </c:barChart>
      <c:catAx>
        <c:axId val="117107328"/>
        <c:scaling>
          <c:orientation val="minMax"/>
        </c:scaling>
        <c:axPos val="b"/>
        <c:tickLblPos val="nextTo"/>
        <c:crossAx val="117109120"/>
        <c:crosses val="autoZero"/>
        <c:auto val="1"/>
        <c:lblAlgn val="ctr"/>
        <c:lblOffset val="100"/>
      </c:catAx>
      <c:valAx>
        <c:axId val="117109120"/>
        <c:scaling>
          <c:orientation val="minMax"/>
        </c:scaling>
        <c:axPos val="l"/>
        <c:majorGridlines/>
        <c:numFmt formatCode="General" sourceLinked="1"/>
        <c:tickLblPos val="nextTo"/>
        <c:crossAx val="117107328"/>
        <c:crosses val="autoZero"/>
        <c:crossBetween val="between"/>
      </c:valAx>
    </c:plotArea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plotArea>
      <c:layout/>
      <c:barChart>
        <c:barDir val="col"/>
        <c:grouping val="clustered"/>
        <c:ser>
          <c:idx val="0"/>
          <c:order val="0"/>
          <c:tx>
            <c:strRef>
              <c:f>'[1]Fig 3'!$AR$7</c:f>
              <c:strCache>
                <c:ptCount val="1"/>
                <c:pt idx="0">
                  <c:v>PBS</c:v>
                </c:pt>
              </c:strCache>
            </c:strRef>
          </c:tx>
          <c:errBars>
            <c:errBarType val="both"/>
            <c:errValType val="cust"/>
            <c:plus>
              <c:numRef>
                <c:f>'[1]Fig 3'!$AS$17:$AU$17</c:f>
                <c:numCache>
                  <c:formatCode>General</c:formatCode>
                  <c:ptCount val="3"/>
                  <c:pt idx="0">
                    <c:v>1.1854333349241784</c:v>
                  </c:pt>
                  <c:pt idx="1">
                    <c:v>4.7613992967735932</c:v>
                  </c:pt>
                  <c:pt idx="2">
                    <c:v>2.4126743926474261</c:v>
                  </c:pt>
                </c:numCache>
              </c:numRef>
            </c:plus>
            <c:minus>
              <c:numRef>
                <c:f>'[1]Fig 3'!$AS$17:$AU$17</c:f>
                <c:numCache>
                  <c:formatCode>General</c:formatCode>
                  <c:ptCount val="3"/>
                  <c:pt idx="0">
                    <c:v>1.1854333349241784</c:v>
                  </c:pt>
                  <c:pt idx="1">
                    <c:v>4.7613992967735932</c:v>
                  </c:pt>
                  <c:pt idx="2">
                    <c:v>2.4126743926474261</c:v>
                  </c:pt>
                </c:numCache>
              </c:numRef>
            </c:minus>
          </c:errBars>
          <c:cat>
            <c:numRef>
              <c:f>'[1]Fig 3'!$AS$6:$AU$6</c:f>
              <c:numCache>
                <c:formatCode>General</c:formatCode>
                <c:ptCount val="3"/>
                <c:pt idx="0">
                  <c:v>4</c:v>
                </c:pt>
                <c:pt idx="1">
                  <c:v>14</c:v>
                </c:pt>
                <c:pt idx="2">
                  <c:v>35</c:v>
                </c:pt>
              </c:numCache>
            </c:numRef>
          </c:cat>
          <c:val>
            <c:numRef>
              <c:f>'[1]Fig 3'!$AS$7:$AU$7</c:f>
              <c:numCache>
                <c:formatCode>General</c:formatCode>
                <c:ptCount val="3"/>
                <c:pt idx="0">
                  <c:v>18.892259878276867</c:v>
                </c:pt>
                <c:pt idx="1">
                  <c:v>19.408683464471814</c:v>
                </c:pt>
                <c:pt idx="2">
                  <c:v>17.387503376411289</c:v>
                </c:pt>
              </c:numCache>
            </c:numRef>
          </c:val>
        </c:ser>
        <c:ser>
          <c:idx val="1"/>
          <c:order val="1"/>
          <c:tx>
            <c:strRef>
              <c:f>'[1]Fig 3'!$AR$8</c:f>
              <c:strCache>
                <c:ptCount val="1"/>
                <c:pt idx="0">
                  <c:v>Agrin</c:v>
                </c:pt>
              </c:strCache>
            </c:strRef>
          </c:tx>
          <c:errBars>
            <c:errBarType val="both"/>
            <c:errValType val="cust"/>
            <c:plus>
              <c:numRef>
                <c:f>'[1]Fig 3'!$AS$18:$AU$18</c:f>
                <c:numCache>
                  <c:formatCode>General</c:formatCode>
                  <c:ptCount val="3"/>
                  <c:pt idx="0">
                    <c:v>3.5413195066499519</c:v>
                  </c:pt>
                  <c:pt idx="1">
                    <c:v>1.5802215597648539</c:v>
                  </c:pt>
                  <c:pt idx="2">
                    <c:v>1.7486015197354392</c:v>
                  </c:pt>
                </c:numCache>
              </c:numRef>
            </c:plus>
            <c:minus>
              <c:numRef>
                <c:f>'[1]Fig 3'!$AS$18:$AU$18</c:f>
                <c:numCache>
                  <c:formatCode>General</c:formatCode>
                  <c:ptCount val="3"/>
                  <c:pt idx="0">
                    <c:v>3.5413195066499519</c:v>
                  </c:pt>
                  <c:pt idx="1">
                    <c:v>1.5802215597648539</c:v>
                  </c:pt>
                  <c:pt idx="2">
                    <c:v>1.7486015197354392</c:v>
                  </c:pt>
                </c:numCache>
              </c:numRef>
            </c:minus>
          </c:errBars>
          <c:cat>
            <c:numRef>
              <c:f>'[1]Fig 3'!$AS$6:$AU$6</c:f>
              <c:numCache>
                <c:formatCode>General</c:formatCode>
                <c:ptCount val="3"/>
                <c:pt idx="0">
                  <c:v>4</c:v>
                </c:pt>
                <c:pt idx="1">
                  <c:v>14</c:v>
                </c:pt>
                <c:pt idx="2">
                  <c:v>35</c:v>
                </c:pt>
              </c:numCache>
            </c:numRef>
          </c:cat>
          <c:val>
            <c:numRef>
              <c:f>'[1]Fig 3'!$AS$8:$AU$8</c:f>
              <c:numCache>
                <c:formatCode>General</c:formatCode>
                <c:ptCount val="3"/>
                <c:pt idx="0">
                  <c:v>17.377530163776875</c:v>
                </c:pt>
                <c:pt idx="1">
                  <c:v>13.585470966883761</c:v>
                </c:pt>
                <c:pt idx="2">
                  <c:v>8.7966135893221562</c:v>
                </c:pt>
              </c:numCache>
            </c:numRef>
          </c:val>
        </c:ser>
        <c:axId val="118199040"/>
        <c:axId val="118200576"/>
      </c:barChart>
      <c:catAx>
        <c:axId val="118199040"/>
        <c:scaling>
          <c:orientation val="minMax"/>
        </c:scaling>
        <c:axPos val="b"/>
        <c:numFmt formatCode="General" sourceLinked="1"/>
        <c:tickLblPos val="nextTo"/>
        <c:crossAx val="118200576"/>
        <c:crosses val="autoZero"/>
        <c:auto val="1"/>
        <c:lblAlgn val="ctr"/>
        <c:lblOffset val="100"/>
      </c:catAx>
      <c:valAx>
        <c:axId val="118200576"/>
        <c:scaling>
          <c:orientation val="minMax"/>
        </c:scaling>
        <c:axPos val="l"/>
        <c:majorGridlines/>
        <c:numFmt formatCode="General" sourceLinked="1"/>
        <c:tickLblPos val="nextTo"/>
        <c:crossAx val="118199040"/>
        <c:crosses val="autoZero"/>
        <c:crossBetween val="between"/>
      </c:valAx>
    </c:plotArea>
    <c:legend>
      <c:legendPos val="l"/>
      <c:layout/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plotArea>
      <c:layout/>
      <c:scatterChart>
        <c:scatterStyle val="lineMarker"/>
        <c:ser>
          <c:idx val="0"/>
          <c:order val="0"/>
          <c:tx>
            <c:strRef>
              <c:f>'[1]Fig 3'!$K$27</c:f>
              <c:strCache>
                <c:ptCount val="1"/>
                <c:pt idx="0">
                  <c:v>Uninjured</c:v>
                </c:pt>
              </c:strCache>
            </c:strRef>
          </c:tx>
          <c:marker>
            <c:symbol val="none"/>
          </c:marker>
          <c:errBars>
            <c:errDir val="y"/>
            <c:errBarType val="both"/>
            <c:errValType val="cust"/>
            <c:plus>
              <c:numRef>
                <c:f>'[1]Fig 3'!$L$39:$P$39</c:f>
                <c:numCache>
                  <c:formatCode>General</c:formatCode>
                  <c:ptCount val="5"/>
                  <c:pt idx="0">
                    <c:v>1.1952511001818777</c:v>
                  </c:pt>
                  <c:pt idx="1">
                    <c:v>0.83162629575834535</c:v>
                  </c:pt>
                  <c:pt idx="2">
                    <c:v>2.6997355166849175</c:v>
                  </c:pt>
                  <c:pt idx="3">
                    <c:v>3.6180900522205954</c:v>
                  </c:pt>
                  <c:pt idx="4">
                    <c:v>1.9059464186559782</c:v>
                  </c:pt>
                </c:numCache>
              </c:numRef>
            </c:plus>
            <c:minus>
              <c:numRef>
                <c:f>'[1]Fig 3'!$L$39:$P$39</c:f>
                <c:numCache>
                  <c:formatCode>General</c:formatCode>
                  <c:ptCount val="5"/>
                  <c:pt idx="0">
                    <c:v>1.1952511001818777</c:v>
                  </c:pt>
                  <c:pt idx="1">
                    <c:v>0.83162629575834535</c:v>
                  </c:pt>
                  <c:pt idx="2">
                    <c:v>2.6997355166849175</c:v>
                  </c:pt>
                  <c:pt idx="3">
                    <c:v>3.6180900522205954</c:v>
                  </c:pt>
                  <c:pt idx="4">
                    <c:v>1.9059464186559782</c:v>
                  </c:pt>
                </c:numCache>
              </c:numRef>
            </c:minus>
          </c:errBars>
          <c:xVal>
            <c:numRef>
              <c:f>'[1]Fig 3'!$L$26:$P$26</c:f>
              <c:numCache>
                <c:formatCode>General</c:formatCode>
                <c:ptCount val="5"/>
                <c:pt idx="0">
                  <c:v>0</c:v>
                </c:pt>
                <c:pt idx="1">
                  <c:v>7</c:v>
                </c:pt>
                <c:pt idx="2">
                  <c:v>21</c:v>
                </c:pt>
                <c:pt idx="3">
                  <c:v>28</c:v>
                </c:pt>
                <c:pt idx="4">
                  <c:v>35</c:v>
                </c:pt>
              </c:numCache>
            </c:numRef>
          </c:xVal>
          <c:yVal>
            <c:numRef>
              <c:f>'[1]Fig 3'!$L$27:$P$27</c:f>
              <c:numCache>
                <c:formatCode>General</c:formatCode>
                <c:ptCount val="5"/>
                <c:pt idx="0">
                  <c:v>62.407335416666662</c:v>
                </c:pt>
                <c:pt idx="1">
                  <c:v>55.334371950000005</c:v>
                </c:pt>
                <c:pt idx="2">
                  <c:v>55.280919050000001</c:v>
                </c:pt>
                <c:pt idx="3">
                  <c:v>56.659319366666672</c:v>
                </c:pt>
                <c:pt idx="4">
                  <c:v>57.252984316666662</c:v>
                </c:pt>
              </c:numCache>
            </c:numRef>
          </c:yVal>
        </c:ser>
        <c:ser>
          <c:idx val="1"/>
          <c:order val="1"/>
          <c:tx>
            <c:strRef>
              <c:f>'[1]Fig 3'!$K$28</c:f>
              <c:strCache>
                <c:ptCount val="1"/>
                <c:pt idx="0">
                  <c:v>PBS</c:v>
                </c:pt>
              </c:strCache>
            </c:strRef>
          </c:tx>
          <c:marker>
            <c:symbol val="none"/>
          </c:marker>
          <c:errBars>
            <c:errDir val="y"/>
            <c:errBarType val="both"/>
            <c:errValType val="cust"/>
            <c:plus>
              <c:numRef>
                <c:f>'[1]Fig 3'!$L$40:$P$40</c:f>
                <c:numCache>
                  <c:formatCode>General</c:formatCode>
                  <c:ptCount val="5"/>
                  <c:pt idx="0">
                    <c:v>1.1952511001818777</c:v>
                  </c:pt>
                  <c:pt idx="1">
                    <c:v>2.1819809594389112</c:v>
                  </c:pt>
                  <c:pt idx="2">
                    <c:v>3.9731643448693874</c:v>
                  </c:pt>
                  <c:pt idx="3">
                    <c:v>4.1624552909959078</c:v>
                  </c:pt>
                  <c:pt idx="4">
                    <c:v>3.0481853541166446</c:v>
                  </c:pt>
                </c:numCache>
              </c:numRef>
            </c:plus>
            <c:minus>
              <c:numRef>
                <c:f>'[1]Fig 3'!$L$40:$P$40</c:f>
                <c:numCache>
                  <c:formatCode>General</c:formatCode>
                  <c:ptCount val="5"/>
                  <c:pt idx="0">
                    <c:v>1.1952511001818777</c:v>
                  </c:pt>
                  <c:pt idx="1">
                    <c:v>2.1819809594389112</c:v>
                  </c:pt>
                  <c:pt idx="2">
                    <c:v>3.9731643448693874</c:v>
                  </c:pt>
                  <c:pt idx="3">
                    <c:v>4.1624552909959078</c:v>
                  </c:pt>
                  <c:pt idx="4">
                    <c:v>3.0481853541166446</c:v>
                  </c:pt>
                </c:numCache>
              </c:numRef>
            </c:minus>
          </c:errBars>
          <c:xVal>
            <c:numRef>
              <c:f>'[1]Fig 3'!$L$26:$P$26</c:f>
              <c:numCache>
                <c:formatCode>General</c:formatCode>
                <c:ptCount val="5"/>
                <c:pt idx="0">
                  <c:v>0</c:v>
                </c:pt>
                <c:pt idx="1">
                  <c:v>7</c:v>
                </c:pt>
                <c:pt idx="2">
                  <c:v>21</c:v>
                </c:pt>
                <c:pt idx="3">
                  <c:v>28</c:v>
                </c:pt>
                <c:pt idx="4">
                  <c:v>35</c:v>
                </c:pt>
              </c:numCache>
            </c:numRef>
          </c:xVal>
          <c:yVal>
            <c:numRef>
              <c:f>'[1]Fig 3'!$L$28:$P$28</c:f>
              <c:numCache>
                <c:formatCode>General</c:formatCode>
                <c:ptCount val="5"/>
                <c:pt idx="0">
                  <c:v>62.407335416666662</c:v>
                </c:pt>
                <c:pt idx="1">
                  <c:v>50.226006341666668</c:v>
                </c:pt>
                <c:pt idx="2">
                  <c:v>41.39459893888889</c:v>
                </c:pt>
                <c:pt idx="3">
                  <c:v>40.535677680555558</c:v>
                </c:pt>
                <c:pt idx="4">
                  <c:v>41.86723277777778</c:v>
                </c:pt>
              </c:numCache>
            </c:numRef>
          </c:yVal>
        </c:ser>
        <c:ser>
          <c:idx val="2"/>
          <c:order val="2"/>
          <c:tx>
            <c:strRef>
              <c:f>'[1]Fig 3'!$K$29</c:f>
              <c:strCache>
                <c:ptCount val="1"/>
                <c:pt idx="0">
                  <c:v>Agrin</c:v>
                </c:pt>
              </c:strCache>
            </c:strRef>
          </c:tx>
          <c:marker>
            <c:symbol val="none"/>
          </c:marker>
          <c:errBars>
            <c:errDir val="y"/>
            <c:errBarType val="both"/>
            <c:errValType val="cust"/>
            <c:plus>
              <c:numRef>
                <c:f>'[1]Fig 3'!$L$41:$P$41</c:f>
                <c:numCache>
                  <c:formatCode>General</c:formatCode>
                  <c:ptCount val="5"/>
                  <c:pt idx="0">
                    <c:v>1.1952511001818777</c:v>
                  </c:pt>
                  <c:pt idx="1">
                    <c:v>3.9672112125043202</c:v>
                  </c:pt>
                  <c:pt idx="2">
                    <c:v>2.3443539859112086</c:v>
                  </c:pt>
                  <c:pt idx="3">
                    <c:v>3.0463276685769705</c:v>
                  </c:pt>
                  <c:pt idx="4">
                    <c:v>2.2400883841452064</c:v>
                  </c:pt>
                </c:numCache>
              </c:numRef>
            </c:plus>
            <c:minus>
              <c:numRef>
                <c:f>'[1]Fig 3'!$L$41:$P$41</c:f>
                <c:numCache>
                  <c:formatCode>General</c:formatCode>
                  <c:ptCount val="5"/>
                  <c:pt idx="0">
                    <c:v>1.1952511001818777</c:v>
                  </c:pt>
                  <c:pt idx="1">
                    <c:v>3.9672112125043202</c:v>
                  </c:pt>
                  <c:pt idx="2">
                    <c:v>2.3443539859112086</c:v>
                  </c:pt>
                  <c:pt idx="3">
                    <c:v>3.0463276685769705</c:v>
                  </c:pt>
                  <c:pt idx="4">
                    <c:v>2.2400883841452064</c:v>
                  </c:pt>
                </c:numCache>
              </c:numRef>
            </c:minus>
          </c:errBars>
          <c:xVal>
            <c:numRef>
              <c:f>'[1]Fig 3'!$L$26:$P$26</c:f>
              <c:numCache>
                <c:formatCode>General</c:formatCode>
                <c:ptCount val="5"/>
                <c:pt idx="0">
                  <c:v>0</c:v>
                </c:pt>
                <c:pt idx="1">
                  <c:v>7</c:v>
                </c:pt>
                <c:pt idx="2">
                  <c:v>21</c:v>
                </c:pt>
                <c:pt idx="3">
                  <c:v>28</c:v>
                </c:pt>
                <c:pt idx="4">
                  <c:v>35</c:v>
                </c:pt>
              </c:numCache>
            </c:numRef>
          </c:xVal>
          <c:yVal>
            <c:numRef>
              <c:f>'[1]Fig 3'!$L$29:$P$29</c:f>
              <c:numCache>
                <c:formatCode>General</c:formatCode>
                <c:ptCount val="5"/>
                <c:pt idx="0">
                  <c:v>62.407335416666662</c:v>
                </c:pt>
                <c:pt idx="1">
                  <c:v>51.695371812499999</c:v>
                </c:pt>
                <c:pt idx="2">
                  <c:v>46.631965445833337</c:v>
                </c:pt>
                <c:pt idx="3">
                  <c:v>53.808528770833334</c:v>
                </c:pt>
                <c:pt idx="4">
                  <c:v>54.988884710416663</c:v>
                </c:pt>
              </c:numCache>
            </c:numRef>
          </c:yVal>
        </c:ser>
        <c:axId val="118501760"/>
        <c:axId val="118503296"/>
      </c:scatterChart>
      <c:valAx>
        <c:axId val="118501760"/>
        <c:scaling>
          <c:orientation val="minMax"/>
          <c:min val="0"/>
        </c:scaling>
        <c:axPos val="b"/>
        <c:numFmt formatCode="General" sourceLinked="1"/>
        <c:tickLblPos val="nextTo"/>
        <c:crossAx val="118503296"/>
        <c:crosses val="autoZero"/>
        <c:crossBetween val="midCat"/>
      </c:valAx>
      <c:valAx>
        <c:axId val="118503296"/>
        <c:scaling>
          <c:orientation val="minMax"/>
          <c:min val="30"/>
        </c:scaling>
        <c:axPos val="l"/>
        <c:majorGridlines/>
        <c:numFmt formatCode="General" sourceLinked="1"/>
        <c:tickLblPos val="nextTo"/>
        <c:crossAx val="118501760"/>
        <c:crosses val="autoZero"/>
        <c:crossBetween val="midCat"/>
      </c:valAx>
    </c:plotArea>
    <c:legend>
      <c:legendPos val="l"/>
      <c:layout/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plotArea>
      <c:layout/>
      <c:scatterChart>
        <c:scatterStyle val="lineMarker"/>
        <c:ser>
          <c:idx val="0"/>
          <c:order val="0"/>
          <c:tx>
            <c:strRef>
              <c:f>'[1]Fig 3'!$Z$27</c:f>
              <c:strCache>
                <c:ptCount val="1"/>
                <c:pt idx="0">
                  <c:v>Uninjured</c:v>
                </c:pt>
              </c:strCache>
            </c:strRef>
          </c:tx>
          <c:marker>
            <c:symbol val="none"/>
          </c:marker>
          <c:errBars>
            <c:errDir val="y"/>
            <c:errBarType val="both"/>
            <c:errValType val="cust"/>
            <c:plus>
              <c:numRef>
                <c:f>'[1]Fig 3'!$AA$39:$AE$39</c:f>
                <c:numCache>
                  <c:formatCode>General</c:formatCode>
                  <c:ptCount val="5"/>
                  <c:pt idx="0">
                    <c:v>1.2729610795337718</c:v>
                  </c:pt>
                  <c:pt idx="1">
                    <c:v>1.3627444783528009</c:v>
                  </c:pt>
                  <c:pt idx="2">
                    <c:v>1.8092100276193368</c:v>
                  </c:pt>
                  <c:pt idx="3">
                    <c:v>1.194383231849246</c:v>
                  </c:pt>
                  <c:pt idx="4">
                    <c:v>1.8782561812685128</c:v>
                  </c:pt>
                </c:numCache>
              </c:numRef>
            </c:plus>
            <c:minus>
              <c:numRef>
                <c:f>'[1]Fig 3'!$AA$39:$AE$39</c:f>
                <c:numCache>
                  <c:formatCode>General</c:formatCode>
                  <c:ptCount val="5"/>
                  <c:pt idx="0">
                    <c:v>1.2729610795337718</c:v>
                  </c:pt>
                  <c:pt idx="1">
                    <c:v>1.3627444783528009</c:v>
                  </c:pt>
                  <c:pt idx="2">
                    <c:v>1.8092100276193368</c:v>
                  </c:pt>
                  <c:pt idx="3">
                    <c:v>1.194383231849246</c:v>
                  </c:pt>
                  <c:pt idx="4">
                    <c:v>1.8782561812685128</c:v>
                  </c:pt>
                </c:numCache>
              </c:numRef>
            </c:minus>
          </c:errBars>
          <c:xVal>
            <c:numRef>
              <c:f>'[1]Fig 3'!$AA$26:$AE$26</c:f>
              <c:numCache>
                <c:formatCode>General</c:formatCode>
                <c:ptCount val="5"/>
                <c:pt idx="0">
                  <c:v>0</c:v>
                </c:pt>
                <c:pt idx="1">
                  <c:v>7</c:v>
                </c:pt>
                <c:pt idx="2">
                  <c:v>21</c:v>
                </c:pt>
                <c:pt idx="3">
                  <c:v>28</c:v>
                </c:pt>
                <c:pt idx="4">
                  <c:v>35</c:v>
                </c:pt>
              </c:numCache>
            </c:numRef>
          </c:xVal>
          <c:yVal>
            <c:numRef>
              <c:f>'[1]Fig 3'!$AA$27:$AE$27</c:f>
              <c:numCache>
                <c:formatCode>General</c:formatCode>
                <c:ptCount val="5"/>
                <c:pt idx="0">
                  <c:v>17.043192407142854</c:v>
                </c:pt>
                <c:pt idx="1">
                  <c:v>18.132687249999996</c:v>
                </c:pt>
                <c:pt idx="2">
                  <c:v>16.831044770000002</c:v>
                </c:pt>
                <c:pt idx="3">
                  <c:v>19.42219815</c:v>
                </c:pt>
                <c:pt idx="4">
                  <c:v>18.722750683333331</c:v>
                </c:pt>
              </c:numCache>
            </c:numRef>
          </c:yVal>
        </c:ser>
        <c:ser>
          <c:idx val="1"/>
          <c:order val="1"/>
          <c:tx>
            <c:strRef>
              <c:f>'[1]Fig 3'!$Z$28</c:f>
              <c:strCache>
                <c:ptCount val="1"/>
                <c:pt idx="0">
                  <c:v>PBS</c:v>
                </c:pt>
              </c:strCache>
            </c:strRef>
          </c:tx>
          <c:marker>
            <c:symbol val="none"/>
          </c:marker>
          <c:errBars>
            <c:errDir val="y"/>
            <c:errBarType val="both"/>
            <c:errValType val="cust"/>
            <c:plus>
              <c:numRef>
                <c:f>'[1]Fig 3'!$AA$40:$AE$40</c:f>
                <c:numCache>
                  <c:formatCode>General</c:formatCode>
                  <c:ptCount val="5"/>
                  <c:pt idx="0">
                    <c:v>1.2729610795337718</c:v>
                  </c:pt>
                  <c:pt idx="1">
                    <c:v>1.6464698570693634</c:v>
                  </c:pt>
                  <c:pt idx="2">
                    <c:v>1.7078188792266396</c:v>
                  </c:pt>
                  <c:pt idx="3">
                    <c:v>1.8498600856426108</c:v>
                  </c:pt>
                  <c:pt idx="4">
                    <c:v>2.2146434660632388</c:v>
                  </c:pt>
                </c:numCache>
              </c:numRef>
            </c:plus>
            <c:minus>
              <c:numRef>
                <c:f>'[1]Fig 3'!$AA$40:$AE$40</c:f>
                <c:numCache>
                  <c:formatCode>General</c:formatCode>
                  <c:ptCount val="5"/>
                  <c:pt idx="0">
                    <c:v>1.2729610795337718</c:v>
                  </c:pt>
                  <c:pt idx="1">
                    <c:v>1.6464698570693634</c:v>
                  </c:pt>
                  <c:pt idx="2">
                    <c:v>1.7078188792266396</c:v>
                  </c:pt>
                  <c:pt idx="3">
                    <c:v>1.8498600856426108</c:v>
                  </c:pt>
                  <c:pt idx="4">
                    <c:v>2.2146434660632388</c:v>
                  </c:pt>
                </c:numCache>
              </c:numRef>
            </c:minus>
          </c:errBars>
          <c:xVal>
            <c:numRef>
              <c:f>'[1]Fig 3'!$AA$26:$AE$26</c:f>
              <c:numCache>
                <c:formatCode>General</c:formatCode>
                <c:ptCount val="5"/>
                <c:pt idx="0">
                  <c:v>0</c:v>
                </c:pt>
                <c:pt idx="1">
                  <c:v>7</c:v>
                </c:pt>
                <c:pt idx="2">
                  <c:v>21</c:v>
                </c:pt>
                <c:pt idx="3">
                  <c:v>28</c:v>
                </c:pt>
                <c:pt idx="4">
                  <c:v>35</c:v>
                </c:pt>
              </c:numCache>
            </c:numRef>
          </c:xVal>
          <c:yVal>
            <c:numRef>
              <c:f>'[1]Fig 3'!$AA$28:$AE$28</c:f>
              <c:numCache>
                <c:formatCode>General</c:formatCode>
                <c:ptCount val="5"/>
                <c:pt idx="0">
                  <c:v>17.043192407142854</c:v>
                </c:pt>
                <c:pt idx="1">
                  <c:v>13.064751100000001</c:v>
                </c:pt>
                <c:pt idx="2">
                  <c:v>13.758415219444444</c:v>
                </c:pt>
                <c:pt idx="3">
                  <c:v>10.961320402777778</c:v>
                </c:pt>
                <c:pt idx="4">
                  <c:v>11.399797944444446</c:v>
                </c:pt>
              </c:numCache>
            </c:numRef>
          </c:yVal>
        </c:ser>
        <c:ser>
          <c:idx val="2"/>
          <c:order val="2"/>
          <c:tx>
            <c:strRef>
              <c:f>'[1]Fig 3'!$Z$29</c:f>
              <c:strCache>
                <c:ptCount val="1"/>
                <c:pt idx="0">
                  <c:v>Agrin</c:v>
                </c:pt>
              </c:strCache>
            </c:strRef>
          </c:tx>
          <c:marker>
            <c:symbol val="none"/>
          </c:marker>
          <c:errBars>
            <c:errDir val="y"/>
            <c:errBarType val="both"/>
            <c:errValType val="cust"/>
            <c:plus>
              <c:numRef>
                <c:f>'[1]Fig 3'!$AA$41:$AE$41</c:f>
                <c:numCache>
                  <c:formatCode>General</c:formatCode>
                  <c:ptCount val="5"/>
                  <c:pt idx="0">
                    <c:v>1.2729610795337718</c:v>
                  </c:pt>
                  <c:pt idx="1">
                    <c:v>1.3942265851775988</c:v>
                  </c:pt>
                  <c:pt idx="2">
                    <c:v>1.5301780383520494</c:v>
                  </c:pt>
                  <c:pt idx="3">
                    <c:v>1.0809297619146432</c:v>
                  </c:pt>
                  <c:pt idx="4">
                    <c:v>1.0991112037241646</c:v>
                  </c:pt>
                </c:numCache>
              </c:numRef>
            </c:plus>
            <c:minus>
              <c:numRef>
                <c:f>'[1]Fig 3'!$AA$41:$AE$41</c:f>
                <c:numCache>
                  <c:formatCode>General</c:formatCode>
                  <c:ptCount val="5"/>
                  <c:pt idx="0">
                    <c:v>1.2729610795337718</c:v>
                  </c:pt>
                  <c:pt idx="1">
                    <c:v>1.3942265851775988</c:v>
                  </c:pt>
                  <c:pt idx="2">
                    <c:v>1.5301780383520494</c:v>
                  </c:pt>
                  <c:pt idx="3">
                    <c:v>1.0809297619146432</c:v>
                  </c:pt>
                  <c:pt idx="4">
                    <c:v>1.0991112037241646</c:v>
                  </c:pt>
                </c:numCache>
              </c:numRef>
            </c:minus>
          </c:errBars>
          <c:xVal>
            <c:numRef>
              <c:f>'[1]Fig 3'!$AA$26:$AE$26</c:f>
              <c:numCache>
                <c:formatCode>General</c:formatCode>
                <c:ptCount val="5"/>
                <c:pt idx="0">
                  <c:v>0</c:v>
                </c:pt>
                <c:pt idx="1">
                  <c:v>7</c:v>
                </c:pt>
                <c:pt idx="2">
                  <c:v>21</c:v>
                </c:pt>
                <c:pt idx="3">
                  <c:v>28</c:v>
                </c:pt>
                <c:pt idx="4">
                  <c:v>35</c:v>
                </c:pt>
              </c:numCache>
            </c:numRef>
          </c:xVal>
          <c:yVal>
            <c:numRef>
              <c:f>'[1]Fig 3'!$AA$29:$AE$29</c:f>
              <c:numCache>
                <c:formatCode>General</c:formatCode>
                <c:ptCount val="5"/>
                <c:pt idx="0">
                  <c:v>17.043192407142854</c:v>
                </c:pt>
                <c:pt idx="1">
                  <c:v>15.262300437499999</c:v>
                </c:pt>
                <c:pt idx="2">
                  <c:v>11.797675968750003</c:v>
                </c:pt>
                <c:pt idx="3">
                  <c:v>17.37354945625</c:v>
                </c:pt>
                <c:pt idx="4">
                  <c:v>17.229801575</c:v>
                </c:pt>
              </c:numCache>
            </c:numRef>
          </c:yVal>
        </c:ser>
        <c:axId val="159805440"/>
        <c:axId val="159806976"/>
      </c:scatterChart>
      <c:valAx>
        <c:axId val="159805440"/>
        <c:scaling>
          <c:orientation val="minMax"/>
        </c:scaling>
        <c:axPos val="b"/>
        <c:numFmt formatCode="General" sourceLinked="1"/>
        <c:tickLblPos val="nextTo"/>
        <c:crossAx val="159806976"/>
        <c:crosses val="autoZero"/>
        <c:crossBetween val="midCat"/>
      </c:valAx>
      <c:valAx>
        <c:axId val="159806976"/>
        <c:scaling>
          <c:orientation val="minMax"/>
        </c:scaling>
        <c:axPos val="l"/>
        <c:majorGridlines/>
        <c:numFmt formatCode="General" sourceLinked="1"/>
        <c:tickLblPos val="nextTo"/>
        <c:crossAx val="159805440"/>
        <c:crosses val="autoZero"/>
        <c:crossBetween val="midCat"/>
      </c:valAx>
    </c:plotArea>
    <c:legend>
      <c:legendPos val="l"/>
      <c:layout/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e-IL"/>
  <c:chart>
    <c:plotArea>
      <c:layout/>
      <c:barChart>
        <c:barDir val="col"/>
        <c:grouping val="clustered"/>
        <c:ser>
          <c:idx val="0"/>
          <c:order val="0"/>
          <c:tx>
            <c:strRef>
              <c:f>'[1]Fig 3'!$AK$55</c:f>
              <c:strCache>
                <c:ptCount val="1"/>
                <c:pt idx="0">
                  <c:v>Uninjured</c:v>
                </c:pt>
              </c:strCache>
            </c:strRef>
          </c:tx>
          <c:errBars>
            <c:errBarType val="both"/>
            <c:errValType val="cust"/>
            <c:plus>
              <c:numRef>
                <c:f>'[1]Fig 3'!$AK$61:$AK$62</c:f>
                <c:numCache>
                  <c:formatCode>General</c:formatCode>
                  <c:ptCount val="2"/>
                  <c:pt idx="0">
                    <c:v>5.4999999999999487E-2</c:v>
                  </c:pt>
                  <c:pt idx="1">
                    <c:v>6.4999999999999405E-2</c:v>
                  </c:pt>
                </c:numCache>
              </c:numRef>
            </c:plus>
            <c:minus>
              <c:numRef>
                <c:f>'[1]Fig 3'!$AK$61:$AK$62</c:f>
                <c:numCache>
                  <c:formatCode>General</c:formatCode>
                  <c:ptCount val="2"/>
                  <c:pt idx="0">
                    <c:v>5.4999999999999487E-2</c:v>
                  </c:pt>
                  <c:pt idx="1">
                    <c:v>6.4999999999999405E-2</c:v>
                  </c:pt>
                </c:numCache>
              </c:numRef>
            </c:minus>
          </c:errBars>
          <c:cat>
            <c:strRef>
              <c:f>'[1]Fig 3'!$AJ$56:$AJ$57</c:f>
              <c:strCache>
                <c:ptCount val="2"/>
                <c:pt idx="0">
                  <c:v>LVAW</c:v>
                </c:pt>
                <c:pt idx="1">
                  <c:v>LVPW</c:v>
                </c:pt>
              </c:strCache>
            </c:strRef>
          </c:cat>
          <c:val>
            <c:numRef>
              <c:f>'[1]Fig 3'!$AK$56:$AK$57</c:f>
              <c:numCache>
                <c:formatCode>General</c:formatCode>
                <c:ptCount val="2"/>
                <c:pt idx="0">
                  <c:v>0.9850000000000001</c:v>
                </c:pt>
                <c:pt idx="1">
                  <c:v>1.155</c:v>
                </c:pt>
              </c:numCache>
            </c:numRef>
          </c:val>
        </c:ser>
        <c:ser>
          <c:idx val="1"/>
          <c:order val="1"/>
          <c:tx>
            <c:strRef>
              <c:f>'[1]Fig 3'!$AL$55</c:f>
              <c:strCache>
                <c:ptCount val="1"/>
                <c:pt idx="0">
                  <c:v>Agrin</c:v>
                </c:pt>
              </c:strCache>
            </c:strRef>
          </c:tx>
          <c:errBars>
            <c:errBarType val="both"/>
            <c:errValType val="cust"/>
            <c:plus>
              <c:numRef>
                <c:f>'[1]Fig 3'!$AL$61:$AL$62</c:f>
                <c:numCache>
                  <c:formatCode>General</c:formatCode>
                  <c:ptCount val="2"/>
                  <c:pt idx="0">
                    <c:v>7.2606243992281189E-2</c:v>
                  </c:pt>
                  <c:pt idx="1">
                    <c:v>7.3048690002704017E-2</c:v>
                  </c:pt>
                </c:numCache>
              </c:numRef>
            </c:plus>
            <c:minus>
              <c:numRef>
                <c:f>'[1]Fig 3'!$AL$61:$AL$62</c:f>
                <c:numCache>
                  <c:formatCode>General</c:formatCode>
                  <c:ptCount val="2"/>
                  <c:pt idx="0">
                    <c:v>7.2606243992281189E-2</c:v>
                  </c:pt>
                  <c:pt idx="1">
                    <c:v>7.3048690002704017E-2</c:v>
                  </c:pt>
                </c:numCache>
              </c:numRef>
            </c:minus>
          </c:errBars>
          <c:cat>
            <c:strRef>
              <c:f>'[1]Fig 3'!$AJ$56:$AJ$57</c:f>
              <c:strCache>
                <c:ptCount val="2"/>
                <c:pt idx="0">
                  <c:v>LVAW</c:v>
                </c:pt>
                <c:pt idx="1">
                  <c:v>LVPW</c:v>
                </c:pt>
              </c:strCache>
            </c:strRef>
          </c:cat>
          <c:val>
            <c:numRef>
              <c:f>'[1]Fig 3'!$AL$56:$AL$57</c:f>
              <c:numCache>
                <c:formatCode>General</c:formatCode>
                <c:ptCount val="2"/>
                <c:pt idx="0">
                  <c:v>0.875</c:v>
                </c:pt>
                <c:pt idx="1">
                  <c:v>1.2483333333333333</c:v>
                </c:pt>
              </c:numCache>
            </c:numRef>
          </c:val>
        </c:ser>
        <c:ser>
          <c:idx val="2"/>
          <c:order val="2"/>
          <c:tx>
            <c:strRef>
              <c:f>'[1]Fig 3'!$AM$55</c:f>
              <c:strCache>
                <c:ptCount val="1"/>
                <c:pt idx="0">
                  <c:v>PBS</c:v>
                </c:pt>
              </c:strCache>
            </c:strRef>
          </c:tx>
          <c:errBars>
            <c:errBarType val="both"/>
            <c:errValType val="cust"/>
            <c:plus>
              <c:numRef>
                <c:f>'[1]Fig 3'!$AM$61:$AM$62</c:f>
                <c:numCache>
                  <c:formatCode>General</c:formatCode>
                  <c:ptCount val="2"/>
                  <c:pt idx="0">
                    <c:v>6.01664358259653E-2</c:v>
                  </c:pt>
                  <c:pt idx="1">
                    <c:v>8.0901174280723659E-2</c:v>
                  </c:pt>
                </c:numCache>
              </c:numRef>
            </c:plus>
            <c:minus>
              <c:numRef>
                <c:f>'[1]Fig 3'!$AM$61:$AM$62</c:f>
                <c:numCache>
                  <c:formatCode>General</c:formatCode>
                  <c:ptCount val="2"/>
                  <c:pt idx="0">
                    <c:v>6.01664358259653E-2</c:v>
                  </c:pt>
                  <c:pt idx="1">
                    <c:v>8.0901174280723659E-2</c:v>
                  </c:pt>
                </c:numCache>
              </c:numRef>
            </c:minus>
          </c:errBars>
          <c:cat>
            <c:strRef>
              <c:f>'[1]Fig 3'!$AJ$56:$AJ$57</c:f>
              <c:strCache>
                <c:ptCount val="2"/>
                <c:pt idx="0">
                  <c:v>LVAW</c:v>
                </c:pt>
                <c:pt idx="1">
                  <c:v>LVPW</c:v>
                </c:pt>
              </c:strCache>
            </c:strRef>
          </c:cat>
          <c:val>
            <c:numRef>
              <c:f>'[1]Fig 3'!$AM$56:$AM$57</c:f>
              <c:numCache>
                <c:formatCode>General</c:formatCode>
                <c:ptCount val="2"/>
                <c:pt idx="0">
                  <c:v>0.84000000000000008</c:v>
                </c:pt>
                <c:pt idx="1">
                  <c:v>0.98499999999999999</c:v>
                </c:pt>
              </c:numCache>
            </c:numRef>
          </c:val>
        </c:ser>
        <c:axId val="162274688"/>
        <c:axId val="163787904"/>
      </c:barChart>
      <c:catAx>
        <c:axId val="162274688"/>
        <c:scaling>
          <c:orientation val="minMax"/>
        </c:scaling>
        <c:axPos val="b"/>
        <c:tickLblPos val="nextTo"/>
        <c:crossAx val="163787904"/>
        <c:crosses val="autoZero"/>
        <c:auto val="1"/>
        <c:lblAlgn val="ctr"/>
        <c:lblOffset val="100"/>
      </c:catAx>
      <c:valAx>
        <c:axId val="163787904"/>
        <c:scaling>
          <c:orientation val="minMax"/>
        </c:scaling>
        <c:axPos val="l"/>
        <c:majorGridlines/>
        <c:numFmt formatCode="General" sourceLinked="1"/>
        <c:tickLblPos val="nextTo"/>
        <c:crossAx val="162274688"/>
        <c:crosses val="autoZero"/>
        <c:crossBetween val="between"/>
      </c:valAx>
    </c:plotArea>
    <c:legend>
      <c:legendPos val="l"/>
      <c:layout/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22412</xdr:colOff>
      <xdr:row>7</xdr:row>
      <xdr:rowOff>44824</xdr:rowOff>
    </xdr:from>
    <xdr:to>
      <xdr:col>8</xdr:col>
      <xdr:colOff>638735</xdr:colOff>
      <xdr:row>18</xdr:row>
      <xdr:rowOff>156883</xdr:rowOff>
    </xdr:to>
    <xdr:graphicFrame macro="">
      <xdr:nvGraphicFramePr>
        <xdr:cNvPr id="2" name="תרשים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78441</xdr:colOff>
      <xdr:row>7</xdr:row>
      <xdr:rowOff>168088</xdr:rowOff>
    </xdr:from>
    <xdr:to>
      <xdr:col>18</xdr:col>
      <xdr:colOff>358587</xdr:colOff>
      <xdr:row>17</xdr:row>
      <xdr:rowOff>168088</xdr:rowOff>
    </xdr:to>
    <xdr:graphicFrame macro="">
      <xdr:nvGraphicFramePr>
        <xdr:cNvPr id="3" name="תרשים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24</xdr:col>
      <xdr:colOff>89646</xdr:colOff>
      <xdr:row>7</xdr:row>
      <xdr:rowOff>78441</xdr:rowOff>
    </xdr:from>
    <xdr:to>
      <xdr:col>27</xdr:col>
      <xdr:colOff>11206</xdr:colOff>
      <xdr:row>19</xdr:row>
      <xdr:rowOff>145677</xdr:rowOff>
    </xdr:to>
    <xdr:graphicFrame macro="">
      <xdr:nvGraphicFramePr>
        <xdr:cNvPr id="4" name="תרשים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42</xdr:col>
      <xdr:colOff>493058</xdr:colOff>
      <xdr:row>19</xdr:row>
      <xdr:rowOff>89647</xdr:rowOff>
    </xdr:from>
    <xdr:to>
      <xdr:col>47</xdr:col>
      <xdr:colOff>224117</xdr:colOff>
      <xdr:row>30</xdr:row>
      <xdr:rowOff>78442</xdr:rowOff>
    </xdr:to>
    <xdr:graphicFrame macro="">
      <xdr:nvGraphicFramePr>
        <xdr:cNvPr id="5" name="תרשים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67235</xdr:colOff>
      <xdr:row>42</xdr:row>
      <xdr:rowOff>89647</xdr:rowOff>
    </xdr:from>
    <xdr:to>
      <xdr:col>15</xdr:col>
      <xdr:colOff>280148</xdr:colOff>
      <xdr:row>54</xdr:row>
      <xdr:rowOff>156884</xdr:rowOff>
    </xdr:to>
    <xdr:graphicFrame macro="">
      <xdr:nvGraphicFramePr>
        <xdr:cNvPr id="6" name="תרשים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25</xdr:col>
      <xdr:colOff>380999</xdr:colOff>
      <xdr:row>41</xdr:row>
      <xdr:rowOff>168089</xdr:rowOff>
    </xdr:from>
    <xdr:to>
      <xdr:col>30</xdr:col>
      <xdr:colOff>392206</xdr:colOff>
      <xdr:row>53</xdr:row>
      <xdr:rowOff>134470</xdr:rowOff>
    </xdr:to>
    <xdr:graphicFrame macro="">
      <xdr:nvGraphicFramePr>
        <xdr:cNvPr id="7" name="תרשים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39</xdr:col>
      <xdr:colOff>268941</xdr:colOff>
      <xdr:row>52</xdr:row>
      <xdr:rowOff>78441</xdr:rowOff>
    </xdr:from>
    <xdr:to>
      <xdr:col>42</xdr:col>
      <xdr:colOff>437029</xdr:colOff>
      <xdr:row>62</xdr:row>
      <xdr:rowOff>11206</xdr:rowOff>
    </xdr:to>
    <xdr:graphicFrame macro="">
      <xdr:nvGraphicFramePr>
        <xdr:cNvPr id="8" name="תרשים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lad/Desktop/supp%20table/source%20data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ig 1"/>
      <sheetName val="Fig 2"/>
      <sheetName val="Fig 3"/>
      <sheetName val="Fig 4"/>
      <sheetName val="Fig 5"/>
      <sheetName val="ED1"/>
      <sheetName val="ED2"/>
      <sheetName val="ED3"/>
      <sheetName val="ED4"/>
      <sheetName val="ED5"/>
      <sheetName val="ED6"/>
      <sheetName val="ED7"/>
      <sheetName val="ED8"/>
    </sheetNames>
    <sheetDataSet>
      <sheetData sheetId="0"/>
      <sheetData sheetId="1"/>
      <sheetData sheetId="2">
        <row r="3">
          <cell r="H3" t="str">
            <v>PBS</v>
          </cell>
          <cell r="I3" t="str">
            <v>Agrin</v>
          </cell>
          <cell r="Q3" t="str">
            <v>PBS</v>
          </cell>
          <cell r="R3" t="str">
            <v>Agrin</v>
          </cell>
          <cell r="Z3" t="str">
            <v>PBS</v>
          </cell>
          <cell r="AA3" t="str">
            <v>Agrin</v>
          </cell>
        </row>
        <row r="4">
          <cell r="G4" t="str">
            <v>Ave</v>
          </cell>
          <cell r="H4">
            <v>0.29743476337903585</v>
          </cell>
          <cell r="I4">
            <v>0.80164116148854936</v>
          </cell>
          <cell r="P4" t="str">
            <v>Ave</v>
          </cell>
          <cell r="Q4">
            <v>0.18880400141523965</v>
          </cell>
          <cell r="R4">
            <v>0.58361082822269572</v>
          </cell>
          <cell r="Y4" t="str">
            <v>Ave</v>
          </cell>
          <cell r="Z4">
            <v>0.54311103736352406</v>
          </cell>
          <cell r="AA4">
            <v>1.5595209940958228</v>
          </cell>
        </row>
        <row r="6">
          <cell r="H6">
            <v>0.18215972788408741</v>
          </cell>
          <cell r="I6">
            <v>0.18214321770801439</v>
          </cell>
          <cell r="Q6">
            <v>0.11954310542105259</v>
          </cell>
          <cell r="R6">
            <v>7.2520113367203445E-2</v>
          </cell>
          <cell r="Z6">
            <v>0.14432549505204911</v>
          </cell>
          <cell r="AA6">
            <v>0.36136074801023665</v>
          </cell>
          <cell r="AS6">
            <v>4</v>
          </cell>
          <cell r="AT6">
            <v>14</v>
          </cell>
          <cell r="AU6">
            <v>35</v>
          </cell>
        </row>
        <row r="7">
          <cell r="AR7" t="str">
            <v>PBS</v>
          </cell>
          <cell r="AS7">
            <v>18.892259878276867</v>
          </cell>
          <cell r="AT7">
            <v>19.408683464471814</v>
          </cell>
          <cell r="AU7">
            <v>17.387503376411289</v>
          </cell>
        </row>
        <row r="8">
          <cell r="AR8" t="str">
            <v>Agrin</v>
          </cell>
          <cell r="AS8">
            <v>17.377530163776875</v>
          </cell>
          <cell r="AT8">
            <v>13.585470966883761</v>
          </cell>
          <cell r="AU8">
            <v>8.7966135893221562</v>
          </cell>
        </row>
        <row r="17">
          <cell r="AS17">
            <v>1.1854333349241784</v>
          </cell>
          <cell r="AT17">
            <v>4.7613992967735932</v>
          </cell>
          <cell r="AU17">
            <v>2.4126743926474261</v>
          </cell>
        </row>
        <row r="18">
          <cell r="AS18">
            <v>3.5413195066499519</v>
          </cell>
          <cell r="AT18">
            <v>1.5802215597648539</v>
          </cell>
          <cell r="AU18">
            <v>1.7486015197354392</v>
          </cell>
        </row>
        <row r="26">
          <cell r="L26">
            <v>0</v>
          </cell>
          <cell r="M26">
            <v>7</v>
          </cell>
          <cell r="N26">
            <v>21</v>
          </cell>
          <cell r="O26">
            <v>28</v>
          </cell>
          <cell r="P26">
            <v>35</v>
          </cell>
          <cell r="AA26">
            <v>0</v>
          </cell>
          <cell r="AB26">
            <v>7</v>
          </cell>
          <cell r="AC26">
            <v>21</v>
          </cell>
          <cell r="AD26">
            <v>28</v>
          </cell>
          <cell r="AE26">
            <v>35</v>
          </cell>
        </row>
        <row r="27">
          <cell r="K27" t="str">
            <v>Uninjured</v>
          </cell>
          <cell r="L27">
            <v>62.407335416666662</v>
          </cell>
          <cell r="M27">
            <v>55.334371950000005</v>
          </cell>
          <cell r="N27">
            <v>55.280919050000001</v>
          </cell>
          <cell r="O27">
            <v>56.659319366666672</v>
          </cell>
          <cell r="P27">
            <v>57.252984316666662</v>
          </cell>
          <cell r="Z27" t="str">
            <v>Uninjured</v>
          </cell>
          <cell r="AA27">
            <v>17.043192407142854</v>
          </cell>
          <cell r="AB27">
            <v>18.132687249999996</v>
          </cell>
          <cell r="AC27">
            <v>16.831044770000002</v>
          </cell>
          <cell r="AD27">
            <v>19.42219815</v>
          </cell>
          <cell r="AE27">
            <v>18.722750683333331</v>
          </cell>
        </row>
        <row r="28">
          <cell r="K28" t="str">
            <v>PBS</v>
          </cell>
          <cell r="L28">
            <v>62.407335416666662</v>
          </cell>
          <cell r="M28">
            <v>50.226006341666668</v>
          </cell>
          <cell r="N28">
            <v>41.39459893888889</v>
          </cell>
          <cell r="O28">
            <v>40.535677680555558</v>
          </cell>
          <cell r="P28">
            <v>41.86723277777778</v>
          </cell>
          <cell r="Z28" t="str">
            <v>PBS</v>
          </cell>
          <cell r="AA28">
            <v>17.043192407142854</v>
          </cell>
          <cell r="AB28">
            <v>13.064751100000001</v>
          </cell>
          <cell r="AC28">
            <v>13.758415219444444</v>
          </cell>
          <cell r="AD28">
            <v>10.961320402777778</v>
          </cell>
          <cell r="AE28">
            <v>11.399797944444446</v>
          </cell>
        </row>
        <row r="29">
          <cell r="K29" t="str">
            <v>Agrin</v>
          </cell>
          <cell r="L29">
            <v>62.407335416666662</v>
          </cell>
          <cell r="M29">
            <v>51.695371812499999</v>
          </cell>
          <cell r="N29">
            <v>46.631965445833337</v>
          </cell>
          <cell r="O29">
            <v>53.808528770833334</v>
          </cell>
          <cell r="P29">
            <v>54.988884710416663</v>
          </cell>
          <cell r="Z29" t="str">
            <v>Agrin</v>
          </cell>
          <cell r="AA29">
            <v>17.043192407142854</v>
          </cell>
          <cell r="AB29">
            <v>15.262300437499999</v>
          </cell>
          <cell r="AC29">
            <v>11.797675968750003</v>
          </cell>
          <cell r="AD29">
            <v>17.37354945625</v>
          </cell>
          <cell r="AE29">
            <v>17.229801575</v>
          </cell>
        </row>
        <row r="39">
          <cell r="L39">
            <v>1.1952511001818777</v>
          </cell>
          <cell r="M39">
            <v>0.83162629575834535</v>
          </cell>
          <cell r="N39">
            <v>2.6997355166849175</v>
          </cell>
          <cell r="O39">
            <v>3.6180900522205954</v>
          </cell>
          <cell r="P39">
            <v>1.9059464186559782</v>
          </cell>
          <cell r="AA39">
            <v>1.2729610795337718</v>
          </cell>
          <cell r="AB39">
            <v>1.3627444783528009</v>
          </cell>
          <cell r="AC39">
            <v>1.8092100276193368</v>
          </cell>
          <cell r="AD39">
            <v>1.194383231849246</v>
          </cell>
          <cell r="AE39">
            <v>1.8782561812685128</v>
          </cell>
        </row>
        <row r="40">
          <cell r="L40">
            <v>1.1952511001818777</v>
          </cell>
          <cell r="M40">
            <v>2.1819809594389112</v>
          </cell>
          <cell r="N40">
            <v>3.9731643448693874</v>
          </cell>
          <cell r="O40">
            <v>4.1624552909959078</v>
          </cell>
          <cell r="P40">
            <v>3.0481853541166446</v>
          </cell>
          <cell r="AA40">
            <v>1.2729610795337718</v>
          </cell>
          <cell r="AB40">
            <v>1.6464698570693634</v>
          </cell>
          <cell r="AC40">
            <v>1.7078188792266396</v>
          </cell>
          <cell r="AD40">
            <v>1.8498600856426108</v>
          </cell>
          <cell r="AE40">
            <v>2.2146434660632388</v>
          </cell>
        </row>
        <row r="41">
          <cell r="L41">
            <v>1.1952511001818777</v>
          </cell>
          <cell r="M41">
            <v>3.9672112125043202</v>
          </cell>
          <cell r="N41">
            <v>2.3443539859112086</v>
          </cell>
          <cell r="O41">
            <v>3.0463276685769705</v>
          </cell>
          <cell r="P41">
            <v>2.2400883841452064</v>
          </cell>
          <cell r="AA41">
            <v>1.2729610795337718</v>
          </cell>
          <cell r="AB41">
            <v>1.3942265851775988</v>
          </cell>
          <cell r="AC41">
            <v>1.5301780383520494</v>
          </cell>
          <cell r="AD41">
            <v>1.0809297619146432</v>
          </cell>
          <cell r="AE41">
            <v>1.0991112037241646</v>
          </cell>
        </row>
        <row r="55">
          <cell r="AK55" t="str">
            <v>Uninjured</v>
          </cell>
          <cell r="AL55" t="str">
            <v>Agrin</v>
          </cell>
          <cell r="AM55" t="str">
            <v>PBS</v>
          </cell>
        </row>
        <row r="56">
          <cell r="AJ56" t="str">
            <v>LVAW</v>
          </cell>
          <cell r="AK56">
            <v>0.9850000000000001</v>
          </cell>
          <cell r="AL56">
            <v>0.875</v>
          </cell>
          <cell r="AM56">
            <v>0.84000000000000008</v>
          </cell>
        </row>
        <row r="57">
          <cell r="AJ57" t="str">
            <v>LVPW</v>
          </cell>
          <cell r="AK57">
            <v>1.155</v>
          </cell>
          <cell r="AL57">
            <v>1.2483333333333333</v>
          </cell>
          <cell r="AM57">
            <v>0.98499999999999999</v>
          </cell>
        </row>
        <row r="61">
          <cell r="AK61">
            <v>5.4999999999999487E-2</v>
          </cell>
          <cell r="AL61">
            <v>7.2606243992281189E-2</v>
          </cell>
          <cell r="AM61">
            <v>6.01664358259653E-2</v>
          </cell>
        </row>
        <row r="62">
          <cell r="AK62">
            <v>6.4999999999999405E-2</v>
          </cell>
          <cell r="AL62">
            <v>7.3048690002704017E-2</v>
          </cell>
          <cell r="AM62">
            <v>8.0901174280723659E-2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AV64"/>
  <sheetViews>
    <sheetView tabSelected="1" zoomScale="25" zoomScaleNormal="25" workbookViewId="0">
      <selection sqref="A1:XFD1048576"/>
    </sheetView>
  </sheetViews>
  <sheetFormatPr defaultRowHeight="14.25"/>
  <cols>
    <col min="1" max="16384" width="9" style="1"/>
  </cols>
  <sheetData>
    <row r="1" spans="3:48" ht="15" thickBot="1">
      <c r="U1" s="2"/>
      <c r="V1" s="3"/>
      <c r="W1" s="3"/>
      <c r="X1" s="3"/>
      <c r="Y1" s="3"/>
      <c r="Z1" s="3"/>
      <c r="AA1" s="3"/>
      <c r="AB1" s="4"/>
    </row>
    <row r="2" spans="3:48">
      <c r="C2" s="2"/>
      <c r="D2" s="3"/>
      <c r="E2" s="3"/>
      <c r="F2" s="3"/>
      <c r="G2" s="3"/>
      <c r="H2" s="3"/>
      <c r="I2" s="4"/>
      <c r="L2" s="2"/>
      <c r="M2" s="3"/>
      <c r="N2" s="3"/>
      <c r="O2" s="3"/>
      <c r="P2" s="3"/>
      <c r="Q2" s="3"/>
      <c r="R2" s="3"/>
      <c r="S2" s="4"/>
      <c r="U2" s="5"/>
      <c r="V2" s="6"/>
      <c r="W2" s="6"/>
      <c r="X2" s="6"/>
      <c r="Y2" s="6"/>
      <c r="Z2" s="6"/>
      <c r="AA2" s="6"/>
      <c r="AB2" s="7"/>
      <c r="AG2" s="2"/>
      <c r="AH2" s="3" t="s">
        <v>0</v>
      </c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4"/>
    </row>
    <row r="3" spans="3:48" ht="15">
      <c r="C3" s="8" t="s">
        <v>1</v>
      </c>
      <c r="D3" s="6" t="s">
        <v>2</v>
      </c>
      <c r="E3" s="6" t="s">
        <v>3</v>
      </c>
      <c r="F3" s="6"/>
      <c r="G3" s="6"/>
      <c r="H3" s="6" t="s">
        <v>2</v>
      </c>
      <c r="I3" s="7" t="s">
        <v>3</v>
      </c>
      <c r="L3" s="8" t="s">
        <v>4</v>
      </c>
      <c r="M3" s="6" t="s">
        <v>2</v>
      </c>
      <c r="N3" s="6" t="s">
        <v>3</v>
      </c>
      <c r="O3" s="6"/>
      <c r="P3" s="6"/>
      <c r="Q3" s="6" t="s">
        <v>2</v>
      </c>
      <c r="R3" s="6" t="s">
        <v>3</v>
      </c>
      <c r="S3" s="7"/>
      <c r="U3" s="8" t="s">
        <v>5</v>
      </c>
      <c r="V3" s="6" t="s">
        <v>2</v>
      </c>
      <c r="W3" s="6" t="s">
        <v>3</v>
      </c>
      <c r="X3" s="6"/>
      <c r="Y3" s="6"/>
      <c r="Z3" s="6" t="s">
        <v>2</v>
      </c>
      <c r="AA3" s="6" t="s">
        <v>3</v>
      </c>
      <c r="AB3" s="7"/>
      <c r="AG3" s="8" t="s">
        <v>6</v>
      </c>
      <c r="AH3" s="6">
        <v>0</v>
      </c>
      <c r="AI3" s="6" t="s">
        <v>7</v>
      </c>
      <c r="AJ3" s="6" t="s">
        <v>8</v>
      </c>
      <c r="AK3" s="6" t="s">
        <v>9</v>
      </c>
      <c r="AL3" s="6" t="s">
        <v>10</v>
      </c>
      <c r="AM3" s="6"/>
      <c r="AN3" s="6"/>
      <c r="AO3" s="6"/>
      <c r="AP3" s="6"/>
      <c r="AQ3" s="6"/>
      <c r="AR3" s="6"/>
      <c r="AS3" s="6"/>
      <c r="AT3" s="6"/>
      <c r="AU3" s="6"/>
      <c r="AV3" s="7"/>
    </row>
    <row r="4" spans="3:48">
      <c r="C4" s="5"/>
      <c r="D4" s="6">
        <v>0</v>
      </c>
      <c r="E4" s="6">
        <v>1.1235955056179776</v>
      </c>
      <c r="F4" s="6"/>
      <c r="G4" s="6" t="s">
        <v>11</v>
      </c>
      <c r="H4" s="6">
        <f>AVERAGE(D4:D8)</f>
        <v>0.29743476337903585</v>
      </c>
      <c r="I4" s="7">
        <f>AVERAGE(E4:E9)</f>
        <v>0.80164116148854936</v>
      </c>
      <c r="L4" s="5"/>
      <c r="M4" s="6">
        <v>0.56808015745213813</v>
      </c>
      <c r="N4" s="6">
        <v>0.31746031746031744</v>
      </c>
      <c r="O4" s="6"/>
      <c r="P4" s="6" t="s">
        <v>11</v>
      </c>
      <c r="Q4" s="6">
        <f>AVERAGE(M4:M8)</f>
        <v>0.18880400141523965</v>
      </c>
      <c r="R4" s="6">
        <f>AVERAGE(N4:N8)</f>
        <v>0.58361082822269572</v>
      </c>
      <c r="S4" s="7"/>
      <c r="U4" s="5"/>
      <c r="V4" s="6">
        <v>0.11210762331838565</v>
      </c>
      <c r="W4" s="6">
        <v>0.95602294455066927</v>
      </c>
      <c r="X4" s="6"/>
      <c r="Y4" s="6" t="s">
        <v>11</v>
      </c>
      <c r="Z4" s="6">
        <f>AVERAGE(V4:V9)</f>
        <v>0.54311103736352406</v>
      </c>
      <c r="AA4" s="6">
        <f>AVERAGE(W4:W9)</f>
        <v>1.5595209940958228</v>
      </c>
      <c r="AB4" s="7"/>
      <c r="AG4" s="5"/>
      <c r="AH4" s="6"/>
      <c r="AI4" s="6">
        <v>0.25536977669822358</v>
      </c>
      <c r="AJ4" s="6">
        <v>0.3830550400820929</v>
      </c>
      <c r="AK4" s="6">
        <v>0.34864709793214488</v>
      </c>
      <c r="AL4" s="6">
        <v>0.19609553566550886</v>
      </c>
      <c r="AM4" s="6"/>
      <c r="AN4" s="6"/>
      <c r="AO4" s="6"/>
      <c r="AP4" s="6"/>
      <c r="AQ4" s="6"/>
      <c r="AR4" s="6"/>
      <c r="AS4" s="6"/>
      <c r="AT4" s="6"/>
      <c r="AU4" s="6"/>
      <c r="AV4" s="7"/>
    </row>
    <row r="5" spans="3:48">
      <c r="C5" s="5"/>
      <c r="D5" s="6">
        <v>0.75187969924812026</v>
      </c>
      <c r="E5" s="6">
        <v>0.64102564102564108</v>
      </c>
      <c r="F5" s="6"/>
      <c r="G5" s="6" t="s">
        <v>12</v>
      </c>
      <c r="H5" s="6">
        <f>STDEV(D4:D8)</f>
        <v>0.40732153431168339</v>
      </c>
      <c r="I5" s="7">
        <f>STDEV(E4:E9)</f>
        <v>0.44615794349330457</v>
      </c>
      <c r="L5" s="5"/>
      <c r="M5" s="6">
        <v>0.37593984962406013</v>
      </c>
      <c r="N5" s="6">
        <v>0.59928566522425997</v>
      </c>
      <c r="O5" s="6"/>
      <c r="P5" s="6" t="s">
        <v>12</v>
      </c>
      <c r="Q5" s="6">
        <f>STDEV(M4:M8)</f>
        <v>0.26730650996289723</v>
      </c>
      <c r="R5" s="6">
        <f>STDEV(N4:N8)</f>
        <v>0.16215990322505808</v>
      </c>
      <c r="S5" s="7"/>
      <c r="U5" s="5"/>
      <c r="V5" s="6">
        <v>0.30674846625766872</v>
      </c>
      <c r="W5" s="6">
        <v>1.3580246913580247</v>
      </c>
      <c r="X5" s="6"/>
      <c r="Y5" s="6" t="s">
        <v>12</v>
      </c>
      <c r="Z5" s="6">
        <f>STDEV(V4:V9)</f>
        <v>0.35352381975209857</v>
      </c>
      <c r="AA5" s="6">
        <f>STDEV(W4:W9)</f>
        <v>0.88514944569553133</v>
      </c>
      <c r="AB5" s="7"/>
      <c r="AG5" s="5"/>
      <c r="AH5" s="6"/>
      <c r="AI5" s="6"/>
      <c r="AJ5" s="6"/>
      <c r="AK5" s="6"/>
      <c r="AL5" s="6"/>
      <c r="AM5" s="6"/>
      <c r="AN5" s="6"/>
      <c r="AO5" s="6"/>
      <c r="AP5" s="6"/>
      <c r="AQ5" s="6"/>
      <c r="AR5" s="6" t="s">
        <v>11</v>
      </c>
      <c r="AS5" s="6"/>
      <c r="AT5" s="6"/>
      <c r="AU5" s="6"/>
      <c r="AV5" s="7"/>
    </row>
    <row r="6" spans="3:48">
      <c r="C6" s="5"/>
      <c r="D6" s="6">
        <v>0</v>
      </c>
      <c r="E6" s="6">
        <v>0.52083333333333337</v>
      </c>
      <c r="F6" s="6"/>
      <c r="G6" s="6" t="s">
        <v>13</v>
      </c>
      <c r="H6" s="6">
        <f>H5/SQRT(5)</f>
        <v>0.18215972788408741</v>
      </c>
      <c r="I6" s="7">
        <f>I5/SQRT(6)</f>
        <v>0.18214321770801439</v>
      </c>
      <c r="L6" s="5"/>
      <c r="M6" s="6">
        <v>0</v>
      </c>
      <c r="N6" s="6">
        <v>0.75421575421575426</v>
      </c>
      <c r="O6" s="6"/>
      <c r="P6" s="6" t="s">
        <v>13</v>
      </c>
      <c r="Q6" s="6">
        <f>Q5/SQRT(5)</f>
        <v>0.11954310542105259</v>
      </c>
      <c r="R6" s="6">
        <f>R5/SQRT(5)</f>
        <v>7.2520113367203445E-2</v>
      </c>
      <c r="S6" s="7"/>
      <c r="U6" s="5"/>
      <c r="V6" s="6">
        <v>1.0610079575596816</v>
      </c>
      <c r="W6" s="6">
        <v>1.0025062656641603</v>
      </c>
      <c r="X6" s="6"/>
      <c r="Y6" s="6" t="s">
        <v>13</v>
      </c>
      <c r="Z6" s="6">
        <f>Z5/SQRT(6)</f>
        <v>0.14432549505204911</v>
      </c>
      <c r="AA6" s="6">
        <f>AA5/SQRT(6)</f>
        <v>0.36136074801023665</v>
      </c>
      <c r="AB6" s="7"/>
      <c r="AG6" s="5"/>
      <c r="AH6" s="6" t="s">
        <v>2</v>
      </c>
      <c r="AI6" s="6"/>
      <c r="AJ6" s="6"/>
      <c r="AK6" s="6"/>
      <c r="AL6" s="6"/>
      <c r="AM6" s="6"/>
      <c r="AN6" s="6"/>
      <c r="AO6" s="6"/>
      <c r="AP6" s="6"/>
      <c r="AQ6" s="6"/>
      <c r="AR6" s="6"/>
      <c r="AS6" s="6">
        <v>4</v>
      </c>
      <c r="AT6" s="6">
        <v>14</v>
      </c>
      <c r="AU6" s="6">
        <v>35</v>
      </c>
      <c r="AV6" s="7"/>
    </row>
    <row r="7" spans="3:48">
      <c r="C7" s="5"/>
      <c r="D7" s="6">
        <v>0</v>
      </c>
      <c r="E7" s="6">
        <v>0.51546391752577314</v>
      </c>
      <c r="F7" s="6"/>
      <c r="G7" s="6"/>
      <c r="H7" s="6"/>
      <c r="I7" s="7"/>
      <c r="L7" s="5"/>
      <c r="M7" s="6">
        <v>0</v>
      </c>
      <c r="N7" s="6">
        <v>0.59349763297131708</v>
      </c>
      <c r="O7" s="6"/>
      <c r="P7" s="6"/>
      <c r="Q7" s="6"/>
      <c r="R7" s="6"/>
      <c r="S7" s="7"/>
      <c r="U7" s="5"/>
      <c r="V7" s="6">
        <v>0.32520325203252032</v>
      </c>
      <c r="W7" s="6">
        <v>3.3254156769596199</v>
      </c>
      <c r="X7" s="6"/>
      <c r="Y7" s="6"/>
      <c r="Z7" s="6"/>
      <c r="AA7" s="6"/>
      <c r="AB7" s="7"/>
      <c r="AG7" s="5"/>
      <c r="AH7" s="6">
        <v>4</v>
      </c>
      <c r="AI7" s="6">
        <v>405</v>
      </c>
      <c r="AJ7" s="6">
        <v>408</v>
      </c>
      <c r="AK7" s="6">
        <v>409</v>
      </c>
      <c r="AL7" s="6">
        <v>457</v>
      </c>
      <c r="AM7" s="6">
        <v>464</v>
      </c>
      <c r="AN7" s="6"/>
      <c r="AO7" s="6"/>
      <c r="AP7" s="6"/>
      <c r="AQ7" s="6"/>
      <c r="AR7" s="6" t="s">
        <v>2</v>
      </c>
      <c r="AS7" s="6">
        <f>AVERAGE(AI8:AM8)</f>
        <v>18.892259878276867</v>
      </c>
      <c r="AT7" s="6">
        <f>AVERAGE(AI10:AM10)</f>
        <v>19.408683464471814</v>
      </c>
      <c r="AU7" s="6">
        <f>AVERAGE(AI12:AO12)</f>
        <v>17.387503376411289</v>
      </c>
      <c r="AV7" s="7"/>
    </row>
    <row r="8" spans="3:48">
      <c r="C8" s="5"/>
      <c r="D8" s="6">
        <v>0.73529411764705888</v>
      </c>
      <c r="E8" s="6">
        <v>0.44642857142857145</v>
      </c>
      <c r="F8" s="6"/>
      <c r="G8" s="6"/>
      <c r="H8" s="6"/>
      <c r="I8" s="7"/>
      <c r="L8" s="5"/>
      <c r="M8" s="6">
        <v>0</v>
      </c>
      <c r="N8" s="6">
        <v>0.65359477124183007</v>
      </c>
      <c r="O8" s="6"/>
      <c r="P8" s="6"/>
      <c r="Q8" s="6"/>
      <c r="R8" s="6"/>
      <c r="S8" s="7"/>
      <c r="U8" s="5"/>
      <c r="V8" s="6">
        <v>0.72046109510086453</v>
      </c>
      <c r="W8" s="6">
        <v>1.3227513227513228</v>
      </c>
      <c r="X8" s="6"/>
      <c r="Y8" s="6"/>
      <c r="Z8" s="6"/>
      <c r="AA8" s="6"/>
      <c r="AB8" s="7"/>
      <c r="AG8" s="5"/>
      <c r="AH8" s="6"/>
      <c r="AI8" s="6">
        <f>(662414+56716)/(5142385-1289950)*100</f>
        <v>18.666895093622603</v>
      </c>
      <c r="AJ8" s="6">
        <f>(23351+19607+8679+14345+700332)/(5421289-1299633)*100</f>
        <v>18.592381314694869</v>
      </c>
      <c r="AK8" s="6">
        <f>(671379+127010)/(5084670-1312858)*100</f>
        <v>21.16725329894491</v>
      </c>
      <c r="AL8" s="6">
        <f>(939031+45216)/(6307998-1682254)*100</f>
        <v>21.277593399029431</v>
      </c>
      <c r="AM8" s="6">
        <f>(279596+46138+137853+17650+59365)/(4806232-1142916)*100</f>
        <v>14.757176285092521</v>
      </c>
      <c r="AN8" s="6"/>
      <c r="AO8" s="6"/>
      <c r="AP8" s="6"/>
      <c r="AQ8" s="6"/>
      <c r="AR8" s="6" t="s">
        <v>3</v>
      </c>
      <c r="AS8" s="6">
        <f>AVERAGE(AI16:AL16)</f>
        <v>17.377530163776875</v>
      </c>
      <c r="AT8" s="6">
        <f>AVERAGE(AI18:AM18)</f>
        <v>13.585470966883761</v>
      </c>
      <c r="AU8" s="6">
        <f>AVERAGE(AI20:AP20)</f>
        <v>8.7966135893221562</v>
      </c>
      <c r="AV8" s="7"/>
    </row>
    <row r="9" spans="3:48">
      <c r="C9" s="5"/>
      <c r="D9" s="6"/>
      <c r="E9" s="6">
        <v>1.5625</v>
      </c>
      <c r="F9" s="6"/>
      <c r="G9" s="6"/>
      <c r="H9" s="6"/>
      <c r="I9" s="7"/>
      <c r="L9" s="5"/>
      <c r="M9" s="6"/>
      <c r="N9" s="6"/>
      <c r="O9" s="6"/>
      <c r="P9" s="6"/>
      <c r="Q9" s="6"/>
      <c r="R9" s="6"/>
      <c r="S9" s="7"/>
      <c r="U9" s="5"/>
      <c r="V9" s="6">
        <v>0.73313782991202348</v>
      </c>
      <c r="W9" s="6">
        <v>1.3924050632911391</v>
      </c>
      <c r="X9" s="6"/>
      <c r="Y9" s="6"/>
      <c r="Z9" s="6"/>
      <c r="AA9" s="6"/>
      <c r="AB9" s="7"/>
      <c r="AG9" s="5"/>
      <c r="AH9" s="6">
        <v>14</v>
      </c>
      <c r="AI9" s="6">
        <v>454</v>
      </c>
      <c r="AJ9" s="6">
        <v>458</v>
      </c>
      <c r="AK9" s="6">
        <v>461</v>
      </c>
      <c r="AL9" s="6">
        <v>462</v>
      </c>
      <c r="AM9" s="6"/>
      <c r="AN9" s="6"/>
      <c r="AO9" s="6"/>
      <c r="AP9" s="6"/>
      <c r="AQ9" s="6"/>
      <c r="AR9" s="6"/>
      <c r="AS9" s="6"/>
      <c r="AT9" s="6"/>
      <c r="AU9" s="6"/>
      <c r="AV9" s="7"/>
    </row>
    <row r="10" spans="3:48">
      <c r="C10" s="5"/>
      <c r="D10" s="6"/>
      <c r="E10" s="6"/>
      <c r="F10" s="6"/>
      <c r="G10" s="6"/>
      <c r="H10" s="6"/>
      <c r="I10" s="7"/>
      <c r="L10" s="5"/>
      <c r="M10" s="6"/>
      <c r="N10" s="6"/>
      <c r="O10" s="6"/>
      <c r="P10" s="6"/>
      <c r="Q10" s="6"/>
      <c r="R10" s="6"/>
      <c r="S10" s="7"/>
      <c r="U10" s="5"/>
      <c r="V10" s="6"/>
      <c r="W10" s="6"/>
      <c r="X10" s="6"/>
      <c r="Y10" s="6"/>
      <c r="Z10" s="6"/>
      <c r="AA10" s="6"/>
      <c r="AB10" s="7"/>
      <c r="AG10" s="5"/>
      <c r="AH10" s="6"/>
      <c r="AI10" s="6">
        <f>(1104220+16678)/(5441931-1819471)*100</f>
        <v>30.943005581842176</v>
      </c>
      <c r="AJ10" s="6">
        <f>(427989+28229+14518)/(5336257-996404)*100</f>
        <v>10.846819005159853</v>
      </c>
      <c r="AK10" s="6">
        <f>(164701+231383+25248)/(4625979-1224516)*100</f>
        <v>12.386787685181346</v>
      </c>
      <c r="AL10" s="6">
        <f>572704/(4343042-1901653)*100</f>
        <v>23.458121585703875</v>
      </c>
      <c r="AM10" s="6"/>
      <c r="AN10" s="6"/>
      <c r="AO10" s="6"/>
      <c r="AP10" s="6"/>
      <c r="AQ10" s="6"/>
      <c r="AR10" s="6" t="s">
        <v>12</v>
      </c>
      <c r="AS10" s="6"/>
      <c r="AT10" s="6"/>
      <c r="AU10" s="6"/>
      <c r="AV10" s="7"/>
    </row>
    <row r="11" spans="3:48">
      <c r="C11" s="5"/>
      <c r="D11" s="6">
        <f>TTEST(D4:D8,E4:E9,1,2)</f>
        <v>4.219141152396344E-2</v>
      </c>
      <c r="E11" s="6" t="s">
        <v>14</v>
      </c>
      <c r="F11" s="6"/>
      <c r="G11" s="6"/>
      <c r="H11" s="6"/>
      <c r="I11" s="7"/>
      <c r="L11" s="5"/>
      <c r="M11" s="6">
        <f>TTEST(M4:M8,N4:N9,1,2)</f>
        <v>1.1183510484247938E-2</v>
      </c>
      <c r="N11" s="6" t="s">
        <v>14</v>
      </c>
      <c r="O11" s="6"/>
      <c r="P11" s="6"/>
      <c r="Q11" s="6"/>
      <c r="R11" s="6"/>
      <c r="S11" s="7"/>
      <c r="U11" s="5"/>
      <c r="V11" s="6">
        <f>TTEST(W4:W9,V4:V9,1,2)</f>
        <v>1.2973590086862144E-2</v>
      </c>
      <c r="W11" s="6" t="s">
        <v>14</v>
      </c>
      <c r="X11" s="6"/>
      <c r="Y11" s="6"/>
      <c r="Z11" s="6"/>
      <c r="AA11" s="6"/>
      <c r="AB11" s="7"/>
      <c r="AG11" s="5"/>
      <c r="AH11" s="6">
        <v>35</v>
      </c>
      <c r="AI11" s="6">
        <v>478</v>
      </c>
      <c r="AJ11" s="6">
        <v>484</v>
      </c>
      <c r="AK11" s="6">
        <v>485</v>
      </c>
      <c r="AL11" s="6">
        <v>486</v>
      </c>
      <c r="AM11" s="6">
        <v>489</v>
      </c>
      <c r="AN11" s="6">
        <v>493</v>
      </c>
      <c r="AO11" s="6">
        <v>496</v>
      </c>
      <c r="AP11" s="6"/>
      <c r="AQ11" s="6"/>
      <c r="AR11" s="6"/>
      <c r="AS11" s="6">
        <v>4</v>
      </c>
      <c r="AT11" s="6">
        <v>14</v>
      </c>
      <c r="AU11" s="6">
        <v>35</v>
      </c>
      <c r="AV11" s="7"/>
    </row>
    <row r="12" spans="3:48">
      <c r="C12" s="5"/>
      <c r="D12" s="6"/>
      <c r="E12" s="6"/>
      <c r="F12" s="6"/>
      <c r="G12" s="6"/>
      <c r="H12" s="6"/>
      <c r="I12" s="7"/>
      <c r="L12" s="5"/>
      <c r="M12" s="6"/>
      <c r="N12" s="6"/>
      <c r="O12" s="6"/>
      <c r="P12" s="6"/>
      <c r="Q12" s="6"/>
      <c r="R12" s="6"/>
      <c r="S12" s="7"/>
      <c r="U12" s="5"/>
      <c r="V12" s="6"/>
      <c r="W12" s="6"/>
      <c r="X12" s="6"/>
      <c r="Y12" s="6"/>
      <c r="Z12" s="6"/>
      <c r="AA12" s="6"/>
      <c r="AB12" s="7"/>
      <c r="AG12" s="5"/>
      <c r="AH12" s="6"/>
      <c r="AI12" s="6">
        <f>84651/(471125-75067)*100</f>
        <v>21.373384706280394</v>
      </c>
      <c r="AJ12" s="6">
        <f>94131/(721982-311225)*100</f>
        <v>22.916468861151486</v>
      </c>
      <c r="AK12" s="6">
        <f>25683/(558241-142617)*100</f>
        <v>6.1793832887417475</v>
      </c>
      <c r="AL12" s="6">
        <f>(36047+13376)/(614190-182622)*100</f>
        <v>11.45196122047974</v>
      </c>
      <c r="AM12" s="6">
        <f>(78490+1709)/(591954-165253)*100</f>
        <v>18.795128204527291</v>
      </c>
      <c r="AN12" s="6">
        <f>79985/(802395-459293)*100</f>
        <v>23.312309458994701</v>
      </c>
      <c r="AO12" s="6">
        <f>(67013+5915)/(560026-147628)*100</f>
        <v>17.683887894703659</v>
      </c>
      <c r="AP12" s="6"/>
      <c r="AQ12" s="6"/>
      <c r="AR12" s="6" t="s">
        <v>2</v>
      </c>
      <c r="AS12" s="6">
        <f>STDEV(AI8:AM8)</f>
        <v>2.6507095196847383</v>
      </c>
      <c r="AT12" s="6">
        <f>STDEV(AI10:AM10)</f>
        <v>9.5227985935471864</v>
      </c>
      <c r="AU12" s="6">
        <f>STDEV(AI12:AO12)</f>
        <v>6.383336437518893</v>
      </c>
      <c r="AV12" s="7"/>
    </row>
    <row r="13" spans="3:48">
      <c r="C13" s="5"/>
      <c r="D13" s="6"/>
      <c r="E13" s="6"/>
      <c r="F13" s="6"/>
      <c r="G13" s="6"/>
      <c r="H13" s="6"/>
      <c r="I13" s="7"/>
      <c r="L13" s="5"/>
      <c r="M13" s="6"/>
      <c r="N13" s="6"/>
      <c r="O13" s="6"/>
      <c r="P13" s="6"/>
      <c r="Q13" s="6"/>
      <c r="R13" s="6"/>
      <c r="S13" s="7"/>
      <c r="U13" s="5"/>
      <c r="V13" s="6"/>
      <c r="W13" s="6"/>
      <c r="X13" s="6"/>
      <c r="Y13" s="6"/>
      <c r="Z13" s="6"/>
      <c r="AA13" s="6"/>
      <c r="AB13" s="7"/>
      <c r="AG13" s="5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 t="s">
        <v>3</v>
      </c>
      <c r="AS13" s="6">
        <f>STDEV(AI16:AM16)</f>
        <v>7.0826390132999038</v>
      </c>
      <c r="AT13" s="6">
        <f>STDEV(AI18:AM18)</f>
        <v>3.5334828271449603</v>
      </c>
      <c r="AU13" s="6">
        <f>STDEV(AI20:AP20)</f>
        <v>4.9457919687921272</v>
      </c>
      <c r="AV13" s="7"/>
    </row>
    <row r="14" spans="3:48">
      <c r="C14" s="5"/>
      <c r="D14" s="6"/>
      <c r="E14" s="6"/>
      <c r="F14" s="6"/>
      <c r="G14" s="6"/>
      <c r="H14" s="6"/>
      <c r="I14" s="7"/>
      <c r="L14" s="5"/>
      <c r="M14" s="6"/>
      <c r="N14" s="6"/>
      <c r="O14" s="6"/>
      <c r="P14" s="6"/>
      <c r="Q14" s="6"/>
      <c r="R14" s="6"/>
      <c r="S14" s="7"/>
      <c r="U14" s="5"/>
      <c r="V14" s="6"/>
      <c r="W14" s="6"/>
      <c r="X14" s="6"/>
      <c r="Y14" s="6"/>
      <c r="Z14" s="6"/>
      <c r="AA14" s="6"/>
      <c r="AB14" s="7"/>
      <c r="AG14" s="5"/>
      <c r="AH14" s="6" t="s">
        <v>3</v>
      </c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7"/>
    </row>
    <row r="15" spans="3:48">
      <c r="C15" s="5"/>
      <c r="D15" s="6"/>
      <c r="E15" s="6"/>
      <c r="F15" s="6"/>
      <c r="G15" s="6"/>
      <c r="H15" s="6"/>
      <c r="I15" s="7"/>
      <c r="L15" s="5"/>
      <c r="M15" s="6"/>
      <c r="N15" s="6"/>
      <c r="O15" s="6"/>
      <c r="P15" s="6"/>
      <c r="Q15" s="6"/>
      <c r="R15" s="6"/>
      <c r="S15" s="7"/>
      <c r="U15" s="5"/>
      <c r="V15" s="6"/>
      <c r="W15" s="6"/>
      <c r="X15" s="6"/>
      <c r="Y15" s="6"/>
      <c r="Z15" s="6"/>
      <c r="AA15" s="6"/>
      <c r="AB15" s="7"/>
      <c r="AG15" s="5"/>
      <c r="AH15" s="6">
        <v>4</v>
      </c>
      <c r="AI15" s="6">
        <v>404</v>
      </c>
      <c r="AJ15" s="6">
        <v>407</v>
      </c>
      <c r="AK15" s="6">
        <v>459</v>
      </c>
      <c r="AL15" s="6">
        <v>460</v>
      </c>
      <c r="AM15" s="6"/>
      <c r="AN15" s="6"/>
      <c r="AO15" s="6"/>
      <c r="AP15" s="6"/>
      <c r="AQ15" s="6"/>
      <c r="AR15" s="6" t="s">
        <v>15</v>
      </c>
      <c r="AS15" s="6"/>
      <c r="AT15" s="6"/>
      <c r="AU15" s="6"/>
      <c r="AV15" s="7"/>
    </row>
    <row r="16" spans="3:48">
      <c r="C16" s="5"/>
      <c r="D16" s="6"/>
      <c r="E16" s="6"/>
      <c r="F16" s="6"/>
      <c r="G16" s="6"/>
      <c r="H16" s="6"/>
      <c r="I16" s="7"/>
      <c r="L16" s="5"/>
      <c r="M16" s="6"/>
      <c r="N16" s="6"/>
      <c r="O16" s="6"/>
      <c r="P16" s="6"/>
      <c r="Q16" s="6"/>
      <c r="R16" s="6"/>
      <c r="S16" s="7"/>
      <c r="U16" s="5"/>
      <c r="V16" s="9"/>
      <c r="W16" s="6"/>
      <c r="X16" s="6"/>
      <c r="Y16" s="6"/>
      <c r="Z16" s="6"/>
      <c r="AA16" s="6"/>
      <c r="AB16" s="7"/>
      <c r="AG16" s="5"/>
      <c r="AH16" s="6"/>
      <c r="AI16" s="6">
        <v>21.156140733523568</v>
      </c>
      <c r="AJ16" s="6">
        <f>(685454+14375)/(5457319-1333642)*100</f>
        <v>16.970994575957331</v>
      </c>
      <c r="AK16" s="6">
        <f>(895797+58248+47973)/(5331581-1115219)*100</f>
        <v>23.764989818236671</v>
      </c>
      <c r="AL16" s="6">
        <f>(184398+112820)/(4928342-1026817)*100</f>
        <v>7.6179955273899314</v>
      </c>
      <c r="AM16" s="6"/>
      <c r="AN16" s="6"/>
      <c r="AO16" s="6"/>
      <c r="AP16" s="6"/>
      <c r="AQ16" s="6"/>
      <c r="AR16" s="6"/>
      <c r="AS16" s="6">
        <v>4</v>
      </c>
      <c r="AT16" s="6">
        <v>14</v>
      </c>
      <c r="AU16" s="6">
        <v>35</v>
      </c>
      <c r="AV16" s="7"/>
    </row>
    <row r="17" spans="3:48">
      <c r="C17" s="5"/>
      <c r="D17" s="6"/>
      <c r="E17" s="6"/>
      <c r="F17" s="6"/>
      <c r="G17" s="6"/>
      <c r="H17" s="6"/>
      <c r="I17" s="7"/>
      <c r="L17" s="5"/>
      <c r="M17" s="9"/>
      <c r="N17" s="6"/>
      <c r="O17" s="6"/>
      <c r="P17" s="6"/>
      <c r="Q17" s="6"/>
      <c r="R17" s="6"/>
      <c r="S17" s="7"/>
      <c r="U17" s="5"/>
      <c r="V17" s="6"/>
      <c r="W17" s="6"/>
      <c r="X17" s="6"/>
      <c r="Y17" s="6"/>
      <c r="Z17" s="6"/>
      <c r="AA17" s="6"/>
      <c r="AB17" s="7"/>
      <c r="AG17" s="5"/>
      <c r="AH17" s="6">
        <v>14</v>
      </c>
      <c r="AI17" s="6">
        <v>410</v>
      </c>
      <c r="AJ17" s="6">
        <v>411</v>
      </c>
      <c r="AK17" s="6">
        <v>412</v>
      </c>
      <c r="AL17" s="6">
        <v>452</v>
      </c>
      <c r="AM17" s="6">
        <v>455</v>
      </c>
      <c r="AN17" s="6"/>
      <c r="AO17" s="6"/>
      <c r="AP17" s="6"/>
      <c r="AQ17" s="6"/>
      <c r="AR17" s="6" t="s">
        <v>2</v>
      </c>
      <c r="AS17" s="6">
        <f>AS12/SQRT(5)</f>
        <v>1.1854333349241784</v>
      </c>
      <c r="AT17" s="6">
        <f>AT12/SQRT(4)</f>
        <v>4.7613992967735932</v>
      </c>
      <c r="AU17" s="6">
        <f>AU12/SQRT(7)</f>
        <v>2.4126743926474261</v>
      </c>
      <c r="AV17" s="7"/>
    </row>
    <row r="18" spans="3:48">
      <c r="C18" s="5"/>
      <c r="D18" s="6"/>
      <c r="E18" s="6"/>
      <c r="F18" s="6"/>
      <c r="G18" s="6"/>
      <c r="H18" s="6"/>
      <c r="I18" s="7"/>
      <c r="L18" s="5"/>
      <c r="M18" s="6"/>
      <c r="N18" s="6"/>
      <c r="O18" s="6"/>
      <c r="P18" s="6"/>
      <c r="Q18" s="6"/>
      <c r="R18" s="6"/>
      <c r="S18" s="7"/>
      <c r="U18" s="5"/>
      <c r="V18" s="6"/>
      <c r="W18" s="6"/>
      <c r="X18" s="6"/>
      <c r="Y18" s="6"/>
      <c r="Z18" s="6"/>
      <c r="AA18" s="6"/>
      <c r="AB18" s="7"/>
      <c r="AG18" s="5"/>
      <c r="AH18" s="6"/>
      <c r="AI18" s="6">
        <f>(67117+18094+331279)/(5546890-1221852)*100</f>
        <v>9.6297419814577339</v>
      </c>
      <c r="AJ18" s="6">
        <f>624755/(5602986-1401946)*100</f>
        <v>14.871436596652257</v>
      </c>
      <c r="AK18" s="6">
        <f>(606050+25725+10824)/(5153397-1598407)*100</f>
        <v>18.075972084309662</v>
      </c>
      <c r="AL18" s="6">
        <f>(183684+326114)/(4855963-1457506)*100</f>
        <v>15.000866569740326</v>
      </c>
      <c r="AM18" s="6">
        <f>(348203+62319)/(5216912-1250262)*100</f>
        <v>10.349337602258833</v>
      </c>
      <c r="AN18" s="6"/>
      <c r="AO18" s="6"/>
      <c r="AP18" s="6"/>
      <c r="AQ18" s="6"/>
      <c r="AR18" s="6" t="s">
        <v>3</v>
      </c>
      <c r="AS18" s="6">
        <f>AS13/SQRT(4)</f>
        <v>3.5413195066499519</v>
      </c>
      <c r="AT18" s="6">
        <f>AT13/SQRT(5)</f>
        <v>1.5802215597648539</v>
      </c>
      <c r="AU18" s="6">
        <f>AU13/SQRT(8)</f>
        <v>1.7486015197354392</v>
      </c>
      <c r="AV18" s="7"/>
    </row>
    <row r="19" spans="3:48">
      <c r="C19" s="5"/>
      <c r="D19" s="6"/>
      <c r="E19" s="6"/>
      <c r="F19" s="6"/>
      <c r="G19" s="6"/>
      <c r="H19" s="6"/>
      <c r="I19" s="7"/>
      <c r="L19" s="5"/>
      <c r="M19" s="6"/>
      <c r="N19" s="6"/>
      <c r="O19" s="6"/>
      <c r="P19" s="6"/>
      <c r="Q19" s="6"/>
      <c r="R19" s="6"/>
      <c r="S19" s="7"/>
      <c r="U19" s="5"/>
      <c r="V19" s="6"/>
      <c r="W19" s="6"/>
      <c r="X19" s="6"/>
      <c r="Y19" s="6"/>
      <c r="Z19" s="6"/>
      <c r="AA19" s="6"/>
      <c r="AB19" s="7"/>
      <c r="AG19" s="5"/>
      <c r="AH19" s="6">
        <v>35</v>
      </c>
      <c r="AI19" s="6">
        <v>476</v>
      </c>
      <c r="AJ19" s="6">
        <v>480</v>
      </c>
      <c r="AK19" s="6">
        <v>481</v>
      </c>
      <c r="AL19" s="6">
        <v>482</v>
      </c>
      <c r="AM19" s="6">
        <v>487</v>
      </c>
      <c r="AN19" s="6">
        <v>488</v>
      </c>
      <c r="AO19" s="6">
        <v>498</v>
      </c>
      <c r="AP19" s="6">
        <v>500</v>
      </c>
      <c r="AQ19" s="6"/>
      <c r="AR19" s="6"/>
      <c r="AS19" s="6"/>
      <c r="AT19" s="6"/>
      <c r="AU19" s="6"/>
      <c r="AV19" s="7"/>
    </row>
    <row r="20" spans="3:48">
      <c r="C20" s="5"/>
      <c r="D20" s="6"/>
      <c r="E20" s="6"/>
      <c r="F20" s="6"/>
      <c r="G20" s="6"/>
      <c r="H20" s="6"/>
      <c r="I20" s="7"/>
      <c r="L20" s="5"/>
      <c r="M20" s="6"/>
      <c r="N20" s="6"/>
      <c r="O20" s="6"/>
      <c r="P20" s="6"/>
      <c r="Q20" s="6"/>
      <c r="R20" s="6"/>
      <c r="S20" s="7"/>
      <c r="U20" s="5"/>
      <c r="V20" s="6"/>
      <c r="W20" s="6"/>
      <c r="X20" s="6"/>
      <c r="Y20" s="6"/>
      <c r="Z20" s="6"/>
      <c r="AA20" s="6"/>
      <c r="AB20" s="7"/>
      <c r="AG20" s="5"/>
      <c r="AH20" s="6"/>
      <c r="AI20" s="6">
        <f>(166492+56663)/(4803325-1441166)*100</f>
        <v>6.637253026998426</v>
      </c>
      <c r="AJ20" s="6">
        <f>70725/(626375-178536)*100</f>
        <v>15.792505788910747</v>
      </c>
      <c r="AK20" s="6">
        <f>52839/(525528-141893)*100</f>
        <v>13.773248009175386</v>
      </c>
      <c r="AL20" s="6">
        <f>55294/(620780-210845)*100</f>
        <v>13.488479880956735</v>
      </c>
      <c r="AM20" s="6">
        <f>15280/(608721-176044)*100</f>
        <v>3.5315027144960327</v>
      </c>
      <c r="AN20" s="6">
        <f>(12351+2888)/(504065-112960)*100</f>
        <v>3.8963961084619219</v>
      </c>
      <c r="AO20" s="6">
        <f>(14868+2083+15340)/(522588-156805)*100</f>
        <v>8.8279116306662697</v>
      </c>
      <c r="AP20" s="6">
        <f>(32579-15837)/(542165-163867)*100</f>
        <v>4.4256115549117361</v>
      </c>
      <c r="AQ20" s="6"/>
      <c r="AR20" s="6"/>
      <c r="AS20" s="6"/>
      <c r="AT20" s="6"/>
      <c r="AU20" s="6"/>
      <c r="AV20" s="7"/>
    </row>
    <row r="21" spans="3:48" ht="15" thickBot="1">
      <c r="C21" s="10"/>
      <c r="D21" s="11"/>
      <c r="E21" s="11"/>
      <c r="F21" s="11"/>
      <c r="G21" s="11"/>
      <c r="H21" s="11"/>
      <c r="I21" s="12"/>
      <c r="L21" s="10"/>
      <c r="M21" s="11"/>
      <c r="N21" s="11"/>
      <c r="O21" s="11"/>
      <c r="P21" s="11"/>
      <c r="Q21" s="11"/>
      <c r="R21" s="11"/>
      <c r="S21" s="12"/>
      <c r="U21" s="10"/>
      <c r="V21" s="11"/>
      <c r="W21" s="11"/>
      <c r="X21" s="11"/>
      <c r="Y21" s="11"/>
      <c r="Z21" s="11"/>
      <c r="AA21" s="11"/>
      <c r="AB21" s="12"/>
      <c r="AG21" s="5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7"/>
    </row>
    <row r="22" spans="3:48">
      <c r="AG22" s="5"/>
      <c r="AH22" s="6"/>
      <c r="AI22" s="6">
        <f>TTEST(AI12:AO12,AI20:AP20,1,2)</f>
        <v>5.7964939617312899E-3</v>
      </c>
      <c r="AJ22" s="6" t="s">
        <v>14</v>
      </c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7"/>
    </row>
    <row r="23" spans="3:48" ht="15" thickBot="1">
      <c r="AG23" s="5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7"/>
    </row>
    <row r="24" spans="3:48">
      <c r="C24" s="2"/>
      <c r="D24" s="3"/>
      <c r="E24" s="3"/>
      <c r="F24" s="3" t="s">
        <v>16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4"/>
      <c r="R24" s="2"/>
      <c r="S24" s="3"/>
      <c r="T24" s="3" t="s">
        <v>16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4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7"/>
    </row>
    <row r="25" spans="3:48" ht="15">
      <c r="C25" s="8" t="s">
        <v>17</v>
      </c>
      <c r="D25" s="6" t="s">
        <v>18</v>
      </c>
      <c r="E25" s="6" t="s">
        <v>19</v>
      </c>
      <c r="F25" s="6" t="s">
        <v>20</v>
      </c>
      <c r="G25" s="6" t="s">
        <v>21</v>
      </c>
      <c r="H25" s="6" t="s">
        <v>22</v>
      </c>
      <c r="I25" s="6" t="s">
        <v>23</v>
      </c>
      <c r="J25" s="6"/>
      <c r="K25" s="6" t="s">
        <v>11</v>
      </c>
      <c r="L25" s="6"/>
      <c r="M25" s="6"/>
      <c r="N25" s="6"/>
      <c r="O25" s="6"/>
      <c r="P25" s="6"/>
      <c r="Q25" s="7"/>
      <c r="R25" s="8" t="s">
        <v>24</v>
      </c>
      <c r="S25" s="6" t="s">
        <v>18</v>
      </c>
      <c r="T25" s="6" t="s">
        <v>19</v>
      </c>
      <c r="U25" s="6" t="s">
        <v>20</v>
      </c>
      <c r="V25" s="6" t="s">
        <v>21</v>
      </c>
      <c r="W25" s="6" t="s">
        <v>22</v>
      </c>
      <c r="X25" s="6" t="s">
        <v>23</v>
      </c>
      <c r="Y25" s="6"/>
      <c r="Z25" s="6" t="s">
        <v>11</v>
      </c>
      <c r="AA25" s="6"/>
      <c r="AB25" s="6"/>
      <c r="AC25" s="6"/>
      <c r="AD25" s="6"/>
      <c r="AE25" s="6"/>
      <c r="AF25" s="7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7"/>
    </row>
    <row r="26" spans="3:48">
      <c r="C26" s="5"/>
      <c r="D26" s="6">
        <v>490</v>
      </c>
      <c r="E26" s="6"/>
      <c r="F26" s="6">
        <v>54.317618750000001</v>
      </c>
      <c r="G26" s="6">
        <v>59.026466249999999</v>
      </c>
      <c r="H26" s="6">
        <v>45.928918666666668</v>
      </c>
      <c r="I26" s="6">
        <v>52.65933725</v>
      </c>
      <c r="J26" s="6"/>
      <c r="K26" s="6"/>
      <c r="L26" s="6">
        <v>0</v>
      </c>
      <c r="M26" s="6">
        <v>7</v>
      </c>
      <c r="N26" s="6">
        <v>21</v>
      </c>
      <c r="O26" s="6">
        <v>28</v>
      </c>
      <c r="P26" s="6">
        <v>35</v>
      </c>
      <c r="Q26" s="7"/>
      <c r="R26" s="5"/>
      <c r="S26" s="6">
        <v>490</v>
      </c>
      <c r="T26" s="6"/>
      <c r="U26" s="6">
        <v>19.479251250000001</v>
      </c>
      <c r="V26" s="6">
        <v>17.764387250000002</v>
      </c>
      <c r="W26" s="6">
        <v>16.370894000000003</v>
      </c>
      <c r="X26" s="6">
        <v>22.581200249999998</v>
      </c>
      <c r="Y26" s="6"/>
      <c r="Z26" s="6"/>
      <c r="AA26" s="6">
        <v>0</v>
      </c>
      <c r="AB26" s="6">
        <v>7</v>
      </c>
      <c r="AC26" s="6">
        <v>21</v>
      </c>
      <c r="AD26" s="6">
        <v>28</v>
      </c>
      <c r="AE26" s="6">
        <v>35</v>
      </c>
      <c r="AF26" s="7"/>
      <c r="AG26" s="6"/>
      <c r="AH26" s="6"/>
      <c r="AI26" s="6"/>
      <c r="AJ26" s="6"/>
      <c r="AK26" s="6"/>
      <c r="AL26" s="6"/>
      <c r="AM26" s="6"/>
      <c r="AN26" s="6"/>
      <c r="AO26" s="9"/>
      <c r="AP26" s="6"/>
      <c r="AQ26" s="6"/>
      <c r="AR26" s="6"/>
      <c r="AS26" s="6"/>
      <c r="AT26" s="6"/>
      <c r="AU26" s="6"/>
      <c r="AV26" s="7"/>
    </row>
    <row r="27" spans="3:48">
      <c r="C27" s="5"/>
      <c r="D27" s="6">
        <v>491</v>
      </c>
      <c r="E27" s="6">
        <v>59.681032000000002</v>
      </c>
      <c r="F27" s="6">
        <v>56.612391333333335</v>
      </c>
      <c r="G27" s="6">
        <v>56.766748000000007</v>
      </c>
      <c r="H27" s="6">
        <v>51.050342333333333</v>
      </c>
      <c r="I27" s="6">
        <v>55.940854000000002</v>
      </c>
      <c r="J27" s="6"/>
      <c r="K27" s="6" t="s">
        <v>18</v>
      </c>
      <c r="L27" s="6">
        <f>AVERAGE(E26:E48)</f>
        <v>62.407335416666662</v>
      </c>
      <c r="M27" s="6">
        <f>AVERAGE(F26:F30)</f>
        <v>55.334371950000005</v>
      </c>
      <c r="N27" s="6">
        <f t="shared" ref="N27:P27" si="0">AVERAGE(G26:G30)</f>
        <v>55.280919050000001</v>
      </c>
      <c r="O27" s="6">
        <f t="shared" si="0"/>
        <v>56.659319366666672</v>
      </c>
      <c r="P27" s="6">
        <f t="shared" si="0"/>
        <v>57.252984316666662</v>
      </c>
      <c r="Q27" s="7"/>
      <c r="R27" s="5"/>
      <c r="S27" s="6">
        <v>491</v>
      </c>
      <c r="T27" s="6">
        <v>13.483052999999998</v>
      </c>
      <c r="U27" s="6">
        <v>13.454945333333333</v>
      </c>
      <c r="V27" s="6">
        <v>14.2792358</v>
      </c>
      <c r="W27" s="6">
        <v>19.245194333333334</v>
      </c>
      <c r="X27" s="6">
        <v>14.761085</v>
      </c>
      <c r="Y27" s="6"/>
      <c r="Z27" s="6" t="s">
        <v>18</v>
      </c>
      <c r="AA27" s="6">
        <f>AVERAGE(T26:T48)</f>
        <v>17.043192407142854</v>
      </c>
      <c r="AB27" s="6">
        <f>AVERAGE(U26:U30)</f>
        <v>18.132687249999996</v>
      </c>
      <c r="AC27" s="6">
        <f t="shared" ref="AC27:AE27" si="1">AVERAGE(V26:V30)</f>
        <v>16.831044770000002</v>
      </c>
      <c r="AD27" s="6">
        <f t="shared" si="1"/>
        <v>19.42219815</v>
      </c>
      <c r="AE27" s="6">
        <f t="shared" si="1"/>
        <v>18.722750683333331</v>
      </c>
      <c r="AF27" s="7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7"/>
    </row>
    <row r="28" spans="3:48">
      <c r="C28" s="5"/>
      <c r="D28" s="6">
        <v>492</v>
      </c>
      <c r="E28" s="6">
        <v>66.671271000000004</v>
      </c>
      <c r="F28" s="6">
        <v>53.362861666666667</v>
      </c>
      <c r="G28" s="6">
        <v>53.808736249999995</v>
      </c>
      <c r="H28" s="6">
        <v>60.541831333333334</v>
      </c>
      <c r="I28" s="6">
        <v>58.046413000000001</v>
      </c>
      <c r="J28" s="6"/>
      <c r="K28" s="6" t="s">
        <v>2</v>
      </c>
      <c r="L28" s="6">
        <v>62.407335416666662</v>
      </c>
      <c r="M28" s="6">
        <f>AVERAGE(F33:F38)</f>
        <v>50.226006341666668</v>
      </c>
      <c r="N28" s="6">
        <f t="shared" ref="N28:P28" si="2">AVERAGE(G33:G38)</f>
        <v>41.39459893888889</v>
      </c>
      <c r="O28" s="6">
        <f>AVERAGE(H33:H38)</f>
        <v>40.535677680555558</v>
      </c>
      <c r="P28" s="6">
        <f t="shared" si="2"/>
        <v>41.86723277777778</v>
      </c>
      <c r="Q28" s="7"/>
      <c r="R28" s="5"/>
      <c r="S28" s="6">
        <v>492</v>
      </c>
      <c r="T28" s="6">
        <v>14.48072775</v>
      </c>
      <c r="U28" s="6">
        <v>16.959300333333335</v>
      </c>
      <c r="V28" s="6">
        <v>21.219009249999999</v>
      </c>
      <c r="W28" s="6">
        <v>18.980908666666668</v>
      </c>
      <c r="X28" s="6">
        <v>20.012333000000002</v>
      </c>
      <c r="Y28" s="6"/>
      <c r="Z28" s="6" t="s">
        <v>2</v>
      </c>
      <c r="AA28" s="6">
        <v>17.043192407142854</v>
      </c>
      <c r="AB28" s="6">
        <f>AVERAGE(U33:U38)</f>
        <v>13.064751100000001</v>
      </c>
      <c r="AC28" s="6">
        <f t="shared" ref="AC28" si="3">AVERAGE(V33:V38)</f>
        <v>13.758415219444444</v>
      </c>
      <c r="AD28" s="6">
        <f>AVERAGE(W33:W38)</f>
        <v>10.961320402777778</v>
      </c>
      <c r="AE28" s="6">
        <f t="shared" ref="AE28" si="4">AVERAGE(X33:X38)</f>
        <v>11.399797944444446</v>
      </c>
      <c r="AF28" s="7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7"/>
    </row>
    <row r="29" spans="3:48">
      <c r="C29" s="5"/>
      <c r="D29" s="6">
        <v>494</v>
      </c>
      <c r="E29" s="6">
        <v>59.4508388333333</v>
      </c>
      <c r="F29" s="6">
        <v>57.894722000000002</v>
      </c>
      <c r="G29" s="6">
        <v>61.157015000000001</v>
      </c>
      <c r="H29" s="6">
        <v>66.245485000000002</v>
      </c>
      <c r="I29" s="6">
        <v>64.059556999999998</v>
      </c>
      <c r="J29" s="6"/>
      <c r="K29" s="6" t="s">
        <v>3</v>
      </c>
      <c r="L29" s="6">
        <v>62.407335416666662</v>
      </c>
      <c r="M29" s="6">
        <f>AVERAGE(F41:F48)</f>
        <v>51.695371812499999</v>
      </c>
      <c r="N29" s="6">
        <f t="shared" ref="N29:P29" si="5">AVERAGE(G41:G48)</f>
        <v>46.631965445833337</v>
      </c>
      <c r="O29" s="6">
        <f t="shared" si="5"/>
        <v>53.808528770833334</v>
      </c>
      <c r="P29" s="6">
        <f t="shared" si="5"/>
        <v>54.988884710416663</v>
      </c>
      <c r="Q29" s="7"/>
      <c r="R29" s="5"/>
      <c r="S29" s="6">
        <v>494</v>
      </c>
      <c r="T29" s="6"/>
      <c r="U29" s="6">
        <v>19.404011666666666</v>
      </c>
      <c r="V29" s="6">
        <v>19.629157800000002</v>
      </c>
      <c r="W29" s="6">
        <v>23.733035000000001</v>
      </c>
      <c r="X29" s="6">
        <v>13.793224500000001</v>
      </c>
      <c r="Y29" s="6"/>
      <c r="Z29" s="6" t="s">
        <v>3</v>
      </c>
      <c r="AA29" s="6">
        <v>17.043192407142854</v>
      </c>
      <c r="AB29" s="6">
        <f>AVERAGE(U41:U48)</f>
        <v>15.262300437499999</v>
      </c>
      <c r="AC29" s="6">
        <f t="shared" ref="AC29:AE29" si="6">AVERAGE(V41:V48)</f>
        <v>11.797675968750003</v>
      </c>
      <c r="AD29" s="6">
        <f t="shared" si="6"/>
        <v>17.37354945625</v>
      </c>
      <c r="AE29" s="6">
        <f t="shared" si="6"/>
        <v>17.229801575</v>
      </c>
      <c r="AF29" s="7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7"/>
    </row>
    <row r="30" spans="3:48">
      <c r="C30" s="5"/>
      <c r="D30" s="6">
        <v>495</v>
      </c>
      <c r="E30" s="6"/>
      <c r="F30" s="6">
        <v>54.484265999999998</v>
      </c>
      <c r="G30" s="6">
        <v>45.645629749999998</v>
      </c>
      <c r="H30" s="6">
        <v>59.530019500000002</v>
      </c>
      <c r="I30" s="6">
        <v>55.558760333333332</v>
      </c>
      <c r="J30" s="6"/>
      <c r="K30" s="6"/>
      <c r="L30" s="6"/>
      <c r="M30" s="6"/>
      <c r="N30" s="6"/>
      <c r="O30" s="6"/>
      <c r="P30" s="6"/>
      <c r="Q30" s="7"/>
      <c r="R30" s="5"/>
      <c r="S30" s="6">
        <v>495</v>
      </c>
      <c r="T30" s="6"/>
      <c r="U30" s="6">
        <v>21.365927666666668</v>
      </c>
      <c r="V30" s="6">
        <v>11.263433749999999</v>
      </c>
      <c r="W30" s="6">
        <v>18.78095875</v>
      </c>
      <c r="X30" s="6">
        <v>22.465910666666662</v>
      </c>
      <c r="Y30" s="6"/>
      <c r="Z30" s="6"/>
      <c r="AA30" s="6"/>
      <c r="AB30" s="6"/>
      <c r="AC30" s="6"/>
      <c r="AD30" s="6"/>
      <c r="AE30" s="6"/>
      <c r="AF30" s="7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7"/>
    </row>
    <row r="31" spans="3:48" ht="15" thickBot="1">
      <c r="C31" s="5"/>
      <c r="D31" s="6"/>
      <c r="E31" s="6"/>
      <c r="F31" s="6"/>
      <c r="G31" s="6"/>
      <c r="H31" s="6"/>
      <c r="I31" s="6"/>
      <c r="J31" s="6"/>
      <c r="K31" s="6" t="s">
        <v>12</v>
      </c>
      <c r="L31" s="6"/>
      <c r="M31" s="6"/>
      <c r="N31" s="6"/>
      <c r="O31" s="6"/>
      <c r="P31" s="6"/>
      <c r="Q31" s="7"/>
      <c r="R31" s="5"/>
      <c r="S31" s="6"/>
      <c r="T31" s="6"/>
      <c r="U31" s="6"/>
      <c r="V31" s="6"/>
      <c r="W31" s="6"/>
      <c r="X31" s="6"/>
      <c r="Y31" s="6"/>
      <c r="Z31" s="6" t="s">
        <v>12</v>
      </c>
      <c r="AA31" s="6"/>
      <c r="AB31" s="6"/>
      <c r="AC31" s="6"/>
      <c r="AD31" s="6"/>
      <c r="AE31" s="6"/>
      <c r="AF31" s="7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2"/>
    </row>
    <row r="32" spans="3:48">
      <c r="C32" s="5"/>
      <c r="D32" s="6" t="s">
        <v>2</v>
      </c>
      <c r="E32" s="6"/>
      <c r="F32" s="6"/>
      <c r="G32" s="6"/>
      <c r="H32" s="6"/>
      <c r="I32" s="6"/>
      <c r="J32" s="6"/>
      <c r="K32" s="6"/>
      <c r="L32" s="6" t="s">
        <v>19</v>
      </c>
      <c r="M32" s="6" t="s">
        <v>20</v>
      </c>
      <c r="N32" s="6" t="s">
        <v>21</v>
      </c>
      <c r="O32" s="6" t="s">
        <v>22</v>
      </c>
      <c r="P32" s="6" t="s">
        <v>23</v>
      </c>
      <c r="Q32" s="7"/>
      <c r="R32" s="5"/>
      <c r="S32" s="6" t="s">
        <v>2</v>
      </c>
      <c r="T32" s="6"/>
      <c r="U32" s="6"/>
      <c r="V32" s="6"/>
      <c r="W32" s="6"/>
      <c r="X32" s="6"/>
      <c r="Y32" s="6"/>
      <c r="Z32" s="6"/>
      <c r="AA32" s="6" t="s">
        <v>19</v>
      </c>
      <c r="AB32" s="6" t="s">
        <v>20</v>
      </c>
      <c r="AC32" s="6" t="s">
        <v>21</v>
      </c>
      <c r="AD32" s="6" t="s">
        <v>22</v>
      </c>
      <c r="AE32" s="6" t="s">
        <v>23</v>
      </c>
      <c r="AF32" s="7"/>
    </row>
    <row r="33" spans="3:43" ht="15" thickBot="1">
      <c r="C33" s="5"/>
      <c r="D33" s="6">
        <v>478</v>
      </c>
      <c r="E33" s="6">
        <v>61.655744666666671</v>
      </c>
      <c r="F33" s="6">
        <v>53.380221800000001</v>
      </c>
      <c r="G33" s="6">
        <v>47.357589249999997</v>
      </c>
      <c r="H33" s="6">
        <v>42.932368500000003</v>
      </c>
      <c r="I33" s="6">
        <v>43.382265000000004</v>
      </c>
      <c r="J33" s="6"/>
      <c r="K33" s="6" t="s">
        <v>18</v>
      </c>
      <c r="L33" s="6">
        <f>STDEV(E26:E48)</f>
        <v>3.3806806326371492</v>
      </c>
      <c r="M33" s="6">
        <f>STDEV(F26:F30)</f>
        <v>1.8595729291920053</v>
      </c>
      <c r="N33" s="6">
        <f t="shared" ref="N33:P33" si="7">STDEV(G26:G30)</f>
        <v>6.0367921365779935</v>
      </c>
      <c r="O33" s="6">
        <f t="shared" si="7"/>
        <v>8.0902953054810158</v>
      </c>
      <c r="P33" s="6">
        <f t="shared" si="7"/>
        <v>4.2618257535870407</v>
      </c>
      <c r="Q33" s="7"/>
      <c r="R33" s="5"/>
      <c r="S33" s="6">
        <v>478</v>
      </c>
      <c r="T33" s="6">
        <v>23.955850666666663</v>
      </c>
      <c r="U33" s="6">
        <v>16.201471599999998</v>
      </c>
      <c r="V33" s="6">
        <v>16.311760249999999</v>
      </c>
      <c r="W33" s="6">
        <v>8.4631177500000003</v>
      </c>
      <c r="X33" s="6">
        <v>13.7577955</v>
      </c>
      <c r="Y33" s="6"/>
      <c r="Z33" s="6" t="s">
        <v>18</v>
      </c>
      <c r="AA33" s="6">
        <f>STDEV(T26:T48)</f>
        <v>3.6004776460995127</v>
      </c>
      <c r="AB33" s="6">
        <f>STDEV(U26:U30)</f>
        <v>3.0471892895593538</v>
      </c>
      <c r="AC33" s="6">
        <f t="shared" ref="AC33:AE33" si="8">STDEV(V26:V30)</f>
        <v>4.0455166073311091</v>
      </c>
      <c r="AD33" s="6">
        <f t="shared" si="8"/>
        <v>2.6707220976008061</v>
      </c>
      <c r="AE33" s="6">
        <f t="shared" si="8"/>
        <v>4.1999085004755621</v>
      </c>
      <c r="AF33" s="7"/>
    </row>
    <row r="34" spans="3:43">
      <c r="C34" s="5"/>
      <c r="D34" s="6" t="s">
        <v>25</v>
      </c>
      <c r="E34" s="6">
        <v>64.674359999999993</v>
      </c>
      <c r="F34" s="6">
        <v>47.924423500000003</v>
      </c>
      <c r="G34" s="6">
        <v>23.134328750000002</v>
      </c>
      <c r="H34" s="6">
        <v>20.957428666666669</v>
      </c>
      <c r="I34" s="6">
        <v>27.389274</v>
      </c>
      <c r="J34" s="6"/>
      <c r="K34" s="6" t="s">
        <v>2</v>
      </c>
      <c r="L34" s="6">
        <v>3.3806806326371492</v>
      </c>
      <c r="M34" s="6">
        <f>STDEV(F33:F38)</f>
        <v>5.3447399790938102</v>
      </c>
      <c r="N34" s="6">
        <f t="shared" ref="N34:P34" si="9">STDEV(G33:G38)</f>
        <v>9.7322253091494098</v>
      </c>
      <c r="O34" s="6">
        <f t="shared" si="9"/>
        <v>10.195891540088043</v>
      </c>
      <c r="P34" s="6">
        <f t="shared" si="9"/>
        <v>7.46649875901063</v>
      </c>
      <c r="Q34" s="7"/>
      <c r="R34" s="5"/>
      <c r="S34" s="6" t="s">
        <v>25</v>
      </c>
      <c r="T34" s="6">
        <v>16.863621666666663</v>
      </c>
      <c r="U34" s="6">
        <v>5.8172600000000001</v>
      </c>
      <c r="V34" s="6">
        <v>6.701111</v>
      </c>
      <c r="W34" s="6">
        <v>4.8553560000000004</v>
      </c>
      <c r="X34" s="6">
        <v>12.023721999999999</v>
      </c>
      <c r="Y34" s="6"/>
      <c r="Z34" s="6" t="s">
        <v>2</v>
      </c>
      <c r="AA34" s="6">
        <v>3.6004776460995127</v>
      </c>
      <c r="AB34" s="6">
        <f>STDEV(U33:U38)</f>
        <v>4.0330110266930905</v>
      </c>
      <c r="AC34" s="6">
        <f t="shared" ref="AC34:AE34" si="10">STDEV(V33:V38)</f>
        <v>4.1832848271971166</v>
      </c>
      <c r="AD34" s="6">
        <f t="shared" si="10"/>
        <v>4.5312133053655863</v>
      </c>
      <c r="AE34" s="6">
        <f t="shared" si="10"/>
        <v>5.4247464540436878</v>
      </c>
      <c r="AF34" s="6"/>
      <c r="AG34" s="2"/>
      <c r="AH34" s="3"/>
      <c r="AI34" s="3"/>
      <c r="AJ34" s="3"/>
      <c r="AK34" s="3"/>
      <c r="AL34" s="3"/>
      <c r="AM34" s="3"/>
      <c r="AN34" s="3"/>
      <c r="AO34" s="3"/>
      <c r="AP34" s="3"/>
      <c r="AQ34" s="4"/>
    </row>
    <row r="35" spans="3:43" ht="15">
      <c r="C35" s="5"/>
      <c r="D35" s="6">
        <v>485</v>
      </c>
      <c r="E35" s="6"/>
      <c r="F35" s="6">
        <v>56.547447750000003</v>
      </c>
      <c r="G35" s="6">
        <v>44.842474250000002</v>
      </c>
      <c r="H35" s="6">
        <v>44.334119666666673</v>
      </c>
      <c r="I35" s="6">
        <v>43.979543999999997</v>
      </c>
      <c r="J35" s="6"/>
      <c r="K35" s="6" t="s">
        <v>3</v>
      </c>
      <c r="L35" s="6">
        <v>3.3806806326371492</v>
      </c>
      <c r="M35" s="6">
        <f>STDEV(F41:F48)</f>
        <v>11.220967803044442</v>
      </c>
      <c r="N35" s="6">
        <f t="shared" ref="N35:P35" si="11">STDEV(G41:G48)</f>
        <v>6.6308344037581106</v>
      </c>
      <c r="O35" s="6">
        <f t="shared" si="11"/>
        <v>8.6163158086679257</v>
      </c>
      <c r="P35" s="6">
        <f t="shared" si="11"/>
        <v>6.3359267475451659</v>
      </c>
      <c r="Q35" s="7"/>
      <c r="R35" s="5"/>
      <c r="S35" s="6">
        <v>485</v>
      </c>
      <c r="T35" s="6"/>
      <c r="U35" s="6">
        <v>15.553310249999999</v>
      </c>
      <c r="V35" s="6">
        <v>15.67911775</v>
      </c>
      <c r="W35" s="6">
        <v>11.010316666666668</v>
      </c>
      <c r="X35" s="6">
        <v>3.3003079999999998</v>
      </c>
      <c r="Y35" s="6"/>
      <c r="Z35" s="6" t="s">
        <v>3</v>
      </c>
      <c r="AA35" s="6">
        <v>3.6004776460995127</v>
      </c>
      <c r="AB35" s="6">
        <f>STDEV(U41:U48)</f>
        <v>3.9434682915585753</v>
      </c>
      <c r="AC35" s="6">
        <f t="shared" ref="AC35:AE35" si="12">STDEV(V41:V48)</f>
        <v>4.3279970693658525</v>
      </c>
      <c r="AD35" s="6">
        <f t="shared" si="12"/>
        <v>3.0573310585448183</v>
      </c>
      <c r="AE35" s="6">
        <f t="shared" si="12"/>
        <v>3.108755941725863</v>
      </c>
      <c r="AF35" s="6"/>
      <c r="AG35" s="8" t="s">
        <v>26</v>
      </c>
      <c r="AH35" s="6"/>
      <c r="AI35" s="6" t="s">
        <v>27</v>
      </c>
      <c r="AJ35" s="6"/>
      <c r="AK35" s="6"/>
      <c r="AL35" s="6"/>
      <c r="AM35" s="6"/>
      <c r="AN35" s="6" t="s">
        <v>28</v>
      </c>
      <c r="AO35" s="6"/>
      <c r="AP35" s="6"/>
      <c r="AQ35" s="7"/>
    </row>
    <row r="36" spans="3:43">
      <c r="C36" s="5"/>
      <c r="D36" s="6" t="s">
        <v>29</v>
      </c>
      <c r="E36" s="6"/>
      <c r="F36" s="6">
        <v>53.56351875</v>
      </c>
      <c r="G36" s="6">
        <v>50.477764800000003</v>
      </c>
      <c r="H36" s="6">
        <v>48.2657235</v>
      </c>
      <c r="I36" s="6">
        <v>45.311211999999998</v>
      </c>
      <c r="J36" s="6"/>
      <c r="K36" s="6"/>
      <c r="L36" s="6"/>
      <c r="M36" s="6"/>
      <c r="N36" s="6"/>
      <c r="O36" s="6"/>
      <c r="P36" s="6"/>
      <c r="Q36" s="7"/>
      <c r="R36" s="5"/>
      <c r="S36" s="6" t="s">
        <v>29</v>
      </c>
      <c r="T36" s="6"/>
      <c r="U36" s="6">
        <v>16.416058750000001</v>
      </c>
      <c r="V36" s="6">
        <v>18.7227234</v>
      </c>
      <c r="W36" s="6">
        <v>17.832999000000001</v>
      </c>
      <c r="X36" s="6">
        <v>17.9867235</v>
      </c>
      <c r="Y36" s="6"/>
      <c r="Z36" s="6"/>
      <c r="AA36" s="6"/>
      <c r="AB36" s="6"/>
      <c r="AC36" s="6"/>
      <c r="AD36" s="6"/>
      <c r="AE36" s="6"/>
      <c r="AF36" s="6"/>
      <c r="AG36" s="5"/>
      <c r="AH36" s="6" t="s">
        <v>18</v>
      </c>
      <c r="AI36" s="6" t="s">
        <v>3</v>
      </c>
      <c r="AJ36" s="6" t="s">
        <v>2</v>
      </c>
      <c r="AK36" s="6"/>
      <c r="AL36" s="6"/>
      <c r="AM36" s="6" t="s">
        <v>18</v>
      </c>
      <c r="AN36" s="6" t="s">
        <v>3</v>
      </c>
      <c r="AO36" s="6" t="s">
        <v>2</v>
      </c>
      <c r="AP36" s="6"/>
      <c r="AQ36" s="7"/>
    </row>
    <row r="37" spans="3:43">
      <c r="C37" s="5"/>
      <c r="D37" s="6">
        <v>489</v>
      </c>
      <c r="E37" s="6"/>
      <c r="F37" s="6">
        <v>41.711491500000001</v>
      </c>
      <c r="G37" s="6">
        <v>39.02302783333333</v>
      </c>
      <c r="H37" s="6">
        <v>38.8583985</v>
      </c>
      <c r="I37" s="6">
        <v>42.173167666666671</v>
      </c>
      <c r="J37" s="6"/>
      <c r="K37" s="6" t="s">
        <v>15</v>
      </c>
      <c r="L37" s="6"/>
      <c r="M37" s="6"/>
      <c r="N37" s="6"/>
      <c r="O37" s="6"/>
      <c r="P37" s="6"/>
      <c r="Q37" s="7"/>
      <c r="R37" s="5"/>
      <c r="S37" s="6">
        <v>489</v>
      </c>
      <c r="T37" s="6"/>
      <c r="U37" s="6">
        <v>12.344547250000002</v>
      </c>
      <c r="V37" s="6">
        <v>12.623066166666666</v>
      </c>
      <c r="W37" s="6">
        <v>14.093941000000001</v>
      </c>
      <c r="X37" s="6">
        <v>6.7204326666666665</v>
      </c>
      <c r="Y37" s="6"/>
      <c r="Z37" s="6" t="s">
        <v>15</v>
      </c>
      <c r="AA37" s="6"/>
      <c r="AB37" s="6"/>
      <c r="AC37" s="6"/>
      <c r="AD37" s="6"/>
      <c r="AE37" s="6"/>
      <c r="AF37" s="6"/>
      <c r="AG37" s="5"/>
      <c r="AH37" s="6">
        <v>1.0900000000000001</v>
      </c>
      <c r="AI37" s="6">
        <v>1.1399999999999999</v>
      </c>
      <c r="AJ37" s="6">
        <v>1.02</v>
      </c>
      <c r="AK37" s="6"/>
      <c r="AL37" s="6"/>
      <c r="AM37" s="6">
        <v>1.04</v>
      </c>
      <c r="AN37" s="6">
        <v>0.85</v>
      </c>
      <c r="AO37" s="6">
        <v>0.91</v>
      </c>
      <c r="AP37" s="6"/>
      <c r="AQ37" s="7"/>
    </row>
    <row r="38" spans="3:43">
      <c r="C38" s="5"/>
      <c r="D38" s="6" t="s">
        <v>30</v>
      </c>
      <c r="E38" s="6">
        <v>59.440898833333335</v>
      </c>
      <c r="F38" s="6">
        <v>48.228934749999993</v>
      </c>
      <c r="G38" s="6">
        <v>43.532408750000002</v>
      </c>
      <c r="H38" s="6">
        <v>47.866027250000002</v>
      </c>
      <c r="I38" s="6">
        <v>48.967934</v>
      </c>
      <c r="J38" s="6"/>
      <c r="K38" s="6"/>
      <c r="L38" s="6" t="s">
        <v>19</v>
      </c>
      <c r="M38" s="6" t="s">
        <v>20</v>
      </c>
      <c r="N38" s="6" t="s">
        <v>21</v>
      </c>
      <c r="O38" s="6" t="s">
        <v>22</v>
      </c>
      <c r="P38" s="6" t="s">
        <v>23</v>
      </c>
      <c r="Q38" s="7"/>
      <c r="R38" s="5"/>
      <c r="S38" s="6" t="s">
        <v>30</v>
      </c>
      <c r="T38" s="6">
        <v>14.183454166666666</v>
      </c>
      <c r="U38" s="6">
        <v>12.055858750000001</v>
      </c>
      <c r="V38" s="6">
        <v>12.512712749999999</v>
      </c>
      <c r="W38" s="6">
        <v>9.5121919999999989</v>
      </c>
      <c r="X38" s="6">
        <v>14.609806000000001</v>
      </c>
      <c r="Y38" s="6"/>
      <c r="Z38" s="6"/>
      <c r="AA38" s="6" t="s">
        <v>19</v>
      </c>
      <c r="AB38" s="6" t="s">
        <v>20</v>
      </c>
      <c r="AC38" s="6" t="s">
        <v>21</v>
      </c>
      <c r="AD38" s="6" t="s">
        <v>22</v>
      </c>
      <c r="AE38" s="6" t="s">
        <v>23</v>
      </c>
      <c r="AF38" s="6"/>
      <c r="AG38" s="5"/>
      <c r="AH38" s="6">
        <v>1.22</v>
      </c>
      <c r="AI38" s="6">
        <v>1.54</v>
      </c>
      <c r="AJ38" s="6">
        <v>0.78</v>
      </c>
      <c r="AK38" s="6"/>
      <c r="AL38" s="6"/>
      <c r="AM38" s="6">
        <v>0.93</v>
      </c>
      <c r="AN38" s="6">
        <v>0.64</v>
      </c>
      <c r="AO38" s="6">
        <v>0.65</v>
      </c>
      <c r="AP38" s="6"/>
      <c r="AQ38" s="7"/>
    </row>
    <row r="39" spans="3:43">
      <c r="C39" s="5"/>
      <c r="D39" s="6"/>
      <c r="E39" s="6"/>
      <c r="F39" s="6"/>
      <c r="G39" s="6"/>
      <c r="H39" s="6"/>
      <c r="I39" s="6"/>
      <c r="J39" s="6"/>
      <c r="K39" s="6" t="s">
        <v>18</v>
      </c>
      <c r="L39" s="6">
        <f>L33/SQRT(8)</f>
        <v>1.1952511001818777</v>
      </c>
      <c r="M39" s="6">
        <f>M33/SQRT(5)</f>
        <v>0.83162629575834535</v>
      </c>
      <c r="N39" s="6">
        <f t="shared" ref="N39:P39" si="13">N33/SQRT(5)</f>
        <v>2.6997355166849175</v>
      </c>
      <c r="O39" s="6">
        <f t="shared" si="13"/>
        <v>3.6180900522205954</v>
      </c>
      <c r="P39" s="6">
        <f t="shared" si="13"/>
        <v>1.9059464186559782</v>
      </c>
      <c r="Q39" s="7"/>
      <c r="R39" s="5"/>
      <c r="S39" s="6"/>
      <c r="T39" s="6"/>
      <c r="U39" s="6"/>
      <c r="V39" s="6"/>
      <c r="W39" s="6"/>
      <c r="X39" s="6"/>
      <c r="Y39" s="6"/>
      <c r="Z39" s="6" t="s">
        <v>18</v>
      </c>
      <c r="AA39" s="6">
        <f>AA33/SQRT(8)</f>
        <v>1.2729610795337718</v>
      </c>
      <c r="AB39" s="6">
        <f>AB33/SQRT(5)</f>
        <v>1.3627444783528009</v>
      </c>
      <c r="AC39" s="6">
        <f t="shared" ref="AC39:AE39" si="14">AC33/SQRT(5)</f>
        <v>1.8092100276193368</v>
      </c>
      <c r="AD39" s="6">
        <f t="shared" si="14"/>
        <v>1.194383231849246</v>
      </c>
      <c r="AE39" s="6">
        <f t="shared" si="14"/>
        <v>1.8782561812685128</v>
      </c>
      <c r="AF39" s="6"/>
      <c r="AG39" s="5"/>
      <c r="AH39" s="6"/>
      <c r="AI39" s="6">
        <v>1.06</v>
      </c>
      <c r="AJ39" s="6">
        <v>0.97</v>
      </c>
      <c r="AK39" s="6"/>
      <c r="AL39" s="6"/>
      <c r="AM39" s="6"/>
      <c r="AN39" s="6">
        <v>1.06</v>
      </c>
      <c r="AO39" s="6">
        <v>0.99</v>
      </c>
      <c r="AP39" s="6"/>
      <c r="AQ39" s="7"/>
    </row>
    <row r="40" spans="3:43">
      <c r="C40" s="5"/>
      <c r="D40" s="6" t="s">
        <v>3</v>
      </c>
      <c r="E40" s="6"/>
      <c r="F40" s="6"/>
      <c r="G40" s="6"/>
      <c r="H40" s="6"/>
      <c r="I40" s="6"/>
      <c r="J40" s="6"/>
      <c r="K40" s="6" t="s">
        <v>2</v>
      </c>
      <c r="L40" s="6">
        <f t="shared" ref="L40:L41" si="15">L34/SQRT(8)</f>
        <v>1.1952511001818777</v>
      </c>
      <c r="M40" s="6">
        <f>M34/SQRT(6)</f>
        <v>2.1819809594389112</v>
      </c>
      <c r="N40" s="6">
        <f t="shared" ref="N40:P40" si="16">N34/SQRT(6)</f>
        <v>3.9731643448693874</v>
      </c>
      <c r="O40" s="6">
        <f t="shared" si="16"/>
        <v>4.1624552909959078</v>
      </c>
      <c r="P40" s="6">
        <f t="shared" si="16"/>
        <v>3.0481853541166446</v>
      </c>
      <c r="Q40" s="7"/>
      <c r="R40" s="5"/>
      <c r="S40" s="6" t="s">
        <v>3</v>
      </c>
      <c r="T40" s="6"/>
      <c r="U40" s="6"/>
      <c r="V40" s="6"/>
      <c r="W40" s="6"/>
      <c r="X40" s="6"/>
      <c r="Y40" s="6"/>
      <c r="Z40" s="6" t="s">
        <v>2</v>
      </c>
      <c r="AA40" s="6">
        <f t="shared" ref="AA40:AA41" si="17">AA34/SQRT(8)</f>
        <v>1.2729610795337718</v>
      </c>
      <c r="AB40" s="6">
        <f>AB34/SQRT(6)</f>
        <v>1.6464698570693634</v>
      </c>
      <c r="AC40" s="6">
        <f t="shared" ref="AC40:AE40" si="18">AC34/SQRT(6)</f>
        <v>1.7078188792266396</v>
      </c>
      <c r="AD40" s="6">
        <f t="shared" si="18"/>
        <v>1.8498600856426108</v>
      </c>
      <c r="AE40" s="6">
        <f t="shared" si="18"/>
        <v>2.2146434660632388</v>
      </c>
      <c r="AF40" s="6"/>
      <c r="AG40" s="5"/>
      <c r="AH40" s="6"/>
      <c r="AI40" s="6">
        <v>1.1499999999999999</v>
      </c>
      <c r="AJ40" s="6">
        <v>1.2650000000000001</v>
      </c>
      <c r="AK40" s="6"/>
      <c r="AL40" s="6"/>
      <c r="AM40" s="6"/>
      <c r="AN40" s="6">
        <v>0.8</v>
      </c>
      <c r="AO40" s="6">
        <v>0.89</v>
      </c>
      <c r="AP40" s="6"/>
      <c r="AQ40" s="7"/>
    </row>
    <row r="41" spans="3:43">
      <c r="C41" s="5"/>
      <c r="D41" s="6" t="s">
        <v>31</v>
      </c>
      <c r="E41" s="6"/>
      <c r="F41" s="6">
        <v>56.849943500000002</v>
      </c>
      <c r="G41" s="6">
        <v>49.102384399999998</v>
      </c>
      <c r="H41" s="6">
        <v>58.147262333333337</v>
      </c>
      <c r="I41" s="6">
        <v>42.423666600000004</v>
      </c>
      <c r="J41" s="6"/>
      <c r="K41" s="6" t="s">
        <v>3</v>
      </c>
      <c r="L41" s="6">
        <f t="shared" si="15"/>
        <v>1.1952511001818777</v>
      </c>
      <c r="M41" s="6">
        <f>M35/SQRT(8)</f>
        <v>3.9672112125043202</v>
      </c>
      <c r="N41" s="6">
        <f t="shared" ref="N41:P41" si="19">N35/SQRT(8)</f>
        <v>2.3443539859112086</v>
      </c>
      <c r="O41" s="6">
        <f t="shared" si="19"/>
        <v>3.0463276685769705</v>
      </c>
      <c r="P41" s="6">
        <f t="shared" si="19"/>
        <v>2.2400883841452064</v>
      </c>
      <c r="Q41" s="7"/>
      <c r="R41" s="5"/>
      <c r="S41" s="6" t="s">
        <v>31</v>
      </c>
      <c r="T41" s="6"/>
      <c r="U41" s="6">
        <v>18.161386749999998</v>
      </c>
      <c r="V41" s="6">
        <v>9.8291760000000004</v>
      </c>
      <c r="W41" s="6">
        <v>20.685016000000001</v>
      </c>
      <c r="X41" s="6">
        <v>14.019546600000002</v>
      </c>
      <c r="Y41" s="6"/>
      <c r="Z41" s="6" t="s">
        <v>3</v>
      </c>
      <c r="AA41" s="6">
        <f t="shared" si="17"/>
        <v>1.2729610795337718</v>
      </c>
      <c r="AB41" s="6">
        <f>AB35/SQRT(8)</f>
        <v>1.3942265851775988</v>
      </c>
      <c r="AC41" s="6">
        <f t="shared" ref="AC41:AE41" si="20">AC35/SQRT(8)</f>
        <v>1.5301780383520494</v>
      </c>
      <c r="AD41" s="6">
        <f t="shared" si="20"/>
        <v>1.0809297619146432</v>
      </c>
      <c r="AE41" s="6">
        <f t="shared" si="20"/>
        <v>1.0991112037241646</v>
      </c>
      <c r="AF41" s="6"/>
      <c r="AG41" s="5"/>
      <c r="AH41" s="6"/>
      <c r="AI41" s="6">
        <v>1.38</v>
      </c>
      <c r="AJ41" s="6">
        <v>0.89</v>
      </c>
      <c r="AK41" s="6"/>
      <c r="AL41" s="6"/>
      <c r="AM41" s="6"/>
      <c r="AN41" s="6">
        <v>0.79</v>
      </c>
      <c r="AO41" s="6">
        <v>0.76</v>
      </c>
      <c r="AP41" s="6"/>
      <c r="AQ41" s="7"/>
    </row>
    <row r="42" spans="3:43">
      <c r="C42" s="5"/>
      <c r="D42" s="6">
        <v>480</v>
      </c>
      <c r="E42" s="6"/>
      <c r="F42" s="6">
        <v>33.124291999999997</v>
      </c>
      <c r="G42" s="6">
        <v>34.262944666666669</v>
      </c>
      <c r="H42" s="6">
        <v>39.940226000000003</v>
      </c>
      <c r="I42" s="6">
        <v>56.560616750000001</v>
      </c>
      <c r="J42" s="6"/>
      <c r="K42" s="6"/>
      <c r="L42" s="6"/>
      <c r="M42" s="6"/>
      <c r="N42" s="6"/>
      <c r="O42" s="6"/>
      <c r="P42" s="6"/>
      <c r="Q42" s="7"/>
      <c r="R42" s="5"/>
      <c r="S42" s="6">
        <v>480</v>
      </c>
      <c r="T42" s="6"/>
      <c r="U42" s="6">
        <v>8.2625299999999999</v>
      </c>
      <c r="V42" s="6">
        <v>6.5641536666666669</v>
      </c>
      <c r="W42" s="6">
        <v>12.878701000000001</v>
      </c>
      <c r="X42" s="6">
        <v>22.885834500000001</v>
      </c>
      <c r="Y42" s="6"/>
      <c r="Z42" s="6"/>
      <c r="AA42" s="6"/>
      <c r="AB42" s="6"/>
      <c r="AC42" s="6"/>
      <c r="AD42" s="6"/>
      <c r="AE42" s="6"/>
      <c r="AF42" s="6"/>
      <c r="AG42" s="5"/>
      <c r="AH42" s="6"/>
      <c r="AI42" s="6">
        <v>1.22</v>
      </c>
      <c r="AJ42" s="6"/>
      <c r="AK42" s="6"/>
      <c r="AL42" s="6"/>
      <c r="AM42" s="6"/>
      <c r="AN42" s="6">
        <v>1.1100000000000001</v>
      </c>
      <c r="AO42" s="6"/>
      <c r="AP42" s="6"/>
      <c r="AQ42" s="7"/>
    </row>
    <row r="43" spans="3:43">
      <c r="C43" s="5"/>
      <c r="D43" s="6">
        <v>481</v>
      </c>
      <c r="E43" s="6"/>
      <c r="F43" s="6">
        <v>53.780706333333335</v>
      </c>
      <c r="G43" s="6">
        <v>53.402248999999998</v>
      </c>
      <c r="H43" s="6">
        <v>56.194506666666676</v>
      </c>
      <c r="I43" s="6">
        <v>56.006709666666666</v>
      </c>
      <c r="J43" s="6"/>
      <c r="K43" s="6"/>
      <c r="L43" s="6"/>
      <c r="M43" s="6"/>
      <c r="N43" s="6"/>
      <c r="O43" s="6"/>
      <c r="P43" s="6"/>
      <c r="Q43" s="7"/>
      <c r="R43" s="5"/>
      <c r="S43" s="6">
        <v>481</v>
      </c>
      <c r="T43" s="6"/>
      <c r="U43" s="6">
        <v>12.511334666666665</v>
      </c>
      <c r="V43" s="6">
        <v>21.090503500000001</v>
      </c>
      <c r="W43" s="6">
        <v>20.801976666666665</v>
      </c>
      <c r="X43" s="6">
        <v>20.049600666666667</v>
      </c>
      <c r="Y43" s="6"/>
      <c r="Z43" s="6"/>
      <c r="AA43" s="6"/>
      <c r="AB43" s="6"/>
      <c r="AC43" s="6"/>
      <c r="AD43" s="6"/>
      <c r="AE43" s="6"/>
      <c r="AF43" s="6"/>
      <c r="AG43" s="5"/>
      <c r="AH43" s="6"/>
      <c r="AI43" s="6"/>
      <c r="AJ43" s="6"/>
      <c r="AK43" s="6"/>
      <c r="AL43" s="6"/>
      <c r="AM43" s="6"/>
      <c r="AN43" s="6"/>
      <c r="AO43" s="6"/>
      <c r="AP43" s="6"/>
      <c r="AQ43" s="7"/>
    </row>
    <row r="44" spans="3:43">
      <c r="C44" s="5"/>
      <c r="D44" s="6">
        <v>482</v>
      </c>
      <c r="E44" s="6">
        <v>60.166255</v>
      </c>
      <c r="F44" s="6">
        <v>44.167429249999998</v>
      </c>
      <c r="G44" s="6">
        <v>42.633816000000003</v>
      </c>
      <c r="H44" s="6">
        <v>46.06994675</v>
      </c>
      <c r="I44" s="6">
        <v>51.592721999999995</v>
      </c>
      <c r="J44" s="6"/>
      <c r="K44" s="6"/>
      <c r="L44" s="6"/>
      <c r="M44" s="6"/>
      <c r="N44" s="6"/>
      <c r="O44" s="6"/>
      <c r="P44" s="6"/>
      <c r="Q44" s="7"/>
      <c r="R44" s="5"/>
      <c r="S44" s="6">
        <v>482</v>
      </c>
      <c r="T44" s="6">
        <v>18.254571599999998</v>
      </c>
      <c r="U44" s="6">
        <v>13.5762655</v>
      </c>
      <c r="V44" s="6">
        <v>9.3400793333333336</v>
      </c>
      <c r="W44" s="6">
        <v>12.978705000000001</v>
      </c>
      <c r="X44" s="6">
        <v>13.2909285</v>
      </c>
      <c r="Y44" s="6"/>
      <c r="Z44" s="6"/>
      <c r="AA44" s="6"/>
      <c r="AB44" s="6"/>
      <c r="AC44" s="6"/>
      <c r="AD44" s="6"/>
      <c r="AE44" s="6"/>
      <c r="AF44" s="6"/>
      <c r="AG44" s="5"/>
      <c r="AH44" s="6"/>
      <c r="AI44" s="6">
        <f>TTEST(AJ37:AJ41,AI37:AI42,1,2)</f>
        <v>1.9350879873622016E-2</v>
      </c>
      <c r="AJ44" s="6" t="s">
        <v>14</v>
      </c>
      <c r="AK44" s="6"/>
      <c r="AL44" s="6"/>
      <c r="AM44" s="6"/>
      <c r="AN44" s="6">
        <f>TTEST(AO37:AO41,AN37:AN42,1,2)</f>
        <v>0.36316481929897948</v>
      </c>
      <c r="AO44" s="6" t="s">
        <v>14</v>
      </c>
      <c r="AP44" s="6"/>
      <c r="AQ44" s="7"/>
    </row>
    <row r="45" spans="3:43">
      <c r="C45" s="5"/>
      <c r="D45" s="6">
        <v>487</v>
      </c>
      <c r="E45" s="6"/>
      <c r="F45" s="6">
        <v>51.510039249999998</v>
      </c>
      <c r="G45" s="6">
        <v>55.402755249999998</v>
      </c>
      <c r="H45" s="6">
        <v>46.112520500000002</v>
      </c>
      <c r="I45" s="6">
        <v>56.59426533333334</v>
      </c>
      <c r="J45" s="6"/>
      <c r="K45" s="6"/>
      <c r="L45" s="6"/>
      <c r="M45" s="6"/>
      <c r="N45" s="6"/>
      <c r="O45" s="6"/>
      <c r="P45" s="6"/>
      <c r="Q45" s="7"/>
      <c r="R45" s="5"/>
      <c r="S45" s="6">
        <v>487</v>
      </c>
      <c r="T45" s="6"/>
      <c r="U45" s="6">
        <v>15.223581249999999</v>
      </c>
      <c r="V45" s="6">
        <v>11.721973500000001</v>
      </c>
      <c r="W45" s="6">
        <v>18.361755500000001</v>
      </c>
      <c r="X45" s="6">
        <v>16.339922666666666</v>
      </c>
      <c r="Y45" s="6"/>
      <c r="Z45" s="6"/>
      <c r="AA45" s="6"/>
      <c r="AB45" s="6"/>
      <c r="AC45" s="6"/>
      <c r="AD45" s="6"/>
      <c r="AE45" s="6"/>
      <c r="AF45" s="6"/>
      <c r="AG45" s="5"/>
      <c r="AH45" s="6"/>
      <c r="AI45" s="6" t="s">
        <v>32</v>
      </c>
      <c r="AJ45" s="6"/>
      <c r="AK45" s="6"/>
      <c r="AL45" s="6"/>
      <c r="AM45" s="6"/>
      <c r="AN45" s="6"/>
      <c r="AO45" s="6"/>
      <c r="AP45" s="6"/>
      <c r="AQ45" s="7"/>
    </row>
    <row r="46" spans="3:43">
      <c r="C46" s="5"/>
      <c r="D46" s="6">
        <v>488</v>
      </c>
      <c r="E46" s="6"/>
      <c r="F46" s="6">
        <v>43.817116999999996</v>
      </c>
      <c r="G46" s="6">
        <v>44.387047249999995</v>
      </c>
      <c r="H46" s="6">
        <v>60.569920666666668</v>
      </c>
      <c r="I46" s="6">
        <v>53.963520000000003</v>
      </c>
      <c r="J46" s="6"/>
      <c r="K46" s="6"/>
      <c r="L46" s="6"/>
      <c r="M46" s="6"/>
      <c r="N46" s="6"/>
      <c r="O46" s="6"/>
      <c r="P46" s="6"/>
      <c r="Q46" s="7"/>
      <c r="R46" s="5"/>
      <c r="S46" s="6">
        <v>488</v>
      </c>
      <c r="T46" s="6"/>
      <c r="U46" s="6">
        <v>15.2315395</v>
      </c>
      <c r="V46" s="6">
        <v>11.38053625</v>
      </c>
      <c r="W46" s="6">
        <v>17.371421333333334</v>
      </c>
      <c r="X46" s="6">
        <v>16.274771000000001</v>
      </c>
      <c r="Y46" s="6"/>
      <c r="Z46" s="6"/>
      <c r="AA46" s="6"/>
      <c r="AB46" s="6"/>
      <c r="AC46" s="6"/>
      <c r="AD46" s="6"/>
      <c r="AE46" s="6"/>
      <c r="AF46" s="6"/>
      <c r="AG46" s="5"/>
      <c r="AH46" s="6"/>
      <c r="AI46" s="6"/>
      <c r="AJ46" s="6"/>
      <c r="AK46" s="6"/>
      <c r="AL46" s="6"/>
      <c r="AM46" s="6"/>
      <c r="AN46" s="6"/>
      <c r="AO46" s="6"/>
      <c r="AP46" s="6"/>
      <c r="AQ46" s="7"/>
    </row>
    <row r="47" spans="3:43">
      <c r="C47" s="5"/>
      <c r="D47" s="6" t="s">
        <v>33</v>
      </c>
      <c r="E47" s="6">
        <v>67.518282999999997</v>
      </c>
      <c r="F47" s="6">
        <v>68.648173499999999</v>
      </c>
      <c r="G47" s="6">
        <v>45.397434249999996</v>
      </c>
      <c r="H47" s="6">
        <v>64.258864999999986</v>
      </c>
      <c r="I47" s="6">
        <v>58.020338999999993</v>
      </c>
      <c r="J47" s="6"/>
      <c r="K47" s="6"/>
      <c r="L47" s="6"/>
      <c r="M47" s="6"/>
      <c r="N47" s="6"/>
      <c r="O47" s="6"/>
      <c r="P47" s="6"/>
      <c r="Q47" s="7"/>
      <c r="R47" s="5"/>
      <c r="S47" s="6">
        <v>498</v>
      </c>
      <c r="T47" s="6">
        <v>18.081068000000002</v>
      </c>
      <c r="U47" s="6">
        <v>18.1515825</v>
      </c>
      <c r="V47" s="6">
        <v>10.36866025</v>
      </c>
      <c r="W47" s="6">
        <v>18.832618400000001</v>
      </c>
      <c r="X47" s="6">
        <v>17.646819999999998</v>
      </c>
      <c r="Y47" s="6"/>
      <c r="Z47" s="6"/>
      <c r="AA47" s="6"/>
      <c r="AB47" s="6"/>
      <c r="AC47" s="6"/>
      <c r="AD47" s="6"/>
      <c r="AE47" s="6"/>
      <c r="AF47" s="6"/>
      <c r="AG47" s="5"/>
      <c r="AH47" s="6"/>
      <c r="AI47" s="6"/>
      <c r="AJ47" s="6"/>
      <c r="AK47" s="6"/>
      <c r="AL47" s="6"/>
      <c r="AM47" s="6"/>
      <c r="AN47" s="6"/>
      <c r="AO47" s="6"/>
      <c r="AP47" s="6"/>
      <c r="AQ47" s="7"/>
    </row>
    <row r="48" spans="3:43">
      <c r="C48" s="5"/>
      <c r="D48" s="6">
        <v>500</v>
      </c>
      <c r="E48" s="6"/>
      <c r="F48" s="6">
        <v>61.665273666666671</v>
      </c>
      <c r="G48" s="6">
        <v>48.467092749999999</v>
      </c>
      <c r="H48" s="6">
        <v>59.174982249999999</v>
      </c>
      <c r="I48" s="6">
        <v>64.749238333333324</v>
      </c>
      <c r="J48" s="6"/>
      <c r="K48" s="6"/>
      <c r="L48" s="6"/>
      <c r="M48" s="6"/>
      <c r="N48" s="6"/>
      <c r="O48" s="6"/>
      <c r="P48" s="6"/>
      <c r="Q48" s="7"/>
      <c r="R48" s="5"/>
      <c r="S48" s="6">
        <v>500</v>
      </c>
      <c r="T48" s="6"/>
      <c r="U48" s="6">
        <v>20.980183333333333</v>
      </c>
      <c r="V48" s="6">
        <v>14.08632525</v>
      </c>
      <c r="W48" s="6">
        <v>17.078201749999998</v>
      </c>
      <c r="X48" s="6">
        <v>17.330988666666666</v>
      </c>
      <c r="Y48" s="6"/>
      <c r="Z48" s="6"/>
      <c r="AA48" s="6"/>
      <c r="AB48" s="6"/>
      <c r="AC48" s="6"/>
      <c r="AD48" s="6"/>
      <c r="AE48" s="6"/>
      <c r="AF48" s="6"/>
      <c r="AG48" s="5"/>
      <c r="AH48" s="6"/>
      <c r="AI48" s="6" t="s">
        <v>18</v>
      </c>
      <c r="AJ48" s="6" t="s">
        <v>3</v>
      </c>
      <c r="AK48" s="6" t="s">
        <v>2</v>
      </c>
      <c r="AL48" s="6"/>
      <c r="AM48" s="6"/>
      <c r="AN48" s="6" t="s">
        <v>18</v>
      </c>
      <c r="AO48" s="6" t="s">
        <v>3</v>
      </c>
      <c r="AP48" s="6" t="s">
        <v>2</v>
      </c>
      <c r="AQ48" s="7"/>
    </row>
    <row r="49" spans="3:43">
      <c r="C49" s="5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7"/>
      <c r="R49" s="5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5"/>
      <c r="AH49" s="6" t="s">
        <v>11</v>
      </c>
      <c r="AI49" s="6">
        <f>AVERAGE(AH37:AH38)</f>
        <v>1.155</v>
      </c>
      <c r="AJ49" s="6">
        <f>AVERAGE(AI37:AI42)</f>
        <v>1.2483333333333333</v>
      </c>
      <c r="AK49" s="6">
        <f>AVERAGE(AJ37:AJ41)</f>
        <v>0.98499999999999999</v>
      </c>
      <c r="AL49" s="6"/>
      <c r="AM49" s="6" t="s">
        <v>11</v>
      </c>
      <c r="AN49" s="6">
        <f>AVERAGE(AM37:AM38)</f>
        <v>0.9850000000000001</v>
      </c>
      <c r="AO49" s="6">
        <f>AVERAGE(AN37:AN42)</f>
        <v>0.875</v>
      </c>
      <c r="AP49" s="6">
        <f>AVERAGE(AO37:AO41)</f>
        <v>0.84000000000000008</v>
      </c>
      <c r="AQ49" s="7"/>
    </row>
    <row r="50" spans="3:43">
      <c r="C50" s="5"/>
      <c r="D50" s="13" t="s">
        <v>34</v>
      </c>
      <c r="E50" s="14" t="s">
        <v>35</v>
      </c>
      <c r="F50" s="14" t="s">
        <v>36</v>
      </c>
      <c r="G50" s="14" t="s">
        <v>37</v>
      </c>
      <c r="H50" s="14" t="s">
        <v>38</v>
      </c>
      <c r="I50" s="14" t="s">
        <v>39</v>
      </c>
      <c r="J50" s="6"/>
      <c r="K50" s="6"/>
      <c r="L50" s="6"/>
      <c r="M50" s="6"/>
      <c r="N50" s="6"/>
      <c r="O50" s="6"/>
      <c r="P50" s="6"/>
      <c r="Q50" s="7"/>
      <c r="R50" s="5"/>
      <c r="S50" s="13" t="s">
        <v>34</v>
      </c>
      <c r="T50" s="14" t="s">
        <v>35</v>
      </c>
      <c r="U50" s="14" t="s">
        <v>36</v>
      </c>
      <c r="V50" s="14" t="s">
        <v>37</v>
      </c>
      <c r="W50" s="14" t="s">
        <v>38</v>
      </c>
      <c r="X50" s="14" t="s">
        <v>39</v>
      </c>
      <c r="Y50" s="6"/>
      <c r="Z50" s="6"/>
      <c r="AA50" s="6"/>
      <c r="AB50" s="6"/>
      <c r="AC50" s="6"/>
      <c r="AD50" s="6"/>
      <c r="AE50" s="6"/>
      <c r="AF50" s="6"/>
      <c r="AG50" s="5"/>
      <c r="AH50" s="6" t="s">
        <v>12</v>
      </c>
      <c r="AI50" s="6">
        <f>STDEV(AH37:AH38)</f>
        <v>9.1923881554250339E-2</v>
      </c>
      <c r="AJ50" s="6">
        <f>STDEV(AI37:AI42)</f>
        <v>0.17893201688537155</v>
      </c>
      <c r="AK50" s="6">
        <f>STDEV(AJ37:AJ41)</f>
        <v>0.18090052515125576</v>
      </c>
      <c r="AL50" s="6"/>
      <c r="AM50" s="6" t="s">
        <v>12</v>
      </c>
      <c r="AN50" s="6">
        <f>STDEV(AM37:AM38)</f>
        <v>7.7781745930519508E-2</v>
      </c>
      <c r="AO50" s="6">
        <f>STDEV(AN37:AN42)</f>
        <v>0.17784824992110551</v>
      </c>
      <c r="AP50" s="6">
        <f>STDEV(AO37:AO41)</f>
        <v>0.13453624047073712</v>
      </c>
      <c r="AQ50" s="7"/>
    </row>
    <row r="51" spans="3:43">
      <c r="C51" s="5"/>
      <c r="D51" s="13" t="s">
        <v>40</v>
      </c>
      <c r="E51" s="14">
        <v>-15.39</v>
      </c>
      <c r="F51" s="14">
        <v>4.0419999999999998</v>
      </c>
      <c r="G51" s="14" t="s">
        <v>41</v>
      </c>
      <c r="H51" s="14" t="s">
        <v>42</v>
      </c>
      <c r="I51" s="14" t="s">
        <v>43</v>
      </c>
      <c r="J51" s="6"/>
      <c r="K51" s="6"/>
      <c r="L51" s="6"/>
      <c r="M51" s="6"/>
      <c r="N51" s="6"/>
      <c r="O51" s="6"/>
      <c r="P51" s="6"/>
      <c r="Q51" s="7"/>
      <c r="R51" s="5"/>
      <c r="S51" s="13" t="s">
        <v>40</v>
      </c>
      <c r="T51" s="14">
        <v>-7.3230000000000004</v>
      </c>
      <c r="U51" s="14">
        <v>2.8639999999999999</v>
      </c>
      <c r="V51" s="14" t="s">
        <v>41</v>
      </c>
      <c r="W51" s="14" t="s">
        <v>44</v>
      </c>
      <c r="X51" s="14" t="s">
        <v>45</v>
      </c>
      <c r="Y51" s="6"/>
      <c r="Z51" s="6"/>
      <c r="AA51" s="6"/>
      <c r="AB51" s="6"/>
      <c r="AC51" s="6"/>
      <c r="AD51" s="6"/>
      <c r="AE51" s="6"/>
      <c r="AF51" s="6"/>
      <c r="AG51" s="5"/>
      <c r="AH51" s="6" t="s">
        <v>13</v>
      </c>
      <c r="AI51" s="6">
        <f>AI50/SQRT(2)</f>
        <v>6.4999999999999405E-2</v>
      </c>
      <c r="AJ51" s="6">
        <f>AJ50/SQRT(6)</f>
        <v>7.3048690002704017E-2</v>
      </c>
      <c r="AK51" s="6">
        <f>AK50/SQRT(5)</f>
        <v>8.0901174280723659E-2</v>
      </c>
      <c r="AL51" s="6"/>
      <c r="AM51" s="6" t="s">
        <v>13</v>
      </c>
      <c r="AN51" s="6">
        <f>AN50/SQRT(2)</f>
        <v>5.4999999999999487E-2</v>
      </c>
      <c r="AO51" s="6">
        <f>AO50/SQRT(6)</f>
        <v>7.2606243992281189E-2</v>
      </c>
      <c r="AP51" s="6">
        <f>AP50/SQRT(5)</f>
        <v>6.01664358259653E-2</v>
      </c>
      <c r="AQ51" s="7"/>
    </row>
    <row r="52" spans="3:43">
      <c r="C52" s="5"/>
      <c r="D52" s="13" t="s">
        <v>46</v>
      </c>
      <c r="E52" s="14">
        <v>-13.12</v>
      </c>
      <c r="F52" s="14">
        <v>3.8650000000000002</v>
      </c>
      <c r="G52" s="14" t="s">
        <v>41</v>
      </c>
      <c r="H52" s="14" t="s">
        <v>42</v>
      </c>
      <c r="I52" s="14" t="s">
        <v>47</v>
      </c>
      <c r="J52" s="6"/>
      <c r="K52" s="6"/>
      <c r="L52" s="6"/>
      <c r="M52" s="6"/>
      <c r="N52" s="6"/>
      <c r="O52" s="6"/>
      <c r="P52" s="6"/>
      <c r="Q52" s="7"/>
      <c r="R52" s="5"/>
      <c r="S52" s="13" t="s">
        <v>46</v>
      </c>
      <c r="T52" s="14">
        <v>-5.83</v>
      </c>
      <c r="U52" s="14">
        <v>2.556</v>
      </c>
      <c r="V52" s="14" t="s">
        <v>41</v>
      </c>
      <c r="W52" s="14" t="s">
        <v>44</v>
      </c>
      <c r="X52" s="14" t="s">
        <v>48</v>
      </c>
      <c r="Y52" s="6"/>
      <c r="Z52" s="6"/>
      <c r="AA52" s="6"/>
      <c r="AB52" s="6"/>
      <c r="AC52" s="6"/>
      <c r="AD52" s="6"/>
      <c r="AE52" s="6"/>
      <c r="AF52" s="6"/>
      <c r="AG52" s="5"/>
      <c r="AH52" s="6"/>
      <c r="AI52" s="6"/>
      <c r="AJ52" s="6"/>
      <c r="AK52" s="6"/>
      <c r="AL52" s="6"/>
      <c r="AM52" s="6"/>
      <c r="AN52" s="6"/>
      <c r="AO52" s="6"/>
      <c r="AP52" s="6"/>
      <c r="AQ52" s="7"/>
    </row>
    <row r="53" spans="3:43">
      <c r="C53" s="5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7"/>
      <c r="R53" s="5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5"/>
      <c r="AH53" s="6"/>
      <c r="AI53" s="6"/>
      <c r="AJ53" s="6"/>
      <c r="AK53" s="6"/>
      <c r="AL53" s="6"/>
      <c r="AM53" s="6"/>
      <c r="AN53" s="6"/>
      <c r="AO53" s="6"/>
      <c r="AP53" s="6"/>
      <c r="AQ53" s="7"/>
    </row>
    <row r="54" spans="3:43">
      <c r="C54" s="5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7"/>
      <c r="R54" s="5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5"/>
      <c r="AH54" s="6"/>
      <c r="AI54" s="6"/>
      <c r="AJ54" s="6" t="s">
        <v>11</v>
      </c>
      <c r="AK54" s="6"/>
      <c r="AL54" s="6"/>
      <c r="AM54" s="6"/>
      <c r="AN54" s="6"/>
      <c r="AO54" s="6"/>
      <c r="AP54" s="6"/>
      <c r="AQ54" s="7"/>
    </row>
    <row r="55" spans="3:43">
      <c r="C55" s="5"/>
      <c r="D55" s="6"/>
      <c r="E55" s="9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7"/>
      <c r="R55" s="5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5"/>
      <c r="AH55" s="6"/>
      <c r="AI55" s="6"/>
      <c r="AJ55" s="6"/>
      <c r="AK55" s="6" t="s">
        <v>18</v>
      </c>
      <c r="AL55" s="6" t="s">
        <v>3</v>
      </c>
      <c r="AM55" s="6" t="s">
        <v>2</v>
      </c>
      <c r="AN55" s="6"/>
      <c r="AO55" s="6"/>
      <c r="AP55" s="6"/>
      <c r="AQ55" s="7"/>
    </row>
    <row r="56" spans="3:43" ht="15" thickBot="1">
      <c r="C56" s="10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2"/>
      <c r="R56" s="10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5"/>
      <c r="AH56" s="6"/>
      <c r="AI56" s="6"/>
      <c r="AJ56" s="6" t="s">
        <v>28</v>
      </c>
      <c r="AK56" s="6">
        <v>0.9850000000000001</v>
      </c>
      <c r="AL56" s="6">
        <v>0.875</v>
      </c>
      <c r="AM56" s="6">
        <v>0.84000000000000008</v>
      </c>
      <c r="AN56" s="6"/>
      <c r="AO56" s="6"/>
      <c r="AP56" s="6"/>
      <c r="AQ56" s="7"/>
    </row>
    <row r="57" spans="3:43">
      <c r="AG57" s="15"/>
      <c r="AH57" s="6"/>
      <c r="AI57" s="6"/>
      <c r="AJ57" s="6" t="s">
        <v>27</v>
      </c>
      <c r="AK57" s="6">
        <v>1.155</v>
      </c>
      <c r="AL57" s="6">
        <v>1.2483333333333333</v>
      </c>
      <c r="AM57" s="6">
        <v>0.98499999999999999</v>
      </c>
      <c r="AN57" s="6"/>
      <c r="AO57" s="6"/>
      <c r="AP57" s="6"/>
      <c r="AQ57" s="7"/>
    </row>
    <row r="58" spans="3:43">
      <c r="AG58" s="5"/>
      <c r="AH58" s="6"/>
      <c r="AI58" s="6"/>
      <c r="AJ58" s="6"/>
      <c r="AK58" s="6"/>
      <c r="AL58" s="6"/>
      <c r="AM58" s="6"/>
      <c r="AN58" s="6"/>
      <c r="AO58" s="6"/>
      <c r="AP58" s="6"/>
      <c r="AQ58" s="7"/>
    </row>
    <row r="59" spans="3:43">
      <c r="H59" s="16"/>
      <c r="I59" s="17"/>
      <c r="J59" s="17"/>
      <c r="K59" s="17"/>
      <c r="L59" s="17"/>
      <c r="M59" s="17"/>
      <c r="AG59" s="5"/>
      <c r="AH59" s="6"/>
      <c r="AI59" s="6"/>
      <c r="AJ59" s="6" t="s">
        <v>15</v>
      </c>
      <c r="AK59" s="6"/>
      <c r="AL59" s="6"/>
      <c r="AM59" s="6"/>
      <c r="AN59" s="6"/>
      <c r="AO59" s="6"/>
      <c r="AP59" s="6"/>
      <c r="AQ59" s="7"/>
    </row>
    <row r="60" spans="3:43">
      <c r="H60" s="6"/>
      <c r="AG60" s="5"/>
      <c r="AH60" s="6"/>
      <c r="AI60" s="6"/>
      <c r="AJ60" s="6"/>
      <c r="AK60" s="6" t="s">
        <v>18</v>
      </c>
      <c r="AL60" s="6" t="s">
        <v>3</v>
      </c>
      <c r="AM60" s="6" t="s">
        <v>2</v>
      </c>
      <c r="AN60" s="6"/>
      <c r="AO60" s="6"/>
      <c r="AP60" s="6"/>
      <c r="AQ60" s="7"/>
    </row>
    <row r="61" spans="3:43">
      <c r="AG61" s="5"/>
      <c r="AH61" s="6"/>
      <c r="AI61" s="6"/>
      <c r="AJ61" s="6" t="s">
        <v>28</v>
      </c>
      <c r="AK61" s="6">
        <v>5.4999999999999487E-2</v>
      </c>
      <c r="AL61" s="6">
        <v>7.2606243992281189E-2</v>
      </c>
      <c r="AM61" s="6">
        <v>6.01664358259653E-2</v>
      </c>
      <c r="AN61" s="6"/>
      <c r="AO61" s="6"/>
      <c r="AP61" s="6"/>
      <c r="AQ61" s="7"/>
    </row>
    <row r="62" spans="3:43">
      <c r="AG62" s="5"/>
      <c r="AH62" s="6"/>
      <c r="AI62" s="6"/>
      <c r="AJ62" s="6" t="s">
        <v>27</v>
      </c>
      <c r="AK62" s="6">
        <v>6.4999999999999405E-2</v>
      </c>
      <c r="AL62" s="6">
        <v>7.3048690002704017E-2</v>
      </c>
      <c r="AM62" s="6">
        <v>8.0901174280723659E-2</v>
      </c>
      <c r="AN62" s="6"/>
      <c r="AO62" s="6"/>
      <c r="AP62" s="6"/>
      <c r="AQ62" s="7"/>
    </row>
    <row r="63" spans="3:43">
      <c r="AG63" s="5"/>
      <c r="AH63" s="6"/>
      <c r="AI63" s="6"/>
      <c r="AJ63" s="6"/>
      <c r="AK63" s="6"/>
      <c r="AL63" s="6"/>
      <c r="AM63" s="6"/>
      <c r="AN63" s="6"/>
      <c r="AO63" s="6"/>
      <c r="AP63" s="6"/>
      <c r="AQ63" s="7"/>
    </row>
    <row r="64" spans="3:43" ht="15" thickBot="1">
      <c r="AG64" s="10"/>
      <c r="AH64" s="11"/>
      <c r="AI64" s="11"/>
      <c r="AJ64" s="11"/>
      <c r="AK64" s="11"/>
      <c r="AL64" s="11"/>
      <c r="AM64" s="11"/>
      <c r="AN64" s="11"/>
      <c r="AO64" s="11"/>
      <c r="AP64" s="11"/>
      <c r="AQ64" s="12"/>
    </row>
  </sheetData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2006-09-13T11:28:12Z</dcterms:created>
  <dcterms:modified xsi:type="dcterms:W3CDTF">2017-05-10T18:18:08Z</dcterms:modified>
</cp:coreProperties>
</file>