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60" windowWidth="22980" windowHeight="9528"/>
  </bookViews>
  <sheets>
    <sheet name="N. alesi dental calculation" sheetId="1" r:id="rId1"/>
    <sheet name="developmental charts" sheetId="2" r:id="rId2"/>
  </sheets>
  <calcPr calcId="145621"/>
</workbook>
</file>

<file path=xl/calcChain.xml><?xml version="1.0" encoding="utf-8"?>
<calcChain xmlns="http://schemas.openxmlformats.org/spreadsheetml/2006/main">
  <c r="H10" i="2" l="1"/>
  <c r="H11" i="2" s="1"/>
  <c r="V11" i="1" l="1"/>
  <c r="E29" i="1"/>
  <c r="E31" i="1" s="1"/>
  <c r="Q31" i="1"/>
  <c r="P31" i="1"/>
  <c r="U11" i="1"/>
  <c r="P45" i="1" s="1"/>
  <c r="H48" i="2" s="1"/>
  <c r="W43" i="1"/>
  <c r="W45" i="1" s="1"/>
  <c r="H55" i="2" s="1"/>
  <c r="H83" i="2" s="1"/>
  <c r="V43" i="1"/>
  <c r="V45" i="1" s="1"/>
  <c r="H54" i="2" s="1"/>
  <c r="U43" i="1"/>
  <c r="U45" i="1" s="1"/>
  <c r="H53" i="2" s="1"/>
  <c r="T43" i="1"/>
  <c r="T45" i="1" s="1"/>
  <c r="R43" i="1"/>
  <c r="R45" i="1" s="1"/>
  <c r="H50" i="2" s="1"/>
  <c r="O43" i="1"/>
  <c r="O45" i="1" s="1"/>
  <c r="M43" i="1"/>
  <c r="M45" i="1" s="1"/>
  <c r="H45" i="2" s="1"/>
  <c r="L43" i="1"/>
  <c r="L45" i="1" s="1"/>
  <c r="H44" i="2" s="1"/>
  <c r="J43" i="1"/>
  <c r="J45" i="1" s="1"/>
  <c r="H42" i="2" s="1"/>
  <c r="H70" i="2" s="1"/>
  <c r="I43" i="1"/>
  <c r="I45" i="1" s="1"/>
  <c r="G43" i="1"/>
  <c r="G45" i="1" s="1"/>
  <c r="H38" i="2" s="1"/>
  <c r="E43" i="1"/>
  <c r="E45" i="1" s="1"/>
  <c r="H35" i="2" s="1"/>
  <c r="C43" i="1"/>
  <c r="W29" i="1"/>
  <c r="W31" i="1" s="1"/>
  <c r="H27" i="2" s="1"/>
  <c r="V29" i="1"/>
  <c r="V31" i="1" s="1"/>
  <c r="U29" i="1"/>
  <c r="U31" i="1" s="1"/>
  <c r="H25" i="2" s="1"/>
  <c r="T29" i="1"/>
  <c r="T31" i="1" s="1"/>
  <c r="H24" i="2" s="1"/>
  <c r="R29" i="1"/>
  <c r="R31" i="1" s="1"/>
  <c r="H22" i="2" s="1"/>
  <c r="O29" i="1"/>
  <c r="M29" i="1"/>
  <c r="L29" i="1"/>
  <c r="L31" i="1" s="1"/>
  <c r="J29" i="1"/>
  <c r="J31" i="1" s="1"/>
  <c r="H14" i="2" s="1"/>
  <c r="I29" i="1"/>
  <c r="I31" i="1" s="1"/>
  <c r="H13" i="2" s="1"/>
  <c r="G29" i="1"/>
  <c r="G31" i="1" s="1"/>
  <c r="C29" i="1"/>
  <c r="C31" i="1" s="1"/>
  <c r="H4" i="2" s="1"/>
  <c r="O31" i="1"/>
  <c r="H19" i="2" s="1"/>
  <c r="M31" i="1"/>
  <c r="M39" i="1"/>
  <c r="L39" i="1"/>
  <c r="J39" i="1"/>
  <c r="I39" i="1"/>
  <c r="G39" i="1"/>
  <c r="E39" i="1"/>
  <c r="M25" i="1"/>
  <c r="L25" i="1"/>
  <c r="J25" i="1"/>
  <c r="I25" i="1"/>
  <c r="G25" i="1"/>
  <c r="E25" i="1"/>
  <c r="J36" i="1"/>
  <c r="J37" i="1" s="1"/>
  <c r="M36" i="1"/>
  <c r="M37" i="1" s="1"/>
  <c r="M22" i="1"/>
  <c r="M23" i="1" s="1"/>
  <c r="J22" i="1"/>
  <c r="J23" i="1" s="1"/>
  <c r="H78" i="2" l="1"/>
  <c r="J26" i="1"/>
  <c r="H81" i="2"/>
  <c r="H39" i="2"/>
  <c r="H67" i="2" s="1"/>
  <c r="H66" i="2"/>
  <c r="H36" i="2"/>
  <c r="Q45" i="1"/>
  <c r="H49" i="2" s="1"/>
  <c r="C45" i="1"/>
  <c r="H32" i="2"/>
  <c r="H60" i="2" s="1"/>
  <c r="H5" i="2"/>
  <c r="J40" i="1"/>
  <c r="J46" i="1" s="1"/>
  <c r="M40" i="1"/>
  <c r="M46" i="1" s="1"/>
  <c r="M26" i="1"/>
  <c r="M32" i="1" s="1"/>
  <c r="H20" i="2"/>
  <c r="H76" i="2" s="1"/>
  <c r="J32" i="1"/>
  <c r="H17" i="2"/>
  <c r="H73" i="2" s="1"/>
  <c r="H7" i="2"/>
  <c r="H8" i="2" s="1"/>
  <c r="H16" i="2"/>
  <c r="H72" i="2" s="1"/>
  <c r="H21" i="2"/>
  <c r="H26" i="2"/>
  <c r="H82" i="2" s="1"/>
  <c r="H41" i="2"/>
  <c r="H69" i="2" s="1"/>
  <c r="H47" i="2"/>
  <c r="H75" i="2" s="1"/>
  <c r="H52" i="2"/>
  <c r="H80" i="2" s="1"/>
  <c r="H77" i="2" l="1"/>
  <c r="H64" i="2"/>
  <c r="H63" i="2"/>
  <c r="H33" i="2"/>
  <c r="H61" i="2" s="1"/>
  <c r="M7" i="1"/>
  <c r="M6" i="1"/>
  <c r="M5" i="1"/>
  <c r="W39" i="1"/>
  <c r="V39" i="1"/>
  <c r="U39" i="1"/>
  <c r="T39" i="1"/>
  <c r="W36" i="1"/>
  <c r="W37" i="1" s="1"/>
  <c r="V36" i="1"/>
  <c r="V37" i="1" s="1"/>
  <c r="U36" i="1"/>
  <c r="U37" i="1" s="1"/>
  <c r="T36" i="1"/>
  <c r="T37" i="1" s="1"/>
  <c r="R25" i="1"/>
  <c r="Q25" i="1"/>
  <c r="P25" i="1"/>
  <c r="O25" i="1"/>
  <c r="P22" i="1"/>
  <c r="P23" i="1" s="1"/>
  <c r="C25" i="1"/>
  <c r="C39" i="1"/>
  <c r="W25" i="1"/>
  <c r="V25" i="1"/>
  <c r="U25" i="1"/>
  <c r="T25" i="1"/>
  <c r="W22" i="1"/>
  <c r="W23" i="1" s="1"/>
  <c r="V22" i="1"/>
  <c r="V23" i="1" s="1"/>
  <c r="U22" i="1"/>
  <c r="U23" i="1" s="1"/>
  <c r="T22" i="1"/>
  <c r="T23" i="1" s="1"/>
  <c r="O39" i="1"/>
  <c r="P39" i="1"/>
  <c r="Q39" i="1"/>
  <c r="R39" i="1"/>
  <c r="P36" i="1"/>
  <c r="P37" i="1" s="1"/>
  <c r="E36" i="1"/>
  <c r="E37" i="1" s="1"/>
  <c r="G22" i="1"/>
  <c r="G23" i="1" s="1"/>
  <c r="G36" i="1"/>
  <c r="G37" i="1" s="1"/>
  <c r="I22" i="1"/>
  <c r="I23" i="1" s="1"/>
  <c r="I36" i="1"/>
  <c r="I37" i="1" s="1"/>
  <c r="L22" i="1"/>
  <c r="L23" i="1" s="1"/>
  <c r="L36" i="1"/>
  <c r="L37" i="1" s="1"/>
  <c r="E22" i="1"/>
  <c r="E23" i="1" s="1"/>
  <c r="O6" i="1" l="1"/>
  <c r="O9" i="1" s="1"/>
  <c r="O7" i="1"/>
  <c r="O10" i="1" s="1"/>
  <c r="O8" i="1"/>
  <c r="E26" i="1"/>
  <c r="E32" i="1" s="1"/>
  <c r="W40" i="1"/>
  <c r="W46" i="1" s="1"/>
  <c r="U40" i="1"/>
  <c r="U46" i="1" s="1"/>
  <c r="V40" i="1"/>
  <c r="V46" i="1" s="1"/>
  <c r="P26" i="1"/>
  <c r="P32" i="1" s="1"/>
  <c r="T40" i="1"/>
  <c r="T46" i="1" s="1"/>
  <c r="L40" i="1"/>
  <c r="L46" i="1" s="1"/>
  <c r="G40" i="1"/>
  <c r="I26" i="1"/>
  <c r="I32" i="1" s="1"/>
  <c r="P40" i="1"/>
  <c r="P46" i="1" s="1"/>
  <c r="I40" i="1"/>
  <c r="I46" i="1" s="1"/>
  <c r="E40" i="1"/>
  <c r="L26" i="1"/>
  <c r="L32" i="1" s="1"/>
  <c r="G26" i="1"/>
  <c r="G32" i="1" s="1"/>
  <c r="G10" i="2" s="1"/>
  <c r="G11" i="2" s="1"/>
  <c r="T26" i="1"/>
  <c r="T32" i="1" s="1"/>
  <c r="W26" i="1"/>
  <c r="V26" i="1"/>
  <c r="V32" i="1" s="1"/>
  <c r="U26" i="1"/>
  <c r="U32" i="1" s="1"/>
  <c r="P49" i="1" l="1"/>
  <c r="O11" i="1"/>
  <c r="G15" i="1" s="1"/>
  <c r="G16" i="1"/>
  <c r="C15" i="1"/>
  <c r="C22" i="1" s="1"/>
  <c r="C23" i="1" s="1"/>
  <c r="C26" i="1" s="1"/>
  <c r="C32" i="1" s="1"/>
  <c r="W32" i="1"/>
  <c r="E46" i="1"/>
  <c r="G46" i="1"/>
  <c r="G17" i="1" l="1"/>
  <c r="E17" i="1" s="1"/>
  <c r="E11" i="1"/>
  <c r="E10" i="1"/>
  <c r="E13" i="1"/>
  <c r="E15" i="1"/>
  <c r="E12" i="1"/>
  <c r="E9" i="1"/>
  <c r="O22" i="1"/>
  <c r="O23" i="1" s="1"/>
  <c r="O26" i="1" s="1"/>
  <c r="O32" i="1" s="1"/>
  <c r="R36" i="1"/>
  <c r="R37" i="1" s="1"/>
  <c r="R40" i="1" s="1"/>
  <c r="R46" i="1" s="1"/>
  <c r="R22" i="1"/>
  <c r="R23" i="1" s="1"/>
  <c r="R26" i="1" s="1"/>
  <c r="R32" i="1" s="1"/>
  <c r="Q22" i="1"/>
  <c r="Q23" i="1" s="1"/>
  <c r="Q26" i="1" s="1"/>
  <c r="Q32" i="1" s="1"/>
  <c r="C17" i="1"/>
  <c r="O36" i="1"/>
  <c r="O37" i="1" s="1"/>
  <c r="O40" i="1" s="1"/>
  <c r="O46" i="1" s="1"/>
  <c r="Q36" i="1"/>
  <c r="Q37" i="1" s="1"/>
  <c r="Q40" i="1" s="1"/>
  <c r="Q46" i="1" s="1"/>
  <c r="Q49" i="1" s="1"/>
  <c r="C36" i="1"/>
  <c r="C37" i="1" s="1"/>
  <c r="C40" i="1" s="1"/>
  <c r="C46" i="1" s="1"/>
  <c r="C49" i="1" s="1"/>
  <c r="O49" i="1" l="1"/>
  <c r="R49" i="1"/>
  <c r="W27" i="1"/>
  <c r="D27" i="2" s="1"/>
  <c r="G41" i="1"/>
  <c r="D38" i="2" s="1"/>
  <c r="J27" i="1"/>
  <c r="D14" i="2" s="1"/>
  <c r="L41" i="1"/>
  <c r="D44" i="2" s="1"/>
  <c r="I27" i="1"/>
  <c r="D13" i="2" s="1"/>
  <c r="O27" i="1"/>
  <c r="D19" i="2" s="1"/>
  <c r="C41" i="1"/>
  <c r="V41" i="1"/>
  <c r="D54" i="2" s="1"/>
  <c r="R41" i="1"/>
  <c r="D50" i="2" s="1"/>
  <c r="M27" i="1"/>
  <c r="D17" i="2" s="1"/>
  <c r="I41" i="1"/>
  <c r="D41" i="2" s="1"/>
  <c r="L27" i="1"/>
  <c r="D16" i="2" s="1"/>
  <c r="W41" i="1"/>
  <c r="D55" i="2" s="1"/>
  <c r="P41" i="1"/>
  <c r="D48" i="2" s="1"/>
  <c r="Q41" i="1"/>
  <c r="D49" i="2" s="1"/>
  <c r="R27" i="1"/>
  <c r="D22" i="2" s="1"/>
  <c r="E41" i="1"/>
  <c r="D35" i="2" s="1"/>
  <c r="M41" i="1"/>
  <c r="D45" i="2" s="1"/>
  <c r="T27" i="1"/>
  <c r="D24" i="2" s="1"/>
  <c r="V27" i="1"/>
  <c r="D26" i="2" s="1"/>
  <c r="P27" i="1"/>
  <c r="D20" i="2" s="1"/>
  <c r="G27" i="1"/>
  <c r="D10" i="2" s="1"/>
  <c r="U41" i="1"/>
  <c r="D53" i="2" s="1"/>
  <c r="Q27" i="1"/>
  <c r="D21" i="2" s="1"/>
  <c r="J41" i="1"/>
  <c r="D42" i="2" s="1"/>
  <c r="O41" i="1"/>
  <c r="D47" i="2" s="1"/>
  <c r="C27" i="1"/>
  <c r="D4" i="2" s="1"/>
  <c r="G4" i="2" s="1"/>
  <c r="U27" i="1"/>
  <c r="D25" i="2" s="1"/>
  <c r="T41" i="1"/>
  <c r="D52" i="2" s="1"/>
  <c r="E27" i="1"/>
  <c r="D7" i="2" s="1"/>
  <c r="D63" i="2" l="1"/>
  <c r="G53" i="2"/>
  <c r="D81" i="2"/>
  <c r="G49" i="2"/>
  <c r="D77" i="2"/>
  <c r="G41" i="2"/>
  <c r="D69" i="2"/>
  <c r="G52" i="2"/>
  <c r="D80" i="2"/>
  <c r="G42" i="2"/>
  <c r="D70" i="2"/>
  <c r="G55" i="2"/>
  <c r="D83" i="2"/>
  <c r="G50" i="2"/>
  <c r="D78" i="2"/>
  <c r="G47" i="2"/>
  <c r="D75" i="2"/>
  <c r="G45" i="2"/>
  <c r="D73" i="2"/>
  <c r="G48" i="2"/>
  <c r="D76" i="2"/>
  <c r="G54" i="2"/>
  <c r="D82" i="2"/>
  <c r="G44" i="2"/>
  <c r="D72" i="2"/>
  <c r="D66" i="2"/>
  <c r="F22" i="2"/>
  <c r="E22" i="2"/>
  <c r="D36" i="2"/>
  <c r="G35" i="2"/>
  <c r="D11" i="2"/>
  <c r="E10" i="2"/>
  <c r="E11" i="2" s="1"/>
  <c r="F10" i="2"/>
  <c r="F11" i="2" s="1"/>
  <c r="D39" i="2"/>
  <c r="G38" i="2"/>
  <c r="D32" i="2"/>
  <c r="D33" i="2" s="1"/>
  <c r="G22" i="2"/>
  <c r="F20" i="2"/>
  <c r="E20" i="2"/>
  <c r="F13" i="2"/>
  <c r="E13" i="2"/>
  <c r="F27" i="2"/>
  <c r="E27" i="2"/>
  <c r="E7" i="2"/>
  <c r="E8" i="2" s="1"/>
  <c r="F7" i="2"/>
  <c r="F8" i="2" s="1"/>
  <c r="F17" i="2"/>
  <c r="E17" i="2"/>
  <c r="F19" i="2"/>
  <c r="E19" i="2"/>
  <c r="D5" i="2"/>
  <c r="F4" i="2"/>
  <c r="F5" i="2" s="1"/>
  <c r="E4" i="2"/>
  <c r="F24" i="2"/>
  <c r="E24" i="2"/>
  <c r="F14" i="2"/>
  <c r="E14" i="2"/>
  <c r="F25" i="2"/>
  <c r="E25" i="2"/>
  <c r="E21" i="2"/>
  <c r="F21" i="2"/>
  <c r="E26" i="2"/>
  <c r="F26" i="2"/>
  <c r="E16" i="2"/>
  <c r="F16" i="2"/>
  <c r="D8" i="2"/>
  <c r="E55" i="2"/>
  <c r="F55" i="2"/>
  <c r="E50" i="2"/>
  <c r="F50" i="2"/>
  <c r="E38" i="2"/>
  <c r="F38" i="2"/>
  <c r="E53" i="2"/>
  <c r="F53" i="2"/>
  <c r="F81" i="2" s="1"/>
  <c r="E49" i="2"/>
  <c r="F49" i="2"/>
  <c r="E41" i="2"/>
  <c r="F41" i="2"/>
  <c r="E52" i="2"/>
  <c r="E80" i="2" s="1"/>
  <c r="F52" i="2"/>
  <c r="E42" i="2"/>
  <c r="E70" i="2" s="1"/>
  <c r="F42" i="2"/>
  <c r="E35" i="2"/>
  <c r="F35" i="2"/>
  <c r="E47" i="2"/>
  <c r="F47" i="2"/>
  <c r="E45" i="2"/>
  <c r="F45" i="2"/>
  <c r="E48" i="2"/>
  <c r="F48" i="2"/>
  <c r="E54" i="2"/>
  <c r="F54" i="2"/>
  <c r="E44" i="2"/>
  <c r="F44" i="2"/>
  <c r="G25" i="2"/>
  <c r="G21" i="2"/>
  <c r="G26" i="2"/>
  <c r="G16" i="2"/>
  <c r="G20" i="2"/>
  <c r="G13" i="2"/>
  <c r="G27" i="2"/>
  <c r="G7" i="2"/>
  <c r="G8" i="2" s="1"/>
  <c r="G17" i="2"/>
  <c r="G19" i="2"/>
  <c r="G24" i="2"/>
  <c r="G14" i="2"/>
  <c r="F80" i="2" l="1"/>
  <c r="F77" i="2"/>
  <c r="G83" i="2"/>
  <c r="I83" i="2" s="1"/>
  <c r="G80" i="2"/>
  <c r="I80" i="2" s="1"/>
  <c r="G72" i="2"/>
  <c r="I72" i="2" s="1"/>
  <c r="E75" i="2"/>
  <c r="E69" i="2"/>
  <c r="D64" i="2"/>
  <c r="E82" i="2"/>
  <c r="E73" i="2"/>
  <c r="E77" i="2"/>
  <c r="E83" i="2"/>
  <c r="E36" i="2"/>
  <c r="E64" i="2" s="1"/>
  <c r="E63" i="2"/>
  <c r="E39" i="2"/>
  <c r="E67" i="2" s="1"/>
  <c r="E66" i="2"/>
  <c r="G39" i="2"/>
  <c r="G67" i="2" s="1"/>
  <c r="G66" i="2"/>
  <c r="I66" i="2" s="1"/>
  <c r="F36" i="2"/>
  <c r="F64" i="2" s="1"/>
  <c r="F63" i="2"/>
  <c r="F39" i="2"/>
  <c r="F67" i="2" s="1"/>
  <c r="F66" i="2"/>
  <c r="F32" i="2"/>
  <c r="D60" i="2"/>
  <c r="G36" i="2"/>
  <c r="G64" i="2" s="1"/>
  <c r="G63" i="2"/>
  <c r="I63" i="2" s="1"/>
  <c r="F82" i="2"/>
  <c r="D61" i="2"/>
  <c r="G76" i="2"/>
  <c r="I76" i="2" s="1"/>
  <c r="G77" i="2"/>
  <c r="I77" i="2" s="1"/>
  <c r="E72" i="2"/>
  <c r="E78" i="2"/>
  <c r="F72" i="2"/>
  <c r="F76" i="2"/>
  <c r="F75" i="2"/>
  <c r="F70" i="2"/>
  <c r="F69" i="2"/>
  <c r="F78" i="2"/>
  <c r="D67" i="2"/>
  <c r="G82" i="2"/>
  <c r="I82" i="2" s="1"/>
  <c r="G73" i="2"/>
  <c r="I73" i="2" s="1"/>
  <c r="G78" i="2"/>
  <c r="I78" i="2" s="1"/>
  <c r="G70" i="2"/>
  <c r="I70" i="2" s="1"/>
  <c r="G69" i="2"/>
  <c r="I69" i="2" s="1"/>
  <c r="G81" i="2"/>
  <c r="I81" i="2" s="1"/>
  <c r="F73" i="2"/>
  <c r="F83" i="2"/>
  <c r="G75" i="2"/>
  <c r="I75" i="2" s="1"/>
  <c r="E76" i="2"/>
  <c r="E81" i="2"/>
  <c r="E32" i="2"/>
  <c r="G5" i="2"/>
  <c r="E5" i="2"/>
  <c r="F33" i="2" l="1"/>
  <c r="F61" i="2" s="1"/>
  <c r="F60" i="2"/>
  <c r="E33" i="2"/>
  <c r="E61" i="2" s="1"/>
  <c r="E60" i="2"/>
  <c r="G32" i="2"/>
  <c r="G33" i="2" l="1"/>
  <c r="G61" i="2" s="1"/>
  <c r="G60" i="2"/>
  <c r="I60" i="2" s="1"/>
</calcChain>
</file>

<file path=xl/sharedStrings.xml><?xml version="1.0" encoding="utf-8"?>
<sst xmlns="http://schemas.openxmlformats.org/spreadsheetml/2006/main" count="231" uniqueCount="120">
  <si>
    <t>ULI1</t>
  </si>
  <si>
    <t>URI1</t>
  </si>
  <si>
    <t>ULI2</t>
  </si>
  <si>
    <t>age at death (days)</t>
  </si>
  <si>
    <t>URI2</t>
  </si>
  <si>
    <t>ULC</t>
  </si>
  <si>
    <t>URC</t>
  </si>
  <si>
    <t>death-stress1</t>
  </si>
  <si>
    <t>death-stress2</t>
  </si>
  <si>
    <t>death-stress3</t>
  </si>
  <si>
    <t>death-stress4</t>
  </si>
  <si>
    <t>death-stress5</t>
  </si>
  <si>
    <t>label</t>
  </si>
  <si>
    <t>red</t>
  </si>
  <si>
    <t>yellow</t>
  </si>
  <si>
    <t>turquoise</t>
  </si>
  <si>
    <t>green</t>
  </si>
  <si>
    <t>blue</t>
  </si>
  <si>
    <t>pink</t>
  </si>
  <si>
    <t>Andresen lines from death</t>
  </si>
  <si>
    <t>earliest stress visible</t>
  </si>
  <si>
    <t>Andresen lines after earliest stress</t>
  </si>
  <si>
    <t>distance to cusp tip (um)</t>
  </si>
  <si>
    <t>corresponding time (days)</t>
  </si>
  <si>
    <t>RI1</t>
  </si>
  <si>
    <t>LI1</t>
  </si>
  <si>
    <t>time initation to death (days)</t>
  </si>
  <si>
    <t>RM1-1</t>
  </si>
  <si>
    <t>RM1-3</t>
  </si>
  <si>
    <t>RM1-4</t>
  </si>
  <si>
    <t>LM1-1</t>
  </si>
  <si>
    <t>LM1-3</t>
  </si>
  <si>
    <t>distance blue ref stress / neonatal line (um)</t>
  </si>
  <si>
    <t>LM1-4</t>
  </si>
  <si>
    <t>cusp initiation / birth (days)</t>
  </si>
  <si>
    <t>tooth</t>
  </si>
  <si>
    <t>initiation</t>
  </si>
  <si>
    <t>CFT</t>
  </si>
  <si>
    <t>RFT</t>
  </si>
  <si>
    <t>URP3-1</t>
  </si>
  <si>
    <t>URP4-1</t>
  </si>
  <si>
    <t>URP4-2</t>
  </si>
  <si>
    <t>URP3-2</t>
  </si>
  <si>
    <t>ULP3-1</t>
  </si>
  <si>
    <t>ULP3-2</t>
  </si>
  <si>
    <t>ULP4-1</t>
  </si>
  <si>
    <t>ULP4-2</t>
  </si>
  <si>
    <t>root formation time (days)</t>
  </si>
  <si>
    <t>crown formation time (days)</t>
  </si>
  <si>
    <t>none</t>
  </si>
  <si>
    <t>relative time</t>
  </si>
  <si>
    <t>URM1-DB</t>
  </si>
  <si>
    <t>URM1-DL</t>
  </si>
  <si>
    <t>URM1-MB</t>
  </si>
  <si>
    <t>URM1-ML</t>
  </si>
  <si>
    <t>ULM1-DB</t>
  </si>
  <si>
    <t>ULM1-DL</t>
  </si>
  <si>
    <t>ULM1-MB</t>
  </si>
  <si>
    <t>ULM1-ML</t>
  </si>
  <si>
    <t>URM2-DB</t>
  </si>
  <si>
    <t>URM2-DL</t>
  </si>
  <si>
    <t>URM2-MB</t>
  </si>
  <si>
    <t>URM2-ML</t>
  </si>
  <si>
    <t>ULM2-DB</t>
  </si>
  <si>
    <t>ULM2-DL</t>
  </si>
  <si>
    <t>ULM2-MB</t>
  </si>
  <si>
    <t>ULM2-ML</t>
  </si>
  <si>
    <t>cusp completion reference stress</t>
  </si>
  <si>
    <t>corresponding root formation time (days)</t>
  </si>
  <si>
    <t>extension</t>
  </si>
  <si>
    <t>dentin thickness / dentin extension (um)</t>
  </si>
  <si>
    <t>N.A.</t>
  </si>
  <si>
    <t>root extension measurement on I1 (yellow stress to death)</t>
  </si>
  <si>
    <t>root extension measurement on M1 (yellow stress to death)</t>
  </si>
  <si>
    <t>average I1 RDER</t>
  </si>
  <si>
    <t>average M1 RDER</t>
  </si>
  <si>
    <t>prenatal</t>
  </si>
  <si>
    <t>URP3-B</t>
  </si>
  <si>
    <t>URP3-L</t>
  </si>
  <si>
    <t>URP4-B</t>
  </si>
  <si>
    <t>URP4-L</t>
  </si>
  <si>
    <t>days / birth</t>
  </si>
  <si>
    <t>min</t>
  </si>
  <si>
    <t>max</t>
  </si>
  <si>
    <t>mean distance blue stress / neonatal</t>
  </si>
  <si>
    <t>min AL number</t>
  </si>
  <si>
    <t>max AL number</t>
  </si>
  <si>
    <t>mean AL number</t>
  </si>
  <si>
    <t>+/-</t>
  </si>
  <si>
    <t>erro margin (AL)</t>
  </si>
  <si>
    <t>total error margin expressed in Andresen lines</t>
  </si>
  <si>
    <t>error margin due to dentin DSR along developmental axis (+/- 0.21 microns/day)</t>
  </si>
  <si>
    <t>error margin on time estimation between blue stress and neonatal line from measurements of all cusps</t>
  </si>
  <si>
    <t>estimated max error on Andresen lines counts</t>
  </si>
  <si>
    <t>meas1</t>
  </si>
  <si>
    <t>meas2</t>
  </si>
  <si>
    <t>meas3</t>
  </si>
  <si>
    <t>meas4</t>
  </si>
  <si>
    <t>error margin</t>
  </si>
  <si>
    <t>neonatal line (from dentin A-DSR)</t>
  </si>
  <si>
    <t>UI1s</t>
  </si>
  <si>
    <t>UI2s</t>
  </si>
  <si>
    <t>Ucs</t>
  </si>
  <si>
    <t>UP3-1s</t>
  </si>
  <si>
    <t>UP3-2s</t>
  </si>
  <si>
    <t>UP4-1s</t>
  </si>
  <si>
    <t>UP4-2s</t>
  </si>
  <si>
    <t>UM1-DBs</t>
  </si>
  <si>
    <t>UM1-DLs</t>
  </si>
  <si>
    <t>UM1-MBs</t>
  </si>
  <si>
    <t>UM1-MLs</t>
  </si>
  <si>
    <t>UM2-DBs</t>
  </si>
  <si>
    <t>UM2-DLs</t>
  </si>
  <si>
    <t>UM2-MBs</t>
  </si>
  <si>
    <t>UM2-MLs</t>
  </si>
  <si>
    <t>periodicity (days)</t>
  </si>
  <si>
    <t>crown formations times (average of both sides in years)</t>
  </si>
  <si>
    <t>dentine axial DSR from HR ULM1-DL used for molars cusps initiation and I1 initiations</t>
  </si>
  <si>
    <t>dentine axial DSR from HR ULI2 used for incisors, canines and premolar cusps initiations</t>
  </si>
  <si>
    <r>
      <rPr>
        <b/>
        <sz val="14"/>
        <color theme="1"/>
        <rFont val="Calibri"/>
        <family val="2"/>
        <scheme val="minor"/>
      </rPr>
      <t xml:space="preserve">Supplementary Data 4 | </t>
    </r>
    <r>
      <rPr>
        <sz val="14"/>
        <color theme="1"/>
        <rFont val="Calibri"/>
        <family val="2"/>
        <scheme val="minor"/>
      </rPr>
      <t>Calculation sheet to determine the age at death and the general developmental timing of KNM-NP 59050 (</t>
    </r>
    <r>
      <rPr>
        <i/>
        <sz val="14"/>
        <color theme="1"/>
        <rFont val="Calibri"/>
        <family val="2"/>
        <scheme val="minor"/>
      </rPr>
      <t>Nyanzapithecus alesi</t>
    </r>
    <r>
      <rPr>
        <sz val="14"/>
        <color theme="1"/>
        <rFont val="Calibri"/>
        <family val="2"/>
        <scheme val="minor"/>
      </rPr>
      <t>) based on dental increments. Main input includes periodicity, daily axial dentine secretion rates, counts of Andresen lines, earliest reference stress observable and distance between dentin horns and this earliest observable stress. Measurements were performed for both sides and results are presented as developmental charts for the right side, left side and their average (second sheet).</t>
    </r>
  </si>
</sst>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theme="1"/>
      <name val="Calibri"/>
      <family val="2"/>
      <scheme val="minor"/>
    </font>
    <font>
      <sz val="11"/>
      <color rgb="FF0070C0"/>
      <name val="Calibri"/>
      <family val="2"/>
      <scheme val="minor"/>
    </font>
    <font>
      <b/>
      <sz val="11"/>
      <color rgb="FF0070C0"/>
      <name val="Calibri"/>
      <family val="2"/>
      <scheme val="minor"/>
    </font>
    <font>
      <sz val="14"/>
      <color theme="1"/>
      <name val="Calibri"/>
      <family val="2"/>
      <scheme val="minor"/>
    </font>
    <font>
      <i/>
      <sz val="14"/>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45">
    <xf numFmtId="0" fontId="0" fillId="0" borderId="0" xfId="0"/>
    <xf numFmtId="0" fontId="0" fillId="0" borderId="0" xfId="0" applyAlignment="1">
      <alignment horizontal="center"/>
    </xf>
    <xf numFmtId="1" fontId="0" fillId="0" borderId="0" xfId="0" applyNumberFormat="1"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vertic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wrapText="1"/>
    </xf>
    <xf numFmtId="0" fontId="0" fillId="0" borderId="0" xfId="0" applyAlignment="1">
      <alignment wrapText="1"/>
    </xf>
    <xf numFmtId="0" fontId="0" fillId="0" borderId="0" xfId="0" applyAlignment="1">
      <alignment horizontal="left"/>
    </xf>
    <xf numFmtId="1" fontId="1" fillId="0" borderId="0" xfId="0" applyNumberFormat="1" applyFont="1" applyAlignment="1">
      <alignment horizontal="center"/>
    </xf>
    <xf numFmtId="0" fontId="2" fillId="0" borderId="0" xfId="0" applyFont="1" applyAlignment="1">
      <alignment horizontal="center"/>
    </xf>
    <xf numFmtId="1" fontId="2" fillId="0" borderId="0" xfId="0" applyNumberFormat="1" applyFont="1" applyAlignment="1">
      <alignment horizontal="center"/>
    </xf>
    <xf numFmtId="0" fontId="1" fillId="0" borderId="0" xfId="0" applyFont="1" applyAlignment="1">
      <alignment horizontal="center"/>
    </xf>
    <xf numFmtId="0" fontId="2" fillId="0" borderId="0" xfId="0" applyFont="1" applyAlignment="1">
      <alignment horizontal="center"/>
    </xf>
    <xf numFmtId="0" fontId="3" fillId="0" borderId="0" xfId="0" applyFont="1" applyAlignment="1">
      <alignment horizontal="center"/>
    </xf>
    <xf numFmtId="0" fontId="0" fillId="0" borderId="0" xfId="0" applyFont="1" applyAlignment="1">
      <alignment horizontal="center"/>
    </xf>
    <xf numFmtId="0" fontId="0" fillId="0" borderId="0" xfId="0" applyAlignment="1">
      <alignment horizontal="center"/>
    </xf>
    <xf numFmtId="0" fontId="2" fillId="0" borderId="0" xfId="0" applyFont="1" applyAlignment="1">
      <alignment horizontal="center"/>
    </xf>
    <xf numFmtId="0" fontId="0" fillId="0" borderId="0" xfId="0" applyAlignment="1">
      <alignment horizontal="center" wrapText="1"/>
    </xf>
    <xf numFmtId="0" fontId="0" fillId="0" borderId="0" xfId="0" applyAlignment="1">
      <alignment horizontal="center"/>
    </xf>
    <xf numFmtId="0" fontId="0" fillId="0" borderId="0" xfId="0" applyAlignment="1">
      <alignment horizontal="center" vertical="center" wrapText="1"/>
    </xf>
    <xf numFmtId="0" fontId="2" fillId="0" borderId="0" xfId="0" applyFont="1" applyAlignment="1">
      <alignment horizontal="center"/>
    </xf>
    <xf numFmtId="1" fontId="1" fillId="2" borderId="0" xfId="0" applyNumberFormat="1" applyFont="1" applyFill="1" applyBorder="1" applyAlignment="1">
      <alignment horizontal="center"/>
    </xf>
    <xf numFmtId="0" fontId="0" fillId="0" borderId="0" xfId="0" applyAlignment="1">
      <alignment horizontal="left"/>
    </xf>
    <xf numFmtId="0" fontId="0" fillId="0" borderId="0" xfId="0" applyAlignment="1"/>
    <xf numFmtId="0" fontId="0" fillId="0" borderId="0" xfId="0" applyAlignment="1">
      <alignment horizontal="right"/>
    </xf>
    <xf numFmtId="2" fontId="3" fillId="0" borderId="0" xfId="0" applyNumberFormat="1" applyFont="1" applyAlignment="1">
      <alignment horizontal="center"/>
    </xf>
    <xf numFmtId="1" fontId="0" fillId="0" borderId="0" xfId="0" applyNumberFormat="1" applyFont="1" applyAlignment="1">
      <alignment horizontal="center"/>
    </xf>
    <xf numFmtId="0" fontId="0" fillId="0" borderId="0" xfId="0" applyAlignment="1">
      <alignment horizontal="center"/>
    </xf>
    <xf numFmtId="0" fontId="0" fillId="0" borderId="0" xfId="0" applyAlignment="1">
      <alignment vertical="center" wrapText="1"/>
    </xf>
    <xf numFmtId="0" fontId="1" fillId="0" borderId="0" xfId="0" quotePrefix="1" applyFont="1" applyAlignment="1">
      <alignment horizontal="center"/>
    </xf>
    <xf numFmtId="49" fontId="1" fillId="2" borderId="0" xfId="0" applyNumberFormat="1" applyFont="1" applyFill="1" applyBorder="1" applyAlignment="1"/>
    <xf numFmtId="0" fontId="0" fillId="0" borderId="0" xfId="0" applyAlignment="1">
      <alignment horizontal="center"/>
    </xf>
    <xf numFmtId="2" fontId="0" fillId="0" borderId="0" xfId="0" applyNumberFormat="1" applyAlignment="1">
      <alignment horizontal="center"/>
    </xf>
    <xf numFmtId="0" fontId="0" fillId="0" borderId="0" xfId="0" applyAlignment="1">
      <alignment horizontal="center"/>
    </xf>
    <xf numFmtId="0" fontId="0" fillId="0" borderId="0" xfId="0" applyAlignment="1">
      <alignment horizontal="center"/>
    </xf>
    <xf numFmtId="0" fontId="1" fillId="0" borderId="0" xfId="0" applyFont="1" applyAlignment="1">
      <alignment horizontal="left" wrapText="1"/>
    </xf>
    <xf numFmtId="0" fontId="0" fillId="0" borderId="0" xfId="0" applyAlignment="1">
      <alignment horizontal="center" vertical="center"/>
    </xf>
    <xf numFmtId="1" fontId="0" fillId="0" borderId="0" xfId="0" applyNumberFormat="1" applyAlignment="1">
      <alignment horizontal="center" vertical="center"/>
    </xf>
    <xf numFmtId="0" fontId="0" fillId="0" borderId="0" xfId="0" applyAlignment="1">
      <alignment horizontal="center"/>
    </xf>
    <xf numFmtId="0" fontId="4" fillId="0" borderId="0" xfId="0" applyFont="1" applyAlignment="1">
      <alignment horizontal="left" vertical="top" wrapText="1"/>
    </xf>
  </cellXfs>
  <cellStyles count="1">
    <cellStyle name="Normal" xfId="0" builtinId="0"/>
  </cellStyles>
  <dxfs count="0"/>
  <tableStyles count="0" defaultTableStyle="TableStyleMedium9" defaultPivotStyle="PivotStyleLight16"/>
  <colors>
    <mruColors>
      <color rgb="FFFFFF00"/>
      <color rgb="FF00FFFF"/>
      <color rgb="FF00FF00"/>
      <color rgb="FF0000FF"/>
      <color rgb="FFFF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770670018797553"/>
          <c:y val="7.9782336125181916E-2"/>
          <c:w val="0.67276815592064299"/>
          <c:h val="0.8597081097346907"/>
        </c:manualLayout>
      </c:layout>
      <c:barChart>
        <c:barDir val="bar"/>
        <c:grouping val="stacked"/>
        <c:varyColors val="0"/>
        <c:ser>
          <c:idx val="0"/>
          <c:order val="0"/>
          <c:tx>
            <c:v>prenatal formation</c:v>
          </c:tx>
          <c:invertIfNegative val="0"/>
          <c:cat>
            <c:strRef>
              <c:f>'developmental charts'!$B$4:$B$27</c:f>
              <c:strCache>
                <c:ptCount val="24"/>
                <c:pt idx="0">
                  <c:v>URI1</c:v>
                </c:pt>
                <c:pt idx="3">
                  <c:v>URI2</c:v>
                </c:pt>
                <c:pt idx="6">
                  <c:v>URC</c:v>
                </c:pt>
                <c:pt idx="9">
                  <c:v>URP3-B</c:v>
                </c:pt>
                <c:pt idx="10">
                  <c:v>URP3-L</c:v>
                </c:pt>
                <c:pt idx="12">
                  <c:v>URP4-B</c:v>
                </c:pt>
                <c:pt idx="13">
                  <c:v>URP4-L</c:v>
                </c:pt>
                <c:pt idx="15">
                  <c:v>URM1-DB</c:v>
                </c:pt>
                <c:pt idx="16">
                  <c:v>URM1-DL</c:v>
                </c:pt>
                <c:pt idx="17">
                  <c:v>URM1-MB</c:v>
                </c:pt>
                <c:pt idx="18">
                  <c:v>URM1-ML</c:v>
                </c:pt>
                <c:pt idx="20">
                  <c:v>URM2-DB</c:v>
                </c:pt>
                <c:pt idx="21">
                  <c:v>URM2-DL</c:v>
                </c:pt>
                <c:pt idx="22">
                  <c:v>URM2-MB</c:v>
                </c:pt>
                <c:pt idx="23">
                  <c:v>URM2-ML</c:v>
                </c:pt>
              </c:strCache>
            </c:strRef>
          </c:cat>
          <c:val>
            <c:numRef>
              <c:f>'developmental charts'!$E$4:$E$27</c:f>
              <c:numCache>
                <c:formatCode>0</c:formatCode>
                <c:ptCount val="24"/>
                <c:pt idx="0">
                  <c:v>-25.41567695961993</c:v>
                </c:pt>
                <c:pt idx="1">
                  <c:v>-25.41567695961993</c:v>
                </c:pt>
                <c:pt idx="3">
                  <c:v>0</c:v>
                </c:pt>
                <c:pt idx="4">
                  <c:v>0</c:v>
                </c:pt>
                <c:pt idx="6">
                  <c:v>0</c:v>
                </c:pt>
                <c:pt idx="7">
                  <c:v>0</c:v>
                </c:pt>
                <c:pt idx="9">
                  <c:v>0</c:v>
                </c:pt>
                <c:pt idx="10">
                  <c:v>0</c:v>
                </c:pt>
                <c:pt idx="12">
                  <c:v>0</c:v>
                </c:pt>
                <c:pt idx="13">
                  <c:v>0</c:v>
                </c:pt>
                <c:pt idx="15">
                  <c:v>-39.19239904988126</c:v>
                </c:pt>
                <c:pt idx="16">
                  <c:v>0</c:v>
                </c:pt>
                <c:pt idx="17">
                  <c:v>-76.722090261282688</c:v>
                </c:pt>
                <c:pt idx="18">
                  <c:v>-53.444180522565375</c:v>
                </c:pt>
                <c:pt idx="20">
                  <c:v>0</c:v>
                </c:pt>
                <c:pt idx="21">
                  <c:v>0</c:v>
                </c:pt>
                <c:pt idx="22">
                  <c:v>0</c:v>
                </c:pt>
                <c:pt idx="23">
                  <c:v>0</c:v>
                </c:pt>
              </c:numCache>
            </c:numRef>
          </c:val>
        </c:ser>
        <c:ser>
          <c:idx val="1"/>
          <c:order val="1"/>
          <c:tx>
            <c:v>   </c:v>
          </c:tx>
          <c:spPr>
            <a:noFill/>
          </c:spPr>
          <c:invertIfNegative val="0"/>
          <c:cat>
            <c:strRef>
              <c:f>'developmental charts'!$B$4:$B$27</c:f>
              <c:strCache>
                <c:ptCount val="24"/>
                <c:pt idx="0">
                  <c:v>URI1</c:v>
                </c:pt>
                <c:pt idx="3">
                  <c:v>URI2</c:v>
                </c:pt>
                <c:pt idx="6">
                  <c:v>URC</c:v>
                </c:pt>
                <c:pt idx="9">
                  <c:v>URP3-B</c:v>
                </c:pt>
                <c:pt idx="10">
                  <c:v>URP3-L</c:v>
                </c:pt>
                <c:pt idx="12">
                  <c:v>URP4-B</c:v>
                </c:pt>
                <c:pt idx="13">
                  <c:v>URP4-L</c:v>
                </c:pt>
                <c:pt idx="15">
                  <c:v>URM1-DB</c:v>
                </c:pt>
                <c:pt idx="16">
                  <c:v>URM1-DL</c:v>
                </c:pt>
                <c:pt idx="17">
                  <c:v>URM1-MB</c:v>
                </c:pt>
                <c:pt idx="18">
                  <c:v>URM1-ML</c:v>
                </c:pt>
                <c:pt idx="20">
                  <c:v>URM2-DB</c:v>
                </c:pt>
                <c:pt idx="21">
                  <c:v>URM2-DL</c:v>
                </c:pt>
                <c:pt idx="22">
                  <c:v>URM2-MB</c:v>
                </c:pt>
                <c:pt idx="23">
                  <c:v>URM2-ML</c:v>
                </c:pt>
              </c:strCache>
            </c:strRef>
          </c:cat>
          <c:val>
            <c:numRef>
              <c:f>'developmental charts'!$F$4:$F$27</c:f>
              <c:numCache>
                <c:formatCode>0</c:formatCode>
                <c:ptCount val="24"/>
                <c:pt idx="0">
                  <c:v>0</c:v>
                </c:pt>
                <c:pt idx="1">
                  <c:v>0</c:v>
                </c:pt>
                <c:pt idx="3">
                  <c:v>158.03482587064673</c:v>
                </c:pt>
                <c:pt idx="4">
                  <c:v>158.03482587064673</c:v>
                </c:pt>
                <c:pt idx="6">
                  <c:v>181.91542288557213</c:v>
                </c:pt>
                <c:pt idx="7">
                  <c:v>181.91542288557213</c:v>
                </c:pt>
                <c:pt idx="9">
                  <c:v>302.13930348258702</c:v>
                </c:pt>
                <c:pt idx="10">
                  <c:v>453.65671641791045</c:v>
                </c:pt>
                <c:pt idx="12">
                  <c:v>313.83084577114425</c:v>
                </c:pt>
                <c:pt idx="13">
                  <c:v>411.46766169154228</c:v>
                </c:pt>
                <c:pt idx="15">
                  <c:v>0</c:v>
                </c:pt>
                <c:pt idx="16">
                  <c:v>12.268408551068887</c:v>
                </c:pt>
                <c:pt idx="17">
                  <c:v>0</c:v>
                </c:pt>
                <c:pt idx="18">
                  <c:v>0</c:v>
                </c:pt>
                <c:pt idx="20">
                  <c:v>303.39667458432302</c:v>
                </c:pt>
                <c:pt idx="21">
                  <c:v>399.57244655581951</c:v>
                </c:pt>
                <c:pt idx="22">
                  <c:v>260.96199524940619</c:v>
                </c:pt>
                <c:pt idx="23">
                  <c:v>254.78622327790973</c:v>
                </c:pt>
              </c:numCache>
            </c:numRef>
          </c:val>
        </c:ser>
        <c:ser>
          <c:idx val="2"/>
          <c:order val="2"/>
          <c:tx>
            <c:v>crown formation</c:v>
          </c:tx>
          <c:invertIfNegative val="0"/>
          <c:cat>
            <c:strRef>
              <c:f>'developmental charts'!$B$4:$B$27</c:f>
              <c:strCache>
                <c:ptCount val="24"/>
                <c:pt idx="0">
                  <c:v>URI1</c:v>
                </c:pt>
                <c:pt idx="3">
                  <c:v>URI2</c:v>
                </c:pt>
                <c:pt idx="6">
                  <c:v>URC</c:v>
                </c:pt>
                <c:pt idx="9">
                  <c:v>URP3-B</c:v>
                </c:pt>
                <c:pt idx="10">
                  <c:v>URP3-L</c:v>
                </c:pt>
                <c:pt idx="12">
                  <c:v>URP4-B</c:v>
                </c:pt>
                <c:pt idx="13">
                  <c:v>URP4-L</c:v>
                </c:pt>
                <c:pt idx="15">
                  <c:v>URM1-DB</c:v>
                </c:pt>
                <c:pt idx="16">
                  <c:v>URM1-DL</c:v>
                </c:pt>
                <c:pt idx="17">
                  <c:v>URM1-MB</c:v>
                </c:pt>
                <c:pt idx="18">
                  <c:v>URM1-ML</c:v>
                </c:pt>
                <c:pt idx="20">
                  <c:v>URM2-DB</c:v>
                </c:pt>
                <c:pt idx="21">
                  <c:v>URM2-DL</c:v>
                </c:pt>
                <c:pt idx="22">
                  <c:v>URM2-MB</c:v>
                </c:pt>
                <c:pt idx="23">
                  <c:v>URM2-ML</c:v>
                </c:pt>
              </c:strCache>
            </c:strRef>
          </c:cat>
          <c:val>
            <c:numRef>
              <c:f>'developmental charts'!$G$4:$G$27</c:f>
              <c:numCache>
                <c:formatCode>0</c:formatCode>
                <c:ptCount val="24"/>
                <c:pt idx="0">
                  <c:v>420</c:v>
                </c:pt>
                <c:pt idx="1">
                  <c:v>420</c:v>
                </c:pt>
                <c:pt idx="3">
                  <c:v>326.96517412935327</c:v>
                </c:pt>
                <c:pt idx="4">
                  <c:v>326.96517412935327</c:v>
                </c:pt>
                <c:pt idx="6">
                  <c:v>303.08457711442787</c:v>
                </c:pt>
                <c:pt idx="7">
                  <c:v>303.08457711442787</c:v>
                </c:pt>
                <c:pt idx="9">
                  <c:v>182.86069651741295</c:v>
                </c:pt>
                <c:pt idx="10">
                  <c:v>31.343283582089555</c:v>
                </c:pt>
                <c:pt idx="12">
                  <c:v>171.16915422885572</c:v>
                </c:pt>
                <c:pt idx="13">
                  <c:v>73.532338308457724</c:v>
                </c:pt>
                <c:pt idx="15">
                  <c:v>420</c:v>
                </c:pt>
                <c:pt idx="16">
                  <c:v>415.66747918945714</c:v>
                </c:pt>
                <c:pt idx="17">
                  <c:v>308.30224350894883</c:v>
                </c:pt>
                <c:pt idx="18">
                  <c:v>408.05970149253733</c:v>
                </c:pt>
                <c:pt idx="20">
                  <c:v>181.60332541567695</c:v>
                </c:pt>
                <c:pt idx="21">
                  <c:v>85.427553444180518</c:v>
                </c:pt>
                <c:pt idx="22">
                  <c:v>224.03800475059381</c:v>
                </c:pt>
                <c:pt idx="23">
                  <c:v>230.21377672209027</c:v>
                </c:pt>
              </c:numCache>
            </c:numRef>
          </c:val>
        </c:ser>
        <c:ser>
          <c:idx val="3"/>
          <c:order val="3"/>
          <c:tx>
            <c:v>root formation</c:v>
          </c:tx>
          <c:invertIfNegative val="0"/>
          <c:cat>
            <c:strRef>
              <c:f>'developmental charts'!$B$4:$B$27</c:f>
              <c:strCache>
                <c:ptCount val="24"/>
                <c:pt idx="0">
                  <c:v>URI1</c:v>
                </c:pt>
                <c:pt idx="3">
                  <c:v>URI2</c:v>
                </c:pt>
                <c:pt idx="6">
                  <c:v>URC</c:v>
                </c:pt>
                <c:pt idx="9">
                  <c:v>URP3-B</c:v>
                </c:pt>
                <c:pt idx="10">
                  <c:v>URP3-L</c:v>
                </c:pt>
                <c:pt idx="12">
                  <c:v>URP4-B</c:v>
                </c:pt>
                <c:pt idx="13">
                  <c:v>URP4-L</c:v>
                </c:pt>
                <c:pt idx="15">
                  <c:v>URM1-DB</c:v>
                </c:pt>
                <c:pt idx="16">
                  <c:v>URM1-DL</c:v>
                </c:pt>
                <c:pt idx="17">
                  <c:v>URM1-MB</c:v>
                </c:pt>
                <c:pt idx="18">
                  <c:v>URM1-ML</c:v>
                </c:pt>
                <c:pt idx="20">
                  <c:v>URM2-DB</c:v>
                </c:pt>
                <c:pt idx="21">
                  <c:v>URM2-DL</c:v>
                </c:pt>
                <c:pt idx="22">
                  <c:v>URM2-MB</c:v>
                </c:pt>
                <c:pt idx="23">
                  <c:v>URM2-ML</c:v>
                </c:pt>
              </c:strCache>
            </c:strRef>
          </c:cat>
          <c:val>
            <c:numRef>
              <c:f>'developmental charts'!$H$4:$H$27</c:f>
              <c:numCache>
                <c:formatCode>0</c:formatCode>
                <c:ptCount val="24"/>
                <c:pt idx="0">
                  <c:v>65</c:v>
                </c:pt>
                <c:pt idx="1">
                  <c:v>65</c:v>
                </c:pt>
                <c:pt idx="3">
                  <c:v>0</c:v>
                </c:pt>
                <c:pt idx="4">
                  <c:v>0</c:v>
                </c:pt>
                <c:pt idx="6">
                  <c:v>0</c:v>
                </c:pt>
                <c:pt idx="7">
                  <c:v>0</c:v>
                </c:pt>
                <c:pt idx="9">
                  <c:v>0</c:v>
                </c:pt>
                <c:pt idx="10">
                  <c:v>0</c:v>
                </c:pt>
                <c:pt idx="12">
                  <c:v>0</c:v>
                </c:pt>
                <c:pt idx="13">
                  <c:v>0</c:v>
                </c:pt>
                <c:pt idx="15">
                  <c:v>65</c:v>
                </c:pt>
                <c:pt idx="16">
                  <c:v>57.064112259473994</c:v>
                </c:pt>
                <c:pt idx="17">
                  <c:v>176.69775649105117</c:v>
                </c:pt>
                <c:pt idx="18">
                  <c:v>76.940298507462686</c:v>
                </c:pt>
                <c:pt idx="20">
                  <c:v>0</c:v>
                </c:pt>
                <c:pt idx="21">
                  <c:v>0</c:v>
                </c:pt>
                <c:pt idx="22">
                  <c:v>0</c:v>
                </c:pt>
                <c:pt idx="23">
                  <c:v>0</c:v>
                </c:pt>
              </c:numCache>
            </c:numRef>
          </c:val>
        </c:ser>
        <c:dLbls>
          <c:showLegendKey val="0"/>
          <c:showVal val="0"/>
          <c:showCatName val="0"/>
          <c:showSerName val="0"/>
          <c:showPercent val="0"/>
          <c:showBubbleSize val="0"/>
        </c:dLbls>
        <c:gapWidth val="0"/>
        <c:overlap val="100"/>
        <c:axId val="85812736"/>
        <c:axId val="85699968"/>
      </c:barChart>
      <c:catAx>
        <c:axId val="85812736"/>
        <c:scaling>
          <c:orientation val="maxMin"/>
        </c:scaling>
        <c:delete val="0"/>
        <c:axPos val="l"/>
        <c:majorTickMark val="out"/>
        <c:minorTickMark val="none"/>
        <c:tickLblPos val="nextTo"/>
        <c:crossAx val="85699968"/>
        <c:crossesAt val="-100"/>
        <c:auto val="0"/>
        <c:lblAlgn val="ctr"/>
        <c:lblOffset val="100"/>
        <c:noMultiLvlLbl val="0"/>
      </c:catAx>
      <c:valAx>
        <c:axId val="85699968"/>
        <c:scaling>
          <c:orientation val="minMax"/>
          <c:max val="500"/>
          <c:min val="-100"/>
        </c:scaling>
        <c:delete val="0"/>
        <c:axPos val="t"/>
        <c:majorGridlines/>
        <c:minorGridlines/>
        <c:numFmt formatCode="0" sourceLinked="1"/>
        <c:majorTickMark val="out"/>
        <c:minorTickMark val="none"/>
        <c:tickLblPos val="nextTo"/>
        <c:crossAx val="85812736"/>
        <c:crosses val="autoZero"/>
        <c:crossBetween val="between"/>
        <c:majorUnit val="100"/>
        <c:minorUnit val="50"/>
      </c:valAx>
    </c:plotArea>
    <c:legend>
      <c:legendPos val="r"/>
      <c:overlay val="0"/>
    </c:legend>
    <c:plotVisOnly val="1"/>
    <c:dispBlanksAs val="gap"/>
    <c:showDLblsOverMax val="0"/>
  </c:chart>
  <c:printSettings>
    <c:headerFooter/>
    <c:pageMargins b="0.75000000000000056" l="0.70000000000000051" r="0.70000000000000051" t="0.75000000000000056" header="0.30000000000000027" footer="0.30000000000000027"/>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770670018797558"/>
          <c:y val="7.9782336125181971E-2"/>
          <c:w val="0.67276815592064299"/>
          <c:h val="0.8597081097346907"/>
        </c:manualLayout>
      </c:layout>
      <c:barChart>
        <c:barDir val="bar"/>
        <c:grouping val="stacked"/>
        <c:varyColors val="0"/>
        <c:ser>
          <c:idx val="0"/>
          <c:order val="0"/>
          <c:tx>
            <c:v>prenatal formation</c:v>
          </c:tx>
          <c:invertIfNegative val="0"/>
          <c:cat>
            <c:strRef>
              <c:f>'developmental charts'!$B$32:$B$55</c:f>
              <c:strCache>
                <c:ptCount val="24"/>
                <c:pt idx="0">
                  <c:v>ULI1</c:v>
                </c:pt>
                <c:pt idx="3">
                  <c:v>ULI2</c:v>
                </c:pt>
                <c:pt idx="6">
                  <c:v>ULC</c:v>
                </c:pt>
                <c:pt idx="9">
                  <c:v>ULP3-1</c:v>
                </c:pt>
                <c:pt idx="10">
                  <c:v>ULP3-2</c:v>
                </c:pt>
                <c:pt idx="12">
                  <c:v>ULP4-1</c:v>
                </c:pt>
                <c:pt idx="13">
                  <c:v>ULP4-2</c:v>
                </c:pt>
                <c:pt idx="15">
                  <c:v>ULM1-DB</c:v>
                </c:pt>
                <c:pt idx="16">
                  <c:v>ULM1-DL</c:v>
                </c:pt>
                <c:pt idx="17">
                  <c:v>ULM1-MB</c:v>
                </c:pt>
                <c:pt idx="18">
                  <c:v>ULM1-ML</c:v>
                </c:pt>
                <c:pt idx="20">
                  <c:v>ULM2-DB</c:v>
                </c:pt>
                <c:pt idx="21">
                  <c:v>ULM2-DL</c:v>
                </c:pt>
                <c:pt idx="22">
                  <c:v>ULM2-MB</c:v>
                </c:pt>
                <c:pt idx="23">
                  <c:v>ULM2-ML</c:v>
                </c:pt>
              </c:strCache>
            </c:strRef>
          </c:cat>
          <c:val>
            <c:numRef>
              <c:f>'developmental charts'!$E$32:$E$55</c:f>
              <c:numCache>
                <c:formatCode>0</c:formatCode>
                <c:ptCount val="24"/>
                <c:pt idx="0">
                  <c:v>-17.577197149643723</c:v>
                </c:pt>
                <c:pt idx="1">
                  <c:v>-17.577197149643723</c:v>
                </c:pt>
                <c:pt idx="3">
                  <c:v>0</c:v>
                </c:pt>
                <c:pt idx="4">
                  <c:v>0</c:v>
                </c:pt>
                <c:pt idx="6">
                  <c:v>0</c:v>
                </c:pt>
                <c:pt idx="7">
                  <c:v>0</c:v>
                </c:pt>
                <c:pt idx="9">
                  <c:v>0</c:v>
                </c:pt>
                <c:pt idx="10">
                  <c:v>0</c:v>
                </c:pt>
                <c:pt idx="12">
                  <c:v>0</c:v>
                </c:pt>
                <c:pt idx="13">
                  <c:v>0</c:v>
                </c:pt>
                <c:pt idx="15">
                  <c:v>-45.368171021377634</c:v>
                </c:pt>
                <c:pt idx="16">
                  <c:v>0</c:v>
                </c:pt>
                <c:pt idx="17">
                  <c:v>-73.871733966745865</c:v>
                </c:pt>
                <c:pt idx="18">
                  <c:v>-55.819477434679357</c:v>
                </c:pt>
                <c:pt idx="20">
                  <c:v>0</c:v>
                </c:pt>
                <c:pt idx="21">
                  <c:v>0</c:v>
                </c:pt>
                <c:pt idx="22">
                  <c:v>0</c:v>
                </c:pt>
                <c:pt idx="23">
                  <c:v>0</c:v>
                </c:pt>
              </c:numCache>
            </c:numRef>
          </c:val>
        </c:ser>
        <c:ser>
          <c:idx val="1"/>
          <c:order val="1"/>
          <c:tx>
            <c:v>   </c:v>
          </c:tx>
          <c:spPr>
            <a:noFill/>
          </c:spPr>
          <c:invertIfNegative val="0"/>
          <c:cat>
            <c:strRef>
              <c:f>'developmental charts'!$B$32:$B$55</c:f>
              <c:strCache>
                <c:ptCount val="24"/>
                <c:pt idx="0">
                  <c:v>ULI1</c:v>
                </c:pt>
                <c:pt idx="3">
                  <c:v>ULI2</c:v>
                </c:pt>
                <c:pt idx="6">
                  <c:v>ULC</c:v>
                </c:pt>
                <c:pt idx="9">
                  <c:v>ULP3-1</c:v>
                </c:pt>
                <c:pt idx="10">
                  <c:v>ULP3-2</c:v>
                </c:pt>
                <c:pt idx="12">
                  <c:v>ULP4-1</c:v>
                </c:pt>
                <c:pt idx="13">
                  <c:v>ULP4-2</c:v>
                </c:pt>
                <c:pt idx="15">
                  <c:v>ULM1-DB</c:v>
                </c:pt>
                <c:pt idx="16">
                  <c:v>ULM1-DL</c:v>
                </c:pt>
                <c:pt idx="17">
                  <c:v>ULM1-MB</c:v>
                </c:pt>
                <c:pt idx="18">
                  <c:v>ULM1-ML</c:v>
                </c:pt>
                <c:pt idx="20">
                  <c:v>ULM2-DB</c:v>
                </c:pt>
                <c:pt idx="21">
                  <c:v>ULM2-DL</c:v>
                </c:pt>
                <c:pt idx="22">
                  <c:v>ULM2-MB</c:v>
                </c:pt>
                <c:pt idx="23">
                  <c:v>ULM2-ML</c:v>
                </c:pt>
              </c:strCache>
            </c:strRef>
          </c:cat>
          <c:val>
            <c:numRef>
              <c:f>'developmental charts'!$F$32:$F$55</c:f>
              <c:numCache>
                <c:formatCode>0</c:formatCode>
                <c:ptCount val="24"/>
                <c:pt idx="0">
                  <c:v>0</c:v>
                </c:pt>
                <c:pt idx="1">
                  <c:v>0</c:v>
                </c:pt>
                <c:pt idx="3">
                  <c:v>172.9601990049751</c:v>
                </c:pt>
                <c:pt idx="4">
                  <c:v>172.9601990049751</c:v>
                </c:pt>
                <c:pt idx="6">
                  <c:v>180.67164179104475</c:v>
                </c:pt>
                <c:pt idx="7">
                  <c:v>180.67164179104475</c:v>
                </c:pt>
                <c:pt idx="9">
                  <c:v>346.59203980099505</c:v>
                </c:pt>
                <c:pt idx="10">
                  <c:v>452.91044776119401</c:v>
                </c:pt>
                <c:pt idx="12">
                  <c:v>327.51243781094524</c:v>
                </c:pt>
                <c:pt idx="13">
                  <c:v>427.63681592039802</c:v>
                </c:pt>
                <c:pt idx="15">
                  <c:v>0</c:v>
                </c:pt>
                <c:pt idx="16">
                  <c:v>20.344418052256515</c:v>
                </c:pt>
                <c:pt idx="17">
                  <c:v>0</c:v>
                </c:pt>
                <c:pt idx="18">
                  <c:v>0</c:v>
                </c:pt>
                <c:pt idx="20">
                  <c:v>303.39667458432302</c:v>
                </c:pt>
                <c:pt idx="21">
                  <c:v>407.41092636579572</c:v>
                </c:pt>
                <c:pt idx="22">
                  <c:v>241.24703087885985</c:v>
                </c:pt>
                <c:pt idx="23">
                  <c:v>258.82422802850357</c:v>
                </c:pt>
              </c:numCache>
            </c:numRef>
          </c:val>
        </c:ser>
        <c:ser>
          <c:idx val="2"/>
          <c:order val="2"/>
          <c:tx>
            <c:v>crown formation</c:v>
          </c:tx>
          <c:invertIfNegative val="0"/>
          <c:cat>
            <c:strRef>
              <c:f>'developmental charts'!$B$32:$B$55</c:f>
              <c:strCache>
                <c:ptCount val="24"/>
                <c:pt idx="0">
                  <c:v>ULI1</c:v>
                </c:pt>
                <c:pt idx="3">
                  <c:v>ULI2</c:v>
                </c:pt>
                <c:pt idx="6">
                  <c:v>ULC</c:v>
                </c:pt>
                <c:pt idx="9">
                  <c:v>ULP3-1</c:v>
                </c:pt>
                <c:pt idx="10">
                  <c:v>ULP3-2</c:v>
                </c:pt>
                <c:pt idx="12">
                  <c:v>ULP4-1</c:v>
                </c:pt>
                <c:pt idx="13">
                  <c:v>ULP4-2</c:v>
                </c:pt>
                <c:pt idx="15">
                  <c:v>ULM1-DB</c:v>
                </c:pt>
                <c:pt idx="16">
                  <c:v>ULM1-DL</c:v>
                </c:pt>
                <c:pt idx="17">
                  <c:v>ULM1-MB</c:v>
                </c:pt>
                <c:pt idx="18">
                  <c:v>ULM1-ML</c:v>
                </c:pt>
                <c:pt idx="20">
                  <c:v>ULM2-DB</c:v>
                </c:pt>
                <c:pt idx="21">
                  <c:v>ULM2-DL</c:v>
                </c:pt>
                <c:pt idx="22">
                  <c:v>ULM2-MB</c:v>
                </c:pt>
                <c:pt idx="23">
                  <c:v>ULM2-ML</c:v>
                </c:pt>
              </c:strCache>
            </c:strRef>
          </c:cat>
          <c:val>
            <c:numRef>
              <c:f>'developmental charts'!$G$32:$G$55</c:f>
              <c:numCache>
                <c:formatCode>0</c:formatCode>
                <c:ptCount val="24"/>
                <c:pt idx="0">
                  <c:v>420</c:v>
                </c:pt>
                <c:pt idx="1">
                  <c:v>420</c:v>
                </c:pt>
                <c:pt idx="3">
                  <c:v>312.0398009950249</c:v>
                </c:pt>
                <c:pt idx="4">
                  <c:v>312.0398009950249</c:v>
                </c:pt>
                <c:pt idx="6">
                  <c:v>304.32835820895525</c:v>
                </c:pt>
                <c:pt idx="7">
                  <c:v>304.32835820895525</c:v>
                </c:pt>
                <c:pt idx="9">
                  <c:v>138.40796019900498</c:v>
                </c:pt>
                <c:pt idx="10">
                  <c:v>32.089552238805972</c:v>
                </c:pt>
                <c:pt idx="12">
                  <c:v>157.48756218905473</c:v>
                </c:pt>
                <c:pt idx="13">
                  <c:v>57.363184079601993</c:v>
                </c:pt>
                <c:pt idx="15">
                  <c:v>410.04975124378109</c:v>
                </c:pt>
                <c:pt idx="16">
                  <c:v>424.54466689858793</c:v>
                </c:pt>
                <c:pt idx="17">
                  <c:v>311.62297285942361</c:v>
                </c:pt>
                <c:pt idx="18">
                  <c:v>420</c:v>
                </c:pt>
                <c:pt idx="20">
                  <c:v>181.60332541567695</c:v>
                </c:pt>
                <c:pt idx="21">
                  <c:v>77.589073634204283</c:v>
                </c:pt>
                <c:pt idx="22">
                  <c:v>243.75296912114015</c:v>
                </c:pt>
                <c:pt idx="23">
                  <c:v>226.17577197149643</c:v>
                </c:pt>
              </c:numCache>
            </c:numRef>
          </c:val>
        </c:ser>
        <c:ser>
          <c:idx val="3"/>
          <c:order val="3"/>
          <c:tx>
            <c:v>root formation</c:v>
          </c:tx>
          <c:invertIfNegative val="0"/>
          <c:cat>
            <c:strRef>
              <c:f>'developmental charts'!$B$32:$B$55</c:f>
              <c:strCache>
                <c:ptCount val="24"/>
                <c:pt idx="0">
                  <c:v>ULI1</c:v>
                </c:pt>
                <c:pt idx="3">
                  <c:v>ULI2</c:v>
                </c:pt>
                <c:pt idx="6">
                  <c:v>ULC</c:v>
                </c:pt>
                <c:pt idx="9">
                  <c:v>ULP3-1</c:v>
                </c:pt>
                <c:pt idx="10">
                  <c:v>ULP3-2</c:v>
                </c:pt>
                <c:pt idx="12">
                  <c:v>ULP4-1</c:v>
                </c:pt>
                <c:pt idx="13">
                  <c:v>ULP4-2</c:v>
                </c:pt>
                <c:pt idx="15">
                  <c:v>ULM1-DB</c:v>
                </c:pt>
                <c:pt idx="16">
                  <c:v>ULM1-DL</c:v>
                </c:pt>
                <c:pt idx="17">
                  <c:v>ULM1-MB</c:v>
                </c:pt>
                <c:pt idx="18">
                  <c:v>ULM1-ML</c:v>
                </c:pt>
                <c:pt idx="20">
                  <c:v>ULM2-DB</c:v>
                </c:pt>
                <c:pt idx="21">
                  <c:v>ULM2-DL</c:v>
                </c:pt>
                <c:pt idx="22">
                  <c:v>ULM2-MB</c:v>
                </c:pt>
                <c:pt idx="23">
                  <c:v>ULM2-ML</c:v>
                </c:pt>
              </c:strCache>
            </c:strRef>
          </c:cat>
          <c:val>
            <c:numRef>
              <c:f>'developmental charts'!$H$32:$H$55</c:f>
              <c:numCache>
                <c:formatCode>0</c:formatCode>
                <c:ptCount val="24"/>
                <c:pt idx="0">
                  <c:v>65</c:v>
                </c:pt>
                <c:pt idx="1">
                  <c:v>65</c:v>
                </c:pt>
                <c:pt idx="3">
                  <c:v>0</c:v>
                </c:pt>
                <c:pt idx="4">
                  <c:v>0</c:v>
                </c:pt>
                <c:pt idx="6">
                  <c:v>0</c:v>
                </c:pt>
                <c:pt idx="7">
                  <c:v>0</c:v>
                </c:pt>
                <c:pt idx="9">
                  <c:v>0</c:v>
                </c:pt>
                <c:pt idx="10">
                  <c:v>0</c:v>
                </c:pt>
                <c:pt idx="12">
                  <c:v>0</c:v>
                </c:pt>
                <c:pt idx="13">
                  <c:v>0</c:v>
                </c:pt>
                <c:pt idx="15">
                  <c:v>74.950248756218912</c:v>
                </c:pt>
                <c:pt idx="16">
                  <c:v>40.110915049155537</c:v>
                </c:pt>
                <c:pt idx="17">
                  <c:v>173.37702714057642</c:v>
                </c:pt>
                <c:pt idx="18">
                  <c:v>65</c:v>
                </c:pt>
                <c:pt idx="20">
                  <c:v>0</c:v>
                </c:pt>
                <c:pt idx="21">
                  <c:v>0</c:v>
                </c:pt>
                <c:pt idx="22">
                  <c:v>0</c:v>
                </c:pt>
                <c:pt idx="23">
                  <c:v>0</c:v>
                </c:pt>
              </c:numCache>
            </c:numRef>
          </c:val>
        </c:ser>
        <c:dLbls>
          <c:showLegendKey val="0"/>
          <c:showVal val="0"/>
          <c:showCatName val="0"/>
          <c:showSerName val="0"/>
          <c:showPercent val="0"/>
          <c:showBubbleSize val="0"/>
        </c:dLbls>
        <c:gapWidth val="0"/>
        <c:overlap val="100"/>
        <c:axId val="93263872"/>
        <c:axId val="85699392"/>
      </c:barChart>
      <c:catAx>
        <c:axId val="93263872"/>
        <c:scaling>
          <c:orientation val="maxMin"/>
        </c:scaling>
        <c:delete val="0"/>
        <c:axPos val="l"/>
        <c:majorTickMark val="out"/>
        <c:minorTickMark val="none"/>
        <c:tickLblPos val="nextTo"/>
        <c:crossAx val="85699392"/>
        <c:crossesAt val="-100"/>
        <c:auto val="0"/>
        <c:lblAlgn val="ctr"/>
        <c:lblOffset val="100"/>
        <c:noMultiLvlLbl val="0"/>
      </c:catAx>
      <c:valAx>
        <c:axId val="85699392"/>
        <c:scaling>
          <c:orientation val="minMax"/>
          <c:max val="500"/>
          <c:min val="-100"/>
        </c:scaling>
        <c:delete val="0"/>
        <c:axPos val="t"/>
        <c:majorGridlines/>
        <c:minorGridlines/>
        <c:numFmt formatCode="0" sourceLinked="1"/>
        <c:majorTickMark val="out"/>
        <c:minorTickMark val="none"/>
        <c:tickLblPos val="nextTo"/>
        <c:crossAx val="93263872"/>
        <c:crosses val="autoZero"/>
        <c:crossBetween val="between"/>
        <c:majorUnit val="100"/>
        <c:minorUnit val="50"/>
      </c:valAx>
    </c:plotArea>
    <c:legend>
      <c:legendPos val="r"/>
      <c:overlay val="0"/>
    </c:legend>
    <c:plotVisOnly val="1"/>
    <c:dispBlanksAs val="gap"/>
    <c:showDLblsOverMax val="0"/>
  </c:chart>
  <c:printSettings>
    <c:headerFooter/>
    <c:pageMargins b="0.75000000000000089" l="0.70000000000000062" r="0.70000000000000062" t="0.75000000000000089"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770670018797564"/>
          <c:y val="7.9782336125182013E-2"/>
          <c:w val="0.67276815592064299"/>
          <c:h val="0.8597081097346907"/>
        </c:manualLayout>
      </c:layout>
      <c:barChart>
        <c:barDir val="bar"/>
        <c:grouping val="stacked"/>
        <c:varyColors val="0"/>
        <c:ser>
          <c:idx val="0"/>
          <c:order val="0"/>
          <c:tx>
            <c:v>prenatal formation</c:v>
          </c:tx>
          <c:invertIfNegative val="0"/>
          <c:cat>
            <c:strRef>
              <c:f>'developmental charts'!$B$32:$B$55</c:f>
              <c:strCache>
                <c:ptCount val="24"/>
                <c:pt idx="0">
                  <c:v>ULI1</c:v>
                </c:pt>
                <c:pt idx="3">
                  <c:v>ULI2</c:v>
                </c:pt>
                <c:pt idx="6">
                  <c:v>ULC</c:v>
                </c:pt>
                <c:pt idx="9">
                  <c:v>ULP3-1</c:v>
                </c:pt>
                <c:pt idx="10">
                  <c:v>ULP3-2</c:v>
                </c:pt>
                <c:pt idx="12">
                  <c:v>ULP4-1</c:v>
                </c:pt>
                <c:pt idx="13">
                  <c:v>ULP4-2</c:v>
                </c:pt>
                <c:pt idx="15">
                  <c:v>ULM1-DB</c:v>
                </c:pt>
                <c:pt idx="16">
                  <c:v>ULM1-DL</c:v>
                </c:pt>
                <c:pt idx="17">
                  <c:v>ULM1-MB</c:v>
                </c:pt>
                <c:pt idx="18">
                  <c:v>ULM1-ML</c:v>
                </c:pt>
                <c:pt idx="20">
                  <c:v>ULM2-DB</c:v>
                </c:pt>
                <c:pt idx="21">
                  <c:v>ULM2-DL</c:v>
                </c:pt>
                <c:pt idx="22">
                  <c:v>ULM2-MB</c:v>
                </c:pt>
                <c:pt idx="23">
                  <c:v>ULM2-ML</c:v>
                </c:pt>
              </c:strCache>
            </c:strRef>
          </c:cat>
          <c:val>
            <c:numRef>
              <c:f>'developmental charts'!$E$32:$E$55</c:f>
              <c:numCache>
                <c:formatCode>0</c:formatCode>
                <c:ptCount val="24"/>
                <c:pt idx="0">
                  <c:v>-17.577197149643723</c:v>
                </c:pt>
                <c:pt idx="1">
                  <c:v>-17.577197149643723</c:v>
                </c:pt>
                <c:pt idx="3">
                  <c:v>0</c:v>
                </c:pt>
                <c:pt idx="4">
                  <c:v>0</c:v>
                </c:pt>
                <c:pt idx="6">
                  <c:v>0</c:v>
                </c:pt>
                <c:pt idx="7">
                  <c:v>0</c:v>
                </c:pt>
                <c:pt idx="9">
                  <c:v>0</c:v>
                </c:pt>
                <c:pt idx="10">
                  <c:v>0</c:v>
                </c:pt>
                <c:pt idx="12">
                  <c:v>0</c:v>
                </c:pt>
                <c:pt idx="13">
                  <c:v>0</c:v>
                </c:pt>
                <c:pt idx="15">
                  <c:v>-45.368171021377634</c:v>
                </c:pt>
                <c:pt idx="16">
                  <c:v>0</c:v>
                </c:pt>
                <c:pt idx="17">
                  <c:v>-73.871733966745865</c:v>
                </c:pt>
                <c:pt idx="18">
                  <c:v>-55.819477434679357</c:v>
                </c:pt>
                <c:pt idx="20">
                  <c:v>0</c:v>
                </c:pt>
                <c:pt idx="21">
                  <c:v>0</c:v>
                </c:pt>
                <c:pt idx="22">
                  <c:v>0</c:v>
                </c:pt>
                <c:pt idx="23">
                  <c:v>0</c:v>
                </c:pt>
              </c:numCache>
            </c:numRef>
          </c:val>
        </c:ser>
        <c:ser>
          <c:idx val="1"/>
          <c:order val="1"/>
          <c:tx>
            <c:v>   </c:v>
          </c:tx>
          <c:spPr>
            <a:noFill/>
          </c:spPr>
          <c:invertIfNegative val="0"/>
          <c:cat>
            <c:strRef>
              <c:f>'developmental charts'!$B$32:$B$55</c:f>
              <c:strCache>
                <c:ptCount val="24"/>
                <c:pt idx="0">
                  <c:v>ULI1</c:v>
                </c:pt>
                <c:pt idx="3">
                  <c:v>ULI2</c:v>
                </c:pt>
                <c:pt idx="6">
                  <c:v>ULC</c:v>
                </c:pt>
                <c:pt idx="9">
                  <c:v>ULP3-1</c:v>
                </c:pt>
                <c:pt idx="10">
                  <c:v>ULP3-2</c:v>
                </c:pt>
                <c:pt idx="12">
                  <c:v>ULP4-1</c:v>
                </c:pt>
                <c:pt idx="13">
                  <c:v>ULP4-2</c:v>
                </c:pt>
                <c:pt idx="15">
                  <c:v>ULM1-DB</c:v>
                </c:pt>
                <c:pt idx="16">
                  <c:v>ULM1-DL</c:v>
                </c:pt>
                <c:pt idx="17">
                  <c:v>ULM1-MB</c:v>
                </c:pt>
                <c:pt idx="18">
                  <c:v>ULM1-ML</c:v>
                </c:pt>
                <c:pt idx="20">
                  <c:v>ULM2-DB</c:v>
                </c:pt>
                <c:pt idx="21">
                  <c:v>ULM2-DL</c:v>
                </c:pt>
                <c:pt idx="22">
                  <c:v>ULM2-MB</c:v>
                </c:pt>
                <c:pt idx="23">
                  <c:v>ULM2-ML</c:v>
                </c:pt>
              </c:strCache>
            </c:strRef>
          </c:cat>
          <c:val>
            <c:numRef>
              <c:f>'developmental charts'!$F$32:$F$55</c:f>
              <c:numCache>
                <c:formatCode>0</c:formatCode>
                <c:ptCount val="24"/>
                <c:pt idx="0">
                  <c:v>0</c:v>
                </c:pt>
                <c:pt idx="1">
                  <c:v>0</c:v>
                </c:pt>
                <c:pt idx="3">
                  <c:v>172.9601990049751</c:v>
                </c:pt>
                <c:pt idx="4">
                  <c:v>172.9601990049751</c:v>
                </c:pt>
                <c:pt idx="6">
                  <c:v>180.67164179104475</c:v>
                </c:pt>
                <c:pt idx="7">
                  <c:v>180.67164179104475</c:v>
                </c:pt>
                <c:pt idx="9">
                  <c:v>346.59203980099505</c:v>
                </c:pt>
                <c:pt idx="10">
                  <c:v>452.91044776119401</c:v>
                </c:pt>
                <c:pt idx="12">
                  <c:v>327.51243781094524</c:v>
                </c:pt>
                <c:pt idx="13">
                  <c:v>427.63681592039802</c:v>
                </c:pt>
                <c:pt idx="15">
                  <c:v>0</c:v>
                </c:pt>
                <c:pt idx="16">
                  <c:v>20.344418052256515</c:v>
                </c:pt>
                <c:pt idx="17">
                  <c:v>0</c:v>
                </c:pt>
                <c:pt idx="18">
                  <c:v>0</c:v>
                </c:pt>
                <c:pt idx="20">
                  <c:v>303.39667458432302</c:v>
                </c:pt>
                <c:pt idx="21">
                  <c:v>407.41092636579572</c:v>
                </c:pt>
                <c:pt idx="22">
                  <c:v>241.24703087885985</c:v>
                </c:pt>
                <c:pt idx="23">
                  <c:v>258.82422802850357</c:v>
                </c:pt>
              </c:numCache>
            </c:numRef>
          </c:val>
        </c:ser>
        <c:ser>
          <c:idx val="2"/>
          <c:order val="2"/>
          <c:tx>
            <c:v>crown formation</c:v>
          </c:tx>
          <c:invertIfNegative val="0"/>
          <c:cat>
            <c:strRef>
              <c:f>'developmental charts'!$B$32:$B$55</c:f>
              <c:strCache>
                <c:ptCount val="24"/>
                <c:pt idx="0">
                  <c:v>ULI1</c:v>
                </c:pt>
                <c:pt idx="3">
                  <c:v>ULI2</c:v>
                </c:pt>
                <c:pt idx="6">
                  <c:v>ULC</c:v>
                </c:pt>
                <c:pt idx="9">
                  <c:v>ULP3-1</c:v>
                </c:pt>
                <c:pt idx="10">
                  <c:v>ULP3-2</c:v>
                </c:pt>
                <c:pt idx="12">
                  <c:v>ULP4-1</c:v>
                </c:pt>
                <c:pt idx="13">
                  <c:v>ULP4-2</c:v>
                </c:pt>
                <c:pt idx="15">
                  <c:v>ULM1-DB</c:v>
                </c:pt>
                <c:pt idx="16">
                  <c:v>ULM1-DL</c:v>
                </c:pt>
                <c:pt idx="17">
                  <c:v>ULM1-MB</c:v>
                </c:pt>
                <c:pt idx="18">
                  <c:v>ULM1-ML</c:v>
                </c:pt>
                <c:pt idx="20">
                  <c:v>ULM2-DB</c:v>
                </c:pt>
                <c:pt idx="21">
                  <c:v>ULM2-DL</c:v>
                </c:pt>
                <c:pt idx="22">
                  <c:v>ULM2-MB</c:v>
                </c:pt>
                <c:pt idx="23">
                  <c:v>ULM2-ML</c:v>
                </c:pt>
              </c:strCache>
            </c:strRef>
          </c:cat>
          <c:val>
            <c:numRef>
              <c:f>'developmental charts'!$G$32:$G$55</c:f>
              <c:numCache>
                <c:formatCode>0</c:formatCode>
                <c:ptCount val="24"/>
                <c:pt idx="0">
                  <c:v>420</c:v>
                </c:pt>
                <c:pt idx="1">
                  <c:v>420</c:v>
                </c:pt>
                <c:pt idx="3">
                  <c:v>312.0398009950249</c:v>
                </c:pt>
                <c:pt idx="4">
                  <c:v>312.0398009950249</c:v>
                </c:pt>
                <c:pt idx="6">
                  <c:v>304.32835820895525</c:v>
                </c:pt>
                <c:pt idx="7">
                  <c:v>304.32835820895525</c:v>
                </c:pt>
                <c:pt idx="9">
                  <c:v>138.40796019900498</c:v>
                </c:pt>
                <c:pt idx="10">
                  <c:v>32.089552238805972</c:v>
                </c:pt>
                <c:pt idx="12">
                  <c:v>157.48756218905473</c:v>
                </c:pt>
                <c:pt idx="13">
                  <c:v>57.363184079601993</c:v>
                </c:pt>
                <c:pt idx="15">
                  <c:v>410.04975124378109</c:v>
                </c:pt>
                <c:pt idx="16">
                  <c:v>424.54466689858793</c:v>
                </c:pt>
                <c:pt idx="17">
                  <c:v>311.62297285942361</c:v>
                </c:pt>
                <c:pt idx="18">
                  <c:v>420</c:v>
                </c:pt>
                <c:pt idx="20">
                  <c:v>181.60332541567695</c:v>
                </c:pt>
                <c:pt idx="21">
                  <c:v>77.589073634204283</c:v>
                </c:pt>
                <c:pt idx="22">
                  <c:v>243.75296912114015</c:v>
                </c:pt>
                <c:pt idx="23">
                  <c:v>226.17577197149643</c:v>
                </c:pt>
              </c:numCache>
            </c:numRef>
          </c:val>
        </c:ser>
        <c:ser>
          <c:idx val="3"/>
          <c:order val="3"/>
          <c:tx>
            <c:v>root formation</c:v>
          </c:tx>
          <c:invertIfNegative val="0"/>
          <c:cat>
            <c:strRef>
              <c:f>'developmental charts'!$B$32:$B$55</c:f>
              <c:strCache>
                <c:ptCount val="24"/>
                <c:pt idx="0">
                  <c:v>ULI1</c:v>
                </c:pt>
                <c:pt idx="3">
                  <c:v>ULI2</c:v>
                </c:pt>
                <c:pt idx="6">
                  <c:v>ULC</c:v>
                </c:pt>
                <c:pt idx="9">
                  <c:v>ULP3-1</c:v>
                </c:pt>
                <c:pt idx="10">
                  <c:v>ULP3-2</c:v>
                </c:pt>
                <c:pt idx="12">
                  <c:v>ULP4-1</c:v>
                </c:pt>
                <c:pt idx="13">
                  <c:v>ULP4-2</c:v>
                </c:pt>
                <c:pt idx="15">
                  <c:v>ULM1-DB</c:v>
                </c:pt>
                <c:pt idx="16">
                  <c:v>ULM1-DL</c:v>
                </c:pt>
                <c:pt idx="17">
                  <c:v>ULM1-MB</c:v>
                </c:pt>
                <c:pt idx="18">
                  <c:v>ULM1-ML</c:v>
                </c:pt>
                <c:pt idx="20">
                  <c:v>ULM2-DB</c:v>
                </c:pt>
                <c:pt idx="21">
                  <c:v>ULM2-DL</c:v>
                </c:pt>
                <c:pt idx="22">
                  <c:v>ULM2-MB</c:v>
                </c:pt>
                <c:pt idx="23">
                  <c:v>ULM2-ML</c:v>
                </c:pt>
              </c:strCache>
            </c:strRef>
          </c:cat>
          <c:val>
            <c:numRef>
              <c:f>'developmental charts'!$H$32:$H$55</c:f>
              <c:numCache>
                <c:formatCode>0</c:formatCode>
                <c:ptCount val="24"/>
                <c:pt idx="0">
                  <c:v>65</c:v>
                </c:pt>
                <c:pt idx="1">
                  <c:v>65</c:v>
                </c:pt>
                <c:pt idx="3">
                  <c:v>0</c:v>
                </c:pt>
                <c:pt idx="4">
                  <c:v>0</c:v>
                </c:pt>
                <c:pt idx="6">
                  <c:v>0</c:v>
                </c:pt>
                <c:pt idx="7">
                  <c:v>0</c:v>
                </c:pt>
                <c:pt idx="9">
                  <c:v>0</c:v>
                </c:pt>
                <c:pt idx="10">
                  <c:v>0</c:v>
                </c:pt>
                <c:pt idx="12">
                  <c:v>0</c:v>
                </c:pt>
                <c:pt idx="13">
                  <c:v>0</c:v>
                </c:pt>
                <c:pt idx="15">
                  <c:v>74.950248756218912</c:v>
                </c:pt>
                <c:pt idx="16">
                  <c:v>40.110915049155537</c:v>
                </c:pt>
                <c:pt idx="17">
                  <c:v>173.37702714057642</c:v>
                </c:pt>
                <c:pt idx="18">
                  <c:v>65</c:v>
                </c:pt>
                <c:pt idx="20">
                  <c:v>0</c:v>
                </c:pt>
                <c:pt idx="21">
                  <c:v>0</c:v>
                </c:pt>
                <c:pt idx="22">
                  <c:v>0</c:v>
                </c:pt>
                <c:pt idx="23">
                  <c:v>0</c:v>
                </c:pt>
              </c:numCache>
            </c:numRef>
          </c:val>
        </c:ser>
        <c:dLbls>
          <c:showLegendKey val="0"/>
          <c:showVal val="0"/>
          <c:showCatName val="0"/>
          <c:showSerName val="0"/>
          <c:showPercent val="0"/>
          <c:showBubbleSize val="0"/>
        </c:dLbls>
        <c:gapWidth val="0"/>
        <c:overlap val="100"/>
        <c:axId val="93264384"/>
        <c:axId val="87842816"/>
      </c:barChart>
      <c:catAx>
        <c:axId val="93264384"/>
        <c:scaling>
          <c:orientation val="maxMin"/>
        </c:scaling>
        <c:delete val="0"/>
        <c:axPos val="l"/>
        <c:majorTickMark val="out"/>
        <c:minorTickMark val="none"/>
        <c:tickLblPos val="nextTo"/>
        <c:crossAx val="87842816"/>
        <c:crossesAt val="-100"/>
        <c:auto val="0"/>
        <c:lblAlgn val="ctr"/>
        <c:lblOffset val="100"/>
        <c:noMultiLvlLbl val="0"/>
      </c:catAx>
      <c:valAx>
        <c:axId val="87842816"/>
        <c:scaling>
          <c:orientation val="minMax"/>
          <c:max val="500"/>
          <c:min val="-100"/>
        </c:scaling>
        <c:delete val="0"/>
        <c:axPos val="t"/>
        <c:majorGridlines/>
        <c:minorGridlines/>
        <c:numFmt formatCode="0" sourceLinked="1"/>
        <c:majorTickMark val="out"/>
        <c:minorTickMark val="none"/>
        <c:tickLblPos val="nextTo"/>
        <c:crossAx val="93264384"/>
        <c:crosses val="autoZero"/>
        <c:crossBetween val="between"/>
        <c:majorUnit val="100"/>
        <c:minorUnit val="50"/>
      </c:valAx>
    </c:plotArea>
    <c:legend>
      <c:legendPos val="r"/>
      <c:overlay val="0"/>
    </c:legend>
    <c:plotVisOnly val="1"/>
    <c:dispBlanksAs val="gap"/>
    <c:showDLblsOverMax val="0"/>
  </c:chart>
  <c:printSettings>
    <c:headerFooter/>
    <c:pageMargins b="0.75000000000000111" l="0.70000000000000062" r="0.70000000000000062" t="0.750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9</xdr:col>
      <xdr:colOff>352214</xdr:colOff>
      <xdr:row>3</xdr:row>
      <xdr:rowOff>0</xdr:rowOff>
    </xdr:from>
    <xdr:to>
      <xdr:col>20</xdr:col>
      <xdr:colOff>519854</xdr:colOff>
      <xdr:row>27</xdr:row>
      <xdr:rowOff>8467</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355600</xdr:colOff>
      <xdr:row>31</xdr:row>
      <xdr:rowOff>8466</xdr:rowOff>
    </xdr:from>
    <xdr:to>
      <xdr:col>20</xdr:col>
      <xdr:colOff>523240</xdr:colOff>
      <xdr:row>55</xdr:row>
      <xdr:rowOff>0</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355600</xdr:colOff>
      <xdr:row>59</xdr:row>
      <xdr:rowOff>8466</xdr:rowOff>
    </xdr:from>
    <xdr:to>
      <xdr:col>20</xdr:col>
      <xdr:colOff>523240</xdr:colOff>
      <xdr:row>83</xdr:row>
      <xdr:rowOff>0</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0.21976</cdr:x>
      <cdr:y>0.07632</cdr:y>
    </cdr:from>
    <cdr:to>
      <cdr:x>0.21976</cdr:x>
      <cdr:y>1</cdr:y>
    </cdr:to>
    <cdr:sp macro="" textlink="">
      <cdr:nvSpPr>
        <cdr:cNvPr id="5" name="Straight Connector 4"/>
        <cdr:cNvSpPr/>
      </cdr:nvSpPr>
      <cdr:spPr>
        <a:xfrm xmlns:a="http://schemas.openxmlformats.org/drawingml/2006/main">
          <a:off x="1510453" y="330505"/>
          <a:ext cx="0" cy="3949344"/>
        </a:xfrm>
        <a:prstGeom xmlns:a="http://schemas.openxmlformats.org/drawingml/2006/main" prst="line">
          <a:avLst/>
        </a:prstGeom>
        <a:ln xmlns:a="http://schemas.openxmlformats.org/drawingml/2006/main" w="28575">
          <a:solidFill>
            <a:srgbClr val="FF00FF"/>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dr:relSizeAnchor xmlns:cdr="http://schemas.openxmlformats.org/drawingml/2006/chartDrawing">
    <cdr:from>
      <cdr:x>0.51717</cdr:x>
      <cdr:y>0.07632</cdr:y>
    </cdr:from>
    <cdr:to>
      <cdr:x>0.51717</cdr:x>
      <cdr:y>1</cdr:y>
    </cdr:to>
    <cdr:sp macro="" textlink="">
      <cdr:nvSpPr>
        <cdr:cNvPr id="7" name="Straight Connector 6"/>
        <cdr:cNvSpPr/>
      </cdr:nvSpPr>
      <cdr:spPr>
        <a:xfrm xmlns:a="http://schemas.openxmlformats.org/drawingml/2006/main">
          <a:off x="3554614" y="327388"/>
          <a:ext cx="0" cy="3949344"/>
        </a:xfrm>
        <a:prstGeom xmlns:a="http://schemas.openxmlformats.org/drawingml/2006/main" prst="line">
          <a:avLst/>
        </a:prstGeom>
        <a:ln xmlns:a="http://schemas.openxmlformats.org/drawingml/2006/main" w="28575">
          <a:solidFill>
            <a:srgbClr val="0000FF"/>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0.59005</cdr:x>
      <cdr:y>0.07632</cdr:y>
    </cdr:from>
    <cdr:to>
      <cdr:x>0.59005</cdr:x>
      <cdr:y>1</cdr:y>
    </cdr:to>
    <cdr:sp macro="" textlink="">
      <cdr:nvSpPr>
        <cdr:cNvPr id="8" name="Straight Connector 7"/>
        <cdr:cNvSpPr/>
      </cdr:nvSpPr>
      <cdr:spPr>
        <a:xfrm xmlns:a="http://schemas.openxmlformats.org/drawingml/2006/main">
          <a:off x="4055533" y="401626"/>
          <a:ext cx="0" cy="3949344"/>
        </a:xfrm>
        <a:prstGeom xmlns:a="http://schemas.openxmlformats.org/drawingml/2006/main" prst="line">
          <a:avLst/>
        </a:prstGeom>
        <a:ln xmlns:a="http://schemas.openxmlformats.org/drawingml/2006/main" w="28575">
          <a:solidFill>
            <a:srgbClr val="00FF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0.62897</cdr:x>
      <cdr:y>0.07632</cdr:y>
    </cdr:from>
    <cdr:to>
      <cdr:x>0.62897</cdr:x>
      <cdr:y>1</cdr:y>
    </cdr:to>
    <cdr:sp macro="" textlink="">
      <cdr:nvSpPr>
        <cdr:cNvPr id="9" name="Straight Connector 8"/>
        <cdr:cNvSpPr/>
      </cdr:nvSpPr>
      <cdr:spPr>
        <a:xfrm xmlns:a="http://schemas.openxmlformats.org/drawingml/2006/main">
          <a:off x="4323080" y="438979"/>
          <a:ext cx="0" cy="3949344"/>
        </a:xfrm>
        <a:prstGeom xmlns:a="http://schemas.openxmlformats.org/drawingml/2006/main" prst="line">
          <a:avLst/>
        </a:prstGeom>
        <a:ln xmlns:a="http://schemas.openxmlformats.org/drawingml/2006/main" w="28575">
          <a:solidFill>
            <a:srgbClr val="00FFFF"/>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0.69007</cdr:x>
      <cdr:y>0.07632</cdr:y>
    </cdr:from>
    <cdr:to>
      <cdr:x>0.69007</cdr:x>
      <cdr:y>1</cdr:y>
    </cdr:to>
    <cdr:sp macro="" textlink="">
      <cdr:nvSpPr>
        <cdr:cNvPr id="10" name="Straight Connector 9"/>
        <cdr:cNvSpPr/>
      </cdr:nvSpPr>
      <cdr:spPr>
        <a:xfrm xmlns:a="http://schemas.openxmlformats.org/drawingml/2006/main">
          <a:off x="4743026" y="326323"/>
          <a:ext cx="0" cy="3949344"/>
        </a:xfrm>
        <a:prstGeom xmlns:a="http://schemas.openxmlformats.org/drawingml/2006/main" prst="line">
          <a:avLst/>
        </a:prstGeom>
        <a:ln xmlns:a="http://schemas.openxmlformats.org/drawingml/2006/main" w="28575">
          <a:solidFill>
            <a:srgbClr val="FFFF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0.72998</cdr:x>
      <cdr:y>0.07632</cdr:y>
    </cdr:from>
    <cdr:to>
      <cdr:x>0.72998</cdr:x>
      <cdr:y>1</cdr:y>
    </cdr:to>
    <cdr:sp macro="" textlink="">
      <cdr:nvSpPr>
        <cdr:cNvPr id="11" name="Straight Connector 10"/>
        <cdr:cNvSpPr/>
      </cdr:nvSpPr>
      <cdr:spPr>
        <a:xfrm xmlns:a="http://schemas.openxmlformats.org/drawingml/2006/main">
          <a:off x="5017346" y="330505"/>
          <a:ext cx="0" cy="3949344"/>
        </a:xfrm>
        <a:prstGeom xmlns:a="http://schemas.openxmlformats.org/drawingml/2006/main" prst="line">
          <a:avLst/>
        </a:prstGeom>
        <a:ln xmlns:a="http://schemas.openxmlformats.org/drawingml/2006/main" w="28575">
          <a:solidFill>
            <a:srgbClr val="FF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0.76423</cdr:x>
      <cdr:y>0.07632</cdr:y>
    </cdr:from>
    <cdr:to>
      <cdr:x>0.76423</cdr:x>
      <cdr:y>1</cdr:y>
    </cdr:to>
    <cdr:sp macro="" textlink="">
      <cdr:nvSpPr>
        <cdr:cNvPr id="12" name="Straight Connector 11"/>
        <cdr:cNvSpPr/>
      </cdr:nvSpPr>
      <cdr:spPr>
        <a:xfrm xmlns:a="http://schemas.openxmlformats.org/drawingml/2006/main">
          <a:off x="5252719" y="336483"/>
          <a:ext cx="0" cy="3949344"/>
        </a:xfrm>
        <a:prstGeom xmlns:a="http://schemas.openxmlformats.org/drawingml/2006/main" prst="line">
          <a:avLst/>
        </a:prstGeom>
        <a:ln xmlns:a="http://schemas.openxmlformats.org/drawingml/2006/main" w="38100">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userShapes>
</file>

<file path=xl/drawings/drawing3.xml><?xml version="1.0" encoding="utf-8"?>
<c:userShapes xmlns:c="http://schemas.openxmlformats.org/drawingml/2006/chart">
  <cdr:relSizeAnchor xmlns:cdr="http://schemas.openxmlformats.org/drawingml/2006/chartDrawing">
    <cdr:from>
      <cdr:x>0.21976</cdr:x>
      <cdr:y>0.07632</cdr:y>
    </cdr:from>
    <cdr:to>
      <cdr:x>0.21976</cdr:x>
      <cdr:y>1</cdr:y>
    </cdr:to>
    <cdr:sp macro="" textlink="">
      <cdr:nvSpPr>
        <cdr:cNvPr id="5" name="Straight Connector 4"/>
        <cdr:cNvSpPr/>
      </cdr:nvSpPr>
      <cdr:spPr>
        <a:xfrm xmlns:a="http://schemas.openxmlformats.org/drawingml/2006/main">
          <a:off x="1510453" y="330505"/>
          <a:ext cx="0" cy="3949344"/>
        </a:xfrm>
        <a:prstGeom xmlns:a="http://schemas.openxmlformats.org/drawingml/2006/main" prst="line">
          <a:avLst/>
        </a:prstGeom>
        <a:ln xmlns:a="http://schemas.openxmlformats.org/drawingml/2006/main" w="28575">
          <a:solidFill>
            <a:srgbClr val="FF00FF"/>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dr:relSizeAnchor xmlns:cdr="http://schemas.openxmlformats.org/drawingml/2006/chartDrawing">
    <cdr:from>
      <cdr:x>0.51717</cdr:x>
      <cdr:y>0.07632</cdr:y>
    </cdr:from>
    <cdr:to>
      <cdr:x>0.51717</cdr:x>
      <cdr:y>1</cdr:y>
    </cdr:to>
    <cdr:sp macro="" textlink="">
      <cdr:nvSpPr>
        <cdr:cNvPr id="7" name="Straight Connector 6"/>
        <cdr:cNvSpPr/>
      </cdr:nvSpPr>
      <cdr:spPr>
        <a:xfrm xmlns:a="http://schemas.openxmlformats.org/drawingml/2006/main">
          <a:off x="3554614" y="327388"/>
          <a:ext cx="0" cy="3949344"/>
        </a:xfrm>
        <a:prstGeom xmlns:a="http://schemas.openxmlformats.org/drawingml/2006/main" prst="line">
          <a:avLst/>
        </a:prstGeom>
        <a:ln xmlns:a="http://schemas.openxmlformats.org/drawingml/2006/main" w="28575">
          <a:solidFill>
            <a:srgbClr val="0000FF"/>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0.59005</cdr:x>
      <cdr:y>0.07632</cdr:y>
    </cdr:from>
    <cdr:to>
      <cdr:x>0.59005</cdr:x>
      <cdr:y>1</cdr:y>
    </cdr:to>
    <cdr:sp macro="" textlink="">
      <cdr:nvSpPr>
        <cdr:cNvPr id="8" name="Straight Connector 7"/>
        <cdr:cNvSpPr/>
      </cdr:nvSpPr>
      <cdr:spPr>
        <a:xfrm xmlns:a="http://schemas.openxmlformats.org/drawingml/2006/main">
          <a:off x="4055533" y="401626"/>
          <a:ext cx="0" cy="3949344"/>
        </a:xfrm>
        <a:prstGeom xmlns:a="http://schemas.openxmlformats.org/drawingml/2006/main" prst="line">
          <a:avLst/>
        </a:prstGeom>
        <a:ln xmlns:a="http://schemas.openxmlformats.org/drawingml/2006/main" w="28575">
          <a:solidFill>
            <a:srgbClr val="00FF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0.62897</cdr:x>
      <cdr:y>0.07632</cdr:y>
    </cdr:from>
    <cdr:to>
      <cdr:x>0.62897</cdr:x>
      <cdr:y>1</cdr:y>
    </cdr:to>
    <cdr:sp macro="" textlink="">
      <cdr:nvSpPr>
        <cdr:cNvPr id="9" name="Straight Connector 8"/>
        <cdr:cNvSpPr/>
      </cdr:nvSpPr>
      <cdr:spPr>
        <a:xfrm xmlns:a="http://schemas.openxmlformats.org/drawingml/2006/main">
          <a:off x="4323080" y="438979"/>
          <a:ext cx="0" cy="3949344"/>
        </a:xfrm>
        <a:prstGeom xmlns:a="http://schemas.openxmlformats.org/drawingml/2006/main" prst="line">
          <a:avLst/>
        </a:prstGeom>
        <a:ln xmlns:a="http://schemas.openxmlformats.org/drawingml/2006/main" w="28575">
          <a:solidFill>
            <a:srgbClr val="00FFFF"/>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0.69007</cdr:x>
      <cdr:y>0.07632</cdr:y>
    </cdr:from>
    <cdr:to>
      <cdr:x>0.69007</cdr:x>
      <cdr:y>1</cdr:y>
    </cdr:to>
    <cdr:sp macro="" textlink="">
      <cdr:nvSpPr>
        <cdr:cNvPr id="10" name="Straight Connector 9"/>
        <cdr:cNvSpPr/>
      </cdr:nvSpPr>
      <cdr:spPr>
        <a:xfrm xmlns:a="http://schemas.openxmlformats.org/drawingml/2006/main">
          <a:off x="4743026" y="326323"/>
          <a:ext cx="0" cy="3949344"/>
        </a:xfrm>
        <a:prstGeom xmlns:a="http://schemas.openxmlformats.org/drawingml/2006/main" prst="line">
          <a:avLst/>
        </a:prstGeom>
        <a:ln xmlns:a="http://schemas.openxmlformats.org/drawingml/2006/main" w="28575">
          <a:solidFill>
            <a:srgbClr val="FFFF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0.72998</cdr:x>
      <cdr:y>0.07632</cdr:y>
    </cdr:from>
    <cdr:to>
      <cdr:x>0.72998</cdr:x>
      <cdr:y>1</cdr:y>
    </cdr:to>
    <cdr:sp macro="" textlink="">
      <cdr:nvSpPr>
        <cdr:cNvPr id="11" name="Straight Connector 10"/>
        <cdr:cNvSpPr/>
      </cdr:nvSpPr>
      <cdr:spPr>
        <a:xfrm xmlns:a="http://schemas.openxmlformats.org/drawingml/2006/main">
          <a:off x="5017346" y="330505"/>
          <a:ext cx="0" cy="3949344"/>
        </a:xfrm>
        <a:prstGeom xmlns:a="http://schemas.openxmlformats.org/drawingml/2006/main" prst="line">
          <a:avLst/>
        </a:prstGeom>
        <a:ln xmlns:a="http://schemas.openxmlformats.org/drawingml/2006/main" w="28575">
          <a:solidFill>
            <a:srgbClr val="FF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0.76423</cdr:x>
      <cdr:y>0.07632</cdr:y>
    </cdr:from>
    <cdr:to>
      <cdr:x>0.76423</cdr:x>
      <cdr:y>1</cdr:y>
    </cdr:to>
    <cdr:sp macro="" textlink="">
      <cdr:nvSpPr>
        <cdr:cNvPr id="12" name="Straight Connector 11"/>
        <cdr:cNvSpPr/>
      </cdr:nvSpPr>
      <cdr:spPr>
        <a:xfrm xmlns:a="http://schemas.openxmlformats.org/drawingml/2006/main">
          <a:off x="5252719" y="336483"/>
          <a:ext cx="0" cy="3949344"/>
        </a:xfrm>
        <a:prstGeom xmlns:a="http://schemas.openxmlformats.org/drawingml/2006/main" prst="line">
          <a:avLst/>
        </a:prstGeom>
        <a:ln xmlns:a="http://schemas.openxmlformats.org/drawingml/2006/main" w="38100">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userShapes>
</file>

<file path=xl/drawings/drawing4.xml><?xml version="1.0" encoding="utf-8"?>
<c:userShapes xmlns:c="http://schemas.openxmlformats.org/drawingml/2006/chart">
  <cdr:relSizeAnchor xmlns:cdr="http://schemas.openxmlformats.org/drawingml/2006/chartDrawing">
    <cdr:from>
      <cdr:x>0.21976</cdr:x>
      <cdr:y>0.07632</cdr:y>
    </cdr:from>
    <cdr:to>
      <cdr:x>0.21976</cdr:x>
      <cdr:y>1</cdr:y>
    </cdr:to>
    <cdr:sp macro="" textlink="">
      <cdr:nvSpPr>
        <cdr:cNvPr id="5" name="Straight Connector 4"/>
        <cdr:cNvSpPr/>
      </cdr:nvSpPr>
      <cdr:spPr>
        <a:xfrm xmlns:a="http://schemas.openxmlformats.org/drawingml/2006/main">
          <a:off x="1510453" y="330505"/>
          <a:ext cx="0" cy="3949344"/>
        </a:xfrm>
        <a:prstGeom xmlns:a="http://schemas.openxmlformats.org/drawingml/2006/main" prst="line">
          <a:avLst/>
        </a:prstGeom>
        <a:ln xmlns:a="http://schemas.openxmlformats.org/drawingml/2006/main" w="28575">
          <a:solidFill>
            <a:srgbClr val="FF00FF"/>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dr:relSizeAnchor xmlns:cdr="http://schemas.openxmlformats.org/drawingml/2006/chartDrawing">
    <cdr:from>
      <cdr:x>0.51717</cdr:x>
      <cdr:y>0.07632</cdr:y>
    </cdr:from>
    <cdr:to>
      <cdr:x>0.51717</cdr:x>
      <cdr:y>1</cdr:y>
    </cdr:to>
    <cdr:sp macro="" textlink="">
      <cdr:nvSpPr>
        <cdr:cNvPr id="7" name="Straight Connector 6"/>
        <cdr:cNvSpPr/>
      </cdr:nvSpPr>
      <cdr:spPr>
        <a:xfrm xmlns:a="http://schemas.openxmlformats.org/drawingml/2006/main">
          <a:off x="3554614" y="327388"/>
          <a:ext cx="0" cy="3949344"/>
        </a:xfrm>
        <a:prstGeom xmlns:a="http://schemas.openxmlformats.org/drawingml/2006/main" prst="line">
          <a:avLst/>
        </a:prstGeom>
        <a:ln xmlns:a="http://schemas.openxmlformats.org/drawingml/2006/main" w="28575">
          <a:solidFill>
            <a:srgbClr val="0000FF"/>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0.59005</cdr:x>
      <cdr:y>0.07632</cdr:y>
    </cdr:from>
    <cdr:to>
      <cdr:x>0.59005</cdr:x>
      <cdr:y>1</cdr:y>
    </cdr:to>
    <cdr:sp macro="" textlink="">
      <cdr:nvSpPr>
        <cdr:cNvPr id="8" name="Straight Connector 7"/>
        <cdr:cNvSpPr/>
      </cdr:nvSpPr>
      <cdr:spPr>
        <a:xfrm xmlns:a="http://schemas.openxmlformats.org/drawingml/2006/main">
          <a:off x="4055533" y="401626"/>
          <a:ext cx="0" cy="3949344"/>
        </a:xfrm>
        <a:prstGeom xmlns:a="http://schemas.openxmlformats.org/drawingml/2006/main" prst="line">
          <a:avLst/>
        </a:prstGeom>
        <a:ln xmlns:a="http://schemas.openxmlformats.org/drawingml/2006/main" w="28575">
          <a:solidFill>
            <a:srgbClr val="00FF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0.62897</cdr:x>
      <cdr:y>0.07632</cdr:y>
    </cdr:from>
    <cdr:to>
      <cdr:x>0.62897</cdr:x>
      <cdr:y>1</cdr:y>
    </cdr:to>
    <cdr:sp macro="" textlink="">
      <cdr:nvSpPr>
        <cdr:cNvPr id="9" name="Straight Connector 8"/>
        <cdr:cNvSpPr/>
      </cdr:nvSpPr>
      <cdr:spPr>
        <a:xfrm xmlns:a="http://schemas.openxmlformats.org/drawingml/2006/main">
          <a:off x="4323080" y="438979"/>
          <a:ext cx="0" cy="3949344"/>
        </a:xfrm>
        <a:prstGeom xmlns:a="http://schemas.openxmlformats.org/drawingml/2006/main" prst="line">
          <a:avLst/>
        </a:prstGeom>
        <a:ln xmlns:a="http://schemas.openxmlformats.org/drawingml/2006/main" w="28575">
          <a:solidFill>
            <a:srgbClr val="00FFFF"/>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0.69007</cdr:x>
      <cdr:y>0.07632</cdr:y>
    </cdr:from>
    <cdr:to>
      <cdr:x>0.69007</cdr:x>
      <cdr:y>1</cdr:y>
    </cdr:to>
    <cdr:sp macro="" textlink="">
      <cdr:nvSpPr>
        <cdr:cNvPr id="10" name="Straight Connector 9"/>
        <cdr:cNvSpPr/>
      </cdr:nvSpPr>
      <cdr:spPr>
        <a:xfrm xmlns:a="http://schemas.openxmlformats.org/drawingml/2006/main">
          <a:off x="4743026" y="326323"/>
          <a:ext cx="0" cy="3949344"/>
        </a:xfrm>
        <a:prstGeom xmlns:a="http://schemas.openxmlformats.org/drawingml/2006/main" prst="line">
          <a:avLst/>
        </a:prstGeom>
        <a:ln xmlns:a="http://schemas.openxmlformats.org/drawingml/2006/main" w="28575">
          <a:solidFill>
            <a:srgbClr val="FFFF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0.72998</cdr:x>
      <cdr:y>0.07632</cdr:y>
    </cdr:from>
    <cdr:to>
      <cdr:x>0.72998</cdr:x>
      <cdr:y>1</cdr:y>
    </cdr:to>
    <cdr:sp macro="" textlink="">
      <cdr:nvSpPr>
        <cdr:cNvPr id="11" name="Straight Connector 10"/>
        <cdr:cNvSpPr/>
      </cdr:nvSpPr>
      <cdr:spPr>
        <a:xfrm xmlns:a="http://schemas.openxmlformats.org/drawingml/2006/main">
          <a:off x="5017346" y="330505"/>
          <a:ext cx="0" cy="3949344"/>
        </a:xfrm>
        <a:prstGeom xmlns:a="http://schemas.openxmlformats.org/drawingml/2006/main" prst="line">
          <a:avLst/>
        </a:prstGeom>
        <a:ln xmlns:a="http://schemas.openxmlformats.org/drawingml/2006/main" w="28575">
          <a:solidFill>
            <a:srgbClr val="FF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0.76423</cdr:x>
      <cdr:y>0.07632</cdr:y>
    </cdr:from>
    <cdr:to>
      <cdr:x>0.76423</cdr:x>
      <cdr:y>1</cdr:y>
    </cdr:to>
    <cdr:sp macro="" textlink="">
      <cdr:nvSpPr>
        <cdr:cNvPr id="12" name="Straight Connector 11"/>
        <cdr:cNvSpPr/>
      </cdr:nvSpPr>
      <cdr:spPr>
        <a:xfrm xmlns:a="http://schemas.openxmlformats.org/drawingml/2006/main">
          <a:off x="5252719" y="336483"/>
          <a:ext cx="0" cy="3949344"/>
        </a:xfrm>
        <a:prstGeom xmlns:a="http://schemas.openxmlformats.org/drawingml/2006/main" prst="line">
          <a:avLst/>
        </a:prstGeom>
        <a:ln xmlns:a="http://schemas.openxmlformats.org/drawingml/2006/main" w="38100">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9"/>
  <sheetViews>
    <sheetView tabSelected="1" zoomScale="80" zoomScaleNormal="80" workbookViewId="0">
      <selection sqref="A1:X1"/>
    </sheetView>
  </sheetViews>
  <sheetFormatPr defaultRowHeight="14.4" x14ac:dyDescent="0.3"/>
  <cols>
    <col min="1" max="1" width="48.21875" style="1" customWidth="1"/>
    <col min="2" max="2" width="9.88671875" style="8" customWidth="1"/>
    <col min="3" max="3" width="13.5546875" style="1" customWidth="1"/>
    <col min="4" max="4" width="3" style="1" customWidth="1"/>
    <col min="5" max="5" width="11.109375" style="1" customWidth="1"/>
    <col min="6" max="6" width="3.6640625" style="1" customWidth="1"/>
    <col min="7" max="7" width="10.21875" style="1" customWidth="1"/>
    <col min="8" max="8" width="3" style="1" customWidth="1"/>
    <col min="9" max="9" width="10.21875" style="1" customWidth="1"/>
    <col min="10" max="10" width="10.21875" style="9" customWidth="1"/>
    <col min="11" max="11" width="3" style="1" customWidth="1"/>
    <col min="12" max="12" width="10.21875" style="1" customWidth="1"/>
    <col min="13" max="13" width="10.21875" style="9" customWidth="1"/>
    <col min="14" max="14" width="3" style="1" customWidth="1"/>
    <col min="15" max="18" width="10.21875" style="1" customWidth="1"/>
    <col min="19" max="19" width="3" style="1" customWidth="1"/>
    <col min="20" max="23" width="10.21875" style="1" customWidth="1"/>
    <col min="24" max="24" width="9.88671875" style="1" bestFit="1" customWidth="1"/>
    <col min="25" max="25" width="9.6640625" style="1" bestFit="1" customWidth="1"/>
    <col min="26" max="26" width="9.21875" style="1" bestFit="1" customWidth="1"/>
    <col min="27" max="27" width="9" style="1" bestFit="1" customWidth="1"/>
    <col min="28" max="28" width="4.44140625" style="5" customWidth="1"/>
    <col min="29" max="29" width="9.88671875" style="1" bestFit="1" customWidth="1"/>
    <col min="30" max="30" width="9.6640625" style="1" bestFit="1" customWidth="1"/>
    <col min="31" max="31" width="9.21875" style="1" bestFit="1" customWidth="1"/>
    <col min="32" max="16384" width="8.88671875" style="1"/>
  </cols>
  <sheetData>
    <row r="1" spans="1:31" s="39" customFormat="1" ht="67.2" customHeight="1" x14ac:dyDescent="0.3">
      <c r="A1" s="44" t="s">
        <v>119</v>
      </c>
      <c r="B1" s="44"/>
      <c r="C1" s="44"/>
      <c r="D1" s="44"/>
      <c r="E1" s="44"/>
      <c r="F1" s="44"/>
      <c r="G1" s="44"/>
      <c r="H1" s="44"/>
      <c r="I1" s="44"/>
      <c r="J1" s="44"/>
      <c r="K1" s="44"/>
      <c r="L1" s="44"/>
      <c r="M1" s="44"/>
      <c r="N1" s="44"/>
      <c r="O1" s="44"/>
      <c r="P1" s="44"/>
      <c r="Q1" s="44"/>
      <c r="R1" s="44"/>
      <c r="S1" s="44"/>
      <c r="T1" s="44"/>
      <c r="U1" s="44"/>
      <c r="V1" s="44"/>
      <c r="W1" s="44"/>
      <c r="X1" s="44"/>
    </row>
    <row r="2" spans="1:31" s="39" customFormat="1" x14ac:dyDescent="0.3"/>
    <row r="3" spans="1:31" s="39" customFormat="1" x14ac:dyDescent="0.3"/>
    <row r="4" spans="1:31" x14ac:dyDescent="0.3">
      <c r="A4" s="18">
        <v>5</v>
      </c>
      <c r="B4" s="27" t="s">
        <v>115</v>
      </c>
      <c r="L4" s="28" t="s">
        <v>32</v>
      </c>
      <c r="M4" s="28"/>
      <c r="N4" s="28"/>
      <c r="O4" s="11"/>
      <c r="P4" s="11"/>
      <c r="T4" s="12" t="s">
        <v>73</v>
      </c>
      <c r="AC4" s="20"/>
    </row>
    <row r="5" spans="1:31" ht="15" customHeight="1" x14ac:dyDescent="0.3">
      <c r="A5" s="18">
        <v>4.21</v>
      </c>
      <c r="B5" s="27" t="s">
        <v>117</v>
      </c>
      <c r="J5" s="10"/>
      <c r="K5" s="11"/>
      <c r="L5" s="5" t="s">
        <v>24</v>
      </c>
      <c r="M5" s="25">
        <f>543+545</f>
        <v>1088</v>
      </c>
      <c r="P5" s="9"/>
      <c r="Q5" s="11"/>
      <c r="R5" s="11"/>
      <c r="U5" s="23" t="s">
        <v>94</v>
      </c>
      <c r="V5" s="23" t="s">
        <v>95</v>
      </c>
      <c r="W5" s="23" t="s">
        <v>96</v>
      </c>
      <c r="X5" s="23" t="s">
        <v>97</v>
      </c>
    </row>
    <row r="6" spans="1:31" s="20" customFormat="1" ht="15" customHeight="1" x14ac:dyDescent="0.3">
      <c r="A6" s="18">
        <v>4.0199999999999996</v>
      </c>
      <c r="B6" s="27" t="s">
        <v>118</v>
      </c>
      <c r="G6" s="22"/>
      <c r="H6" s="22"/>
      <c r="I6" s="22"/>
      <c r="J6" s="22"/>
      <c r="K6" s="11"/>
      <c r="L6" s="5" t="s">
        <v>25</v>
      </c>
      <c r="M6" s="25">
        <f>621+550</f>
        <v>1171</v>
      </c>
      <c r="N6" s="1"/>
      <c r="O6" s="19">
        <f>MIN(M6:M12)</f>
        <v>1078</v>
      </c>
      <c r="P6" s="19" t="s">
        <v>82</v>
      </c>
      <c r="Q6" s="11"/>
      <c r="R6" s="11"/>
      <c r="T6" s="20" t="s">
        <v>51</v>
      </c>
      <c r="U6" s="25">
        <v>758</v>
      </c>
      <c r="V6" s="25">
        <v>755</v>
      </c>
      <c r="W6" s="25">
        <v>743</v>
      </c>
      <c r="X6" s="25">
        <v>758</v>
      </c>
      <c r="AE6" s="2"/>
    </row>
    <row r="7" spans="1:31" s="20" customFormat="1" ht="15" customHeight="1" x14ac:dyDescent="0.3">
      <c r="A7" s="18"/>
      <c r="B7" s="12"/>
      <c r="G7" s="22"/>
      <c r="H7" s="22"/>
      <c r="L7" s="8" t="s">
        <v>27</v>
      </c>
      <c r="M7" s="25">
        <f>1121</f>
        <v>1121</v>
      </c>
      <c r="N7" s="1"/>
      <c r="O7" s="19">
        <f>MAX(M6:M12)</f>
        <v>1171</v>
      </c>
      <c r="P7" s="19" t="s">
        <v>83</v>
      </c>
      <c r="Q7" s="11"/>
      <c r="R7" s="11"/>
      <c r="T7" s="20" t="s">
        <v>54</v>
      </c>
      <c r="U7" s="25">
        <v>735</v>
      </c>
      <c r="V7" s="25">
        <v>737</v>
      </c>
      <c r="W7" s="25">
        <v>731</v>
      </c>
      <c r="X7" s="25">
        <v>744</v>
      </c>
      <c r="AE7" s="2"/>
    </row>
    <row r="8" spans="1:31" ht="29.4" customHeight="1" x14ac:dyDescent="0.3">
      <c r="B8" s="6" t="s">
        <v>12</v>
      </c>
      <c r="C8" s="24" t="s">
        <v>19</v>
      </c>
      <c r="D8" s="33"/>
      <c r="E8" s="33" t="s">
        <v>81</v>
      </c>
      <c r="G8" s="22" t="s">
        <v>89</v>
      </c>
      <c r="L8" s="19" t="s">
        <v>28</v>
      </c>
      <c r="M8" s="25">
        <v>1125</v>
      </c>
      <c r="O8" s="13">
        <f>AVERAGE(M5:M12)</f>
        <v>1116.625</v>
      </c>
      <c r="P8" s="40" t="s">
        <v>84</v>
      </c>
      <c r="Q8" s="40"/>
      <c r="R8" s="8"/>
      <c r="T8" s="20" t="s">
        <v>55</v>
      </c>
      <c r="U8" s="25">
        <v>778</v>
      </c>
      <c r="V8" s="25">
        <v>787</v>
      </c>
      <c r="W8" s="25">
        <v>785</v>
      </c>
      <c r="X8" s="25">
        <v>771</v>
      </c>
      <c r="AA8" s="20"/>
    </row>
    <row r="9" spans="1:31" x14ac:dyDescent="0.3">
      <c r="A9" s="8" t="s">
        <v>7</v>
      </c>
      <c r="B9" s="4" t="s">
        <v>13</v>
      </c>
      <c r="C9" s="25">
        <v>6</v>
      </c>
      <c r="D9" s="25"/>
      <c r="E9" s="23">
        <f>(C$15-C9)*$A$4</f>
        <v>455</v>
      </c>
      <c r="L9" s="8" t="s">
        <v>29</v>
      </c>
      <c r="M9" s="25">
        <v>1105</v>
      </c>
      <c r="O9" s="2">
        <f>ROUNDDOWN(O6/A$5/A$4,0)</f>
        <v>51</v>
      </c>
      <c r="P9" s="27" t="s">
        <v>85</v>
      </c>
      <c r="T9" s="20" t="s">
        <v>58</v>
      </c>
      <c r="U9" s="25">
        <v>686</v>
      </c>
      <c r="V9" s="25">
        <v>668</v>
      </c>
      <c r="W9" s="25">
        <v>743</v>
      </c>
      <c r="X9" s="25">
        <v>722</v>
      </c>
      <c r="Y9" s="28"/>
    </row>
    <row r="10" spans="1:31" x14ac:dyDescent="0.3">
      <c r="A10" s="8" t="s">
        <v>8</v>
      </c>
      <c r="B10" s="4" t="s">
        <v>14</v>
      </c>
      <c r="C10" s="25">
        <v>13</v>
      </c>
      <c r="D10" s="25"/>
      <c r="E10" s="23">
        <f>(C$15-C10)*$A$4</f>
        <v>420</v>
      </c>
      <c r="L10" s="8" t="s">
        <v>30</v>
      </c>
      <c r="M10" s="25">
        <v>1092</v>
      </c>
      <c r="O10" s="2">
        <f>ROUNDDOWN(O7/A$5/A$4,0)</f>
        <v>55</v>
      </c>
      <c r="P10" s="27" t="s">
        <v>86</v>
      </c>
    </row>
    <row r="11" spans="1:31" x14ac:dyDescent="0.3">
      <c r="A11" s="8" t="s">
        <v>9</v>
      </c>
      <c r="B11" s="4" t="s">
        <v>15</v>
      </c>
      <c r="C11" s="25">
        <v>24</v>
      </c>
      <c r="D11" s="25"/>
      <c r="E11" s="23">
        <f>(C$15-C11)*$A$4</f>
        <v>365</v>
      </c>
      <c r="L11" s="19" t="s">
        <v>31</v>
      </c>
      <c r="M11" s="25">
        <v>1078</v>
      </c>
      <c r="O11" s="2">
        <f>ROUNDDOWN(O8/A$5/A$4,0)</f>
        <v>53</v>
      </c>
      <c r="P11" s="27" t="s">
        <v>87</v>
      </c>
      <c r="T11" s="29" t="s">
        <v>75</v>
      </c>
      <c r="U11" s="30">
        <f>AVERAGE(U6:X9)/(C10*A4)</f>
        <v>11.44326923076923</v>
      </c>
      <c r="V11" s="30">
        <f>AVERAGE(U15:X16)/(C10*A4)</f>
        <v>22.498076923076923</v>
      </c>
      <c r="W11" s="20"/>
      <c r="X11" s="20" t="s">
        <v>74</v>
      </c>
    </row>
    <row r="12" spans="1:31" x14ac:dyDescent="0.3">
      <c r="A12" s="8" t="s">
        <v>10</v>
      </c>
      <c r="B12" s="4" t="s">
        <v>16</v>
      </c>
      <c r="C12" s="25">
        <v>31</v>
      </c>
      <c r="D12" s="25"/>
      <c r="E12" s="23">
        <f>(C$15-C12)*$A$4</f>
        <v>330</v>
      </c>
      <c r="L12" s="8" t="s">
        <v>33</v>
      </c>
      <c r="M12" s="25">
        <v>1153</v>
      </c>
      <c r="N12" s="3"/>
      <c r="O12" s="3"/>
      <c r="P12" s="27"/>
      <c r="W12" s="20"/>
    </row>
    <row r="13" spans="1:31" x14ac:dyDescent="0.3">
      <c r="A13" s="8" t="s">
        <v>11</v>
      </c>
      <c r="B13" s="4" t="s">
        <v>17</v>
      </c>
      <c r="C13" s="25">
        <v>44</v>
      </c>
      <c r="D13" s="25"/>
      <c r="E13" s="1">
        <f>(C$15-C13)*$A$4</f>
        <v>265</v>
      </c>
      <c r="G13" s="25">
        <v>3</v>
      </c>
      <c r="H13" s="27" t="s">
        <v>93</v>
      </c>
      <c r="T13" s="12" t="s">
        <v>72</v>
      </c>
      <c r="U13" s="20"/>
      <c r="V13" s="20"/>
      <c r="W13" s="20"/>
      <c r="X13" s="20"/>
    </row>
    <row r="14" spans="1:31" x14ac:dyDescent="0.3">
      <c r="A14" s="8"/>
      <c r="B14" s="4"/>
      <c r="C14" s="28"/>
      <c r="D14" s="28"/>
      <c r="T14" s="20"/>
      <c r="U14" s="23" t="s">
        <v>94</v>
      </c>
      <c r="V14" s="23" t="s">
        <v>95</v>
      </c>
      <c r="W14" s="23" t="s">
        <v>96</v>
      </c>
      <c r="X14" s="23" t="s">
        <v>97</v>
      </c>
    </row>
    <row r="15" spans="1:31" s="3" customFormat="1" x14ac:dyDescent="0.3">
      <c r="A15" s="36" t="s">
        <v>99</v>
      </c>
      <c r="B15" s="4" t="s">
        <v>18</v>
      </c>
      <c r="C15" s="23">
        <f>ROUND(C13+(O8/A5)/A4,0)</f>
        <v>97</v>
      </c>
      <c r="D15" s="23"/>
      <c r="E15" s="23">
        <f>(C$15-C15)*$A$4</f>
        <v>0</v>
      </c>
      <c r="G15" s="2">
        <f>MAX(O10-O11,O11-O9)</f>
        <v>2</v>
      </c>
      <c r="H15" s="27" t="s">
        <v>92</v>
      </c>
      <c r="T15" s="20" t="s">
        <v>1</v>
      </c>
      <c r="U15" s="25">
        <v>1490</v>
      </c>
      <c r="V15" s="25">
        <v>1489</v>
      </c>
      <c r="W15" s="25">
        <v>1481</v>
      </c>
      <c r="X15" s="25">
        <v>1476</v>
      </c>
      <c r="AB15" s="5"/>
    </row>
    <row r="16" spans="1:31" s="3" customFormat="1" x14ac:dyDescent="0.3">
      <c r="B16" s="8"/>
      <c r="C16" s="23"/>
      <c r="D16" s="23"/>
      <c r="E16" s="23"/>
      <c r="G16" s="3">
        <f>ROUNDUP(ABS(O8/A5/A4-O8/A6/A4),0)</f>
        <v>3</v>
      </c>
      <c r="H16" s="27" t="s">
        <v>91</v>
      </c>
      <c r="J16" s="12"/>
      <c r="M16" s="9"/>
      <c r="T16" s="20" t="s">
        <v>0</v>
      </c>
      <c r="U16" s="25">
        <v>1444</v>
      </c>
      <c r="V16" s="25">
        <v>1443</v>
      </c>
      <c r="W16" s="25">
        <v>1435</v>
      </c>
      <c r="X16" s="25">
        <v>1441</v>
      </c>
      <c r="AB16" s="5"/>
    </row>
    <row r="17" spans="1:30" s="7" customFormat="1" x14ac:dyDescent="0.3">
      <c r="A17" s="16" t="s">
        <v>3</v>
      </c>
      <c r="B17" s="8"/>
      <c r="C17" s="26">
        <f>C15*A4</f>
        <v>485</v>
      </c>
      <c r="D17" s="35" t="s">
        <v>88</v>
      </c>
      <c r="E17" s="26">
        <f>G17*A4</f>
        <v>40</v>
      </c>
      <c r="G17" s="34">
        <f>SUM(G9:G16)</f>
        <v>8</v>
      </c>
      <c r="H17" s="27" t="s">
        <v>90</v>
      </c>
      <c r="J17" s="9"/>
      <c r="M17" s="9"/>
      <c r="T17" s="20"/>
      <c r="U17" s="20"/>
      <c r="V17" s="20"/>
      <c r="W17" s="20"/>
      <c r="X17" s="20"/>
    </row>
    <row r="18" spans="1:30" x14ac:dyDescent="0.3">
      <c r="T18" s="20"/>
      <c r="U18" s="20"/>
      <c r="V18" s="20"/>
      <c r="W18" s="20"/>
      <c r="X18" s="20"/>
      <c r="AC18" s="5"/>
      <c r="AD18" s="5"/>
    </row>
    <row r="19" spans="1:30" s="23" customFormat="1" x14ac:dyDescent="0.3"/>
    <row r="20" spans="1:30" s="16" customFormat="1" x14ac:dyDescent="0.3">
      <c r="C20" s="16" t="s">
        <v>1</v>
      </c>
      <c r="E20" s="16" t="s">
        <v>4</v>
      </c>
      <c r="G20" s="16" t="s">
        <v>6</v>
      </c>
      <c r="I20" s="16" t="s">
        <v>39</v>
      </c>
      <c r="J20" s="16" t="s">
        <v>42</v>
      </c>
      <c r="L20" s="16" t="s">
        <v>40</v>
      </c>
      <c r="M20" s="16" t="s">
        <v>41</v>
      </c>
      <c r="O20" s="16" t="s">
        <v>51</v>
      </c>
      <c r="P20" s="16" t="s">
        <v>52</v>
      </c>
      <c r="Q20" s="16" t="s">
        <v>53</v>
      </c>
      <c r="R20" s="16" t="s">
        <v>54</v>
      </c>
      <c r="T20" s="16" t="s">
        <v>59</v>
      </c>
      <c r="U20" s="16" t="s">
        <v>60</v>
      </c>
      <c r="V20" s="16" t="s">
        <v>61</v>
      </c>
      <c r="W20" s="16" t="s">
        <v>62</v>
      </c>
    </row>
    <row r="21" spans="1:30" s="5" customFormat="1" x14ac:dyDescent="0.3">
      <c r="A21" s="5" t="s">
        <v>20</v>
      </c>
      <c r="B21" s="8"/>
      <c r="C21" s="14" t="s">
        <v>18</v>
      </c>
      <c r="D21" s="14"/>
      <c r="E21" s="14" t="s">
        <v>17</v>
      </c>
      <c r="F21" s="14"/>
      <c r="G21" s="14" t="s">
        <v>17</v>
      </c>
      <c r="H21" s="14"/>
      <c r="I21" s="14" t="s">
        <v>16</v>
      </c>
      <c r="J21" s="17" t="s">
        <v>49</v>
      </c>
      <c r="K21" s="14"/>
      <c r="L21" s="14" t="s">
        <v>16</v>
      </c>
      <c r="M21" s="17" t="s">
        <v>13</v>
      </c>
      <c r="N21" s="14"/>
      <c r="O21" s="14" t="s">
        <v>18</v>
      </c>
      <c r="P21" s="14" t="s">
        <v>17</v>
      </c>
      <c r="Q21" s="14" t="s">
        <v>18</v>
      </c>
      <c r="R21" s="14" t="s">
        <v>18</v>
      </c>
      <c r="S21" s="14"/>
      <c r="T21" s="14" t="s">
        <v>16</v>
      </c>
      <c r="U21" s="14" t="s">
        <v>14</v>
      </c>
      <c r="V21" s="14" t="s">
        <v>17</v>
      </c>
      <c r="W21" s="14" t="s">
        <v>17</v>
      </c>
    </row>
    <row r="22" spans="1:30" s="5" customFormat="1" x14ac:dyDescent="0.3">
      <c r="A22" s="5" t="s">
        <v>21</v>
      </c>
      <c r="B22" s="8"/>
      <c r="C22" s="7">
        <f>IF(C21=$B$9,$C$9,IF(C21=$B$10,$C$10,IF(C21=$B$11,$C$11,IF(C21=$B$12,$C$12,IF(C21=$B$13,$C$13,IF(C21=$B$14,#REF!,IF(C21=$B$15,$C$15,0)))))))</f>
        <v>97</v>
      </c>
      <c r="E22" s="5">
        <f>IF(E21=$B$9,$C$9,IF(E21=$B$10,$C$10,IF(E21=$B$11,$C$11,IF(E21=$B$12,$C$12,IF(E21=$B$13,$C$13,IF(E21=$B$14,#REF!,IF(E21=$B$15,$C$15,0)))))))</f>
        <v>44</v>
      </c>
      <c r="G22" s="5">
        <f>IF(G21=$B$9,$C$9,IF(G21=$B$10,$C$10,IF(G21=$B$11,$C$11,IF(G21=$B$12,$C$12,IF(G21=$B$13,$C$13,IF(G21=$B$14,#REF!,IF(G21=$B$15,$C$15,0)))))))</f>
        <v>44</v>
      </c>
      <c r="I22" s="5">
        <f>IF(I21=$B$9,$C$9,IF(I21=$B$10,$C$10,IF(I21=$B$11,$C$11,IF(I21=$B$12,$C$12,IF(I21=$B$13,$C$13,IF(I21=$B$14,#REF!,IF(I21=$B$15,$C$15,0)))))))</f>
        <v>31</v>
      </c>
      <c r="J22" s="9">
        <f>IF(J21=$B$9,$C$9,IF(J21=$B$10,$C$10,IF(J21=$B$11,$C$11,IF(J21=$B$12,$C$12,IF(J21=$B$13,$C$13,IF(J21=$B$14,#REF!,IF(J21=$B$15,$C$15,0)))))))</f>
        <v>0</v>
      </c>
      <c r="L22" s="5">
        <f>IF(L21=$B$9,$C$9,IF(L21=$B$10,$C$10,IF(L21=$B$11,$C$11,IF(L21=$B$12,$C$12,IF(L21=$B$13,$C$13,IF(L21=$B$14,#REF!,IF(L21=$B$15,$C$15,0)))))))</f>
        <v>31</v>
      </c>
      <c r="M22" s="9">
        <f>IF(M21=$B$9,$C$9,IF(M21=$B$10,$C$10,IF(M21=$B$11,$C$11,IF(M21=$B$12,$C$12,IF(M21=$B$13,$C$13,IF(M21=$B$14,#REF!,IF(M21=$B$15,$C$15,0)))))))</f>
        <v>6</v>
      </c>
      <c r="O22" s="8">
        <f>IF(O21=$B$9,$C$9,IF(O21=$B$10,$C$10,IF(O21=$B$11,$C$11,IF(O21=$B$12,$C$12,IF(O21=$B$13,$C$13,IF(O21=$B$14,#REF!,IF(O21=$B$15,$C$15,0)))))))</f>
        <v>97</v>
      </c>
      <c r="P22" s="8">
        <f>IF(P21=$B$9,$C$9,IF(P21=$B$10,$C$10,IF(P21=$B$11,$C$11,IF(P21=$B$12,$C$12,IF(P21=$B$13,$C$13,IF(P21=$B$14,#REF!,IF(P21=$B$15,$C$15,0)))))))</f>
        <v>44</v>
      </c>
      <c r="Q22" s="8">
        <f>IF(Q21=$B$9,$C$9,IF(Q21=$B$10,$C$10,IF(Q21=$B$11,$C$11,IF(Q21=$B$12,$C$12,IF(Q21=$B$13,$C$13,IF(Q21=$B$14,#REF!,IF(Q21=$B$15,$C$15,0)))))))</f>
        <v>97</v>
      </c>
      <c r="R22" s="8">
        <f>IF(R21=$B$9,$C$9,IF(R21=$B$10,$C$10,IF(R21=$B$11,$C$11,IF(R21=$B$12,$C$12,IF(R21=$B$13,$C$13,IF(R21=$B$14,#REF!,IF(R21=$B$15,$C$15,0)))))))</f>
        <v>97</v>
      </c>
      <c r="T22" s="5">
        <f>IF(T21=$B$9,$C$9,IF(T21=$B$10,$C$10,IF(T21=$B$11,$C$11,IF(T21=$B$12,$C$12,IF(T21=$B$13,$C$13,IF(T21=$B$14,#REF!,IF(T21=$B$15,$C$15,0)))))))</f>
        <v>31</v>
      </c>
      <c r="U22" s="5">
        <f>IF(U21=$B$9,$C$9,IF(U21=$B$10,$C$10,IF(U21=$B$11,$C$11,IF(U21=$B$12,$C$12,IF(U21=$B$13,$C$13,IF(U21=$B$14,#REF!,IF(U21=$B$15,$C$15,0)))))))</f>
        <v>13</v>
      </c>
      <c r="V22" s="5">
        <f>IF(V21=$B$9,$C$9,IF(V21=$B$10,$C$10,IF(V21=$B$11,$C$11,IF(V21=$B$12,$C$12,IF(V21=$B$13,$C$13,IF(V21=$B$14,#REF!,IF(V21=$B$15,$C$15,0)))))))</f>
        <v>44</v>
      </c>
      <c r="W22" s="5">
        <f>IF(W21=$B$9,$C$9,IF(W21=$B$10,$C$10,IF(W21=$B$11,$C$11,IF(W21=$B$12,$C$12,IF(W21=$B$13,$C$13,IF(W21=$B$14,#REF!,IF(W21=$B$15,$C$15,0)))))))</f>
        <v>44</v>
      </c>
    </row>
    <row r="23" spans="1:30" s="5" customFormat="1" x14ac:dyDescent="0.3">
      <c r="A23" s="5" t="s">
        <v>23</v>
      </c>
      <c r="B23" s="8"/>
      <c r="C23" s="7">
        <f>C22*$A$4</f>
        <v>485</v>
      </c>
      <c r="E23" s="5">
        <f>E22*$A$4</f>
        <v>220</v>
      </c>
      <c r="G23" s="5">
        <f t="shared" ref="G23:M23" si="0">G22*$A$4</f>
        <v>220</v>
      </c>
      <c r="I23" s="5">
        <f t="shared" si="0"/>
        <v>155</v>
      </c>
      <c r="J23" s="9">
        <f t="shared" si="0"/>
        <v>0</v>
      </c>
      <c r="L23" s="5">
        <f t="shared" si="0"/>
        <v>155</v>
      </c>
      <c r="M23" s="9">
        <f t="shared" si="0"/>
        <v>30</v>
      </c>
      <c r="O23" s="8">
        <f t="shared" ref="O23:R23" si="1">O22*$A$4</f>
        <v>485</v>
      </c>
      <c r="P23" s="8">
        <f t="shared" si="1"/>
        <v>220</v>
      </c>
      <c r="Q23" s="8">
        <f t="shared" si="1"/>
        <v>485</v>
      </c>
      <c r="R23" s="8">
        <f t="shared" si="1"/>
        <v>485</v>
      </c>
      <c r="T23" s="5">
        <f t="shared" ref="T23" si="2">T22*$A$4</f>
        <v>155</v>
      </c>
      <c r="U23" s="5">
        <f t="shared" ref="U23" si="3">U22*$A$4</f>
        <v>65</v>
      </c>
      <c r="V23" s="5">
        <f t="shared" ref="V23" si="4">V22*$A$4</f>
        <v>220</v>
      </c>
      <c r="W23" s="5">
        <f t="shared" ref="W23" si="5">W22*$A$4</f>
        <v>220</v>
      </c>
    </row>
    <row r="24" spans="1:30" x14ac:dyDescent="0.3">
      <c r="A24" s="5" t="s">
        <v>22</v>
      </c>
      <c r="C24" s="14">
        <v>107</v>
      </c>
      <c r="D24" s="14"/>
      <c r="E24" s="14">
        <v>430</v>
      </c>
      <c r="F24" s="14"/>
      <c r="G24" s="14">
        <v>334</v>
      </c>
      <c r="H24" s="14"/>
      <c r="I24" s="14">
        <v>112</v>
      </c>
      <c r="J24" s="17">
        <v>126</v>
      </c>
      <c r="K24" s="14"/>
      <c r="L24" s="14">
        <v>65</v>
      </c>
      <c r="M24" s="17">
        <v>175</v>
      </c>
      <c r="N24" s="14"/>
      <c r="O24" s="14">
        <v>165</v>
      </c>
      <c r="P24" s="14">
        <v>1064</v>
      </c>
      <c r="Q24" s="14">
        <v>323</v>
      </c>
      <c r="R24" s="14">
        <v>225</v>
      </c>
      <c r="S24" s="14"/>
      <c r="T24" s="14">
        <v>112</v>
      </c>
      <c r="U24" s="14">
        <v>86</v>
      </c>
      <c r="V24" s="14">
        <v>17</v>
      </c>
      <c r="W24" s="14">
        <v>43</v>
      </c>
    </row>
    <row r="25" spans="1:30" s="5" customFormat="1" x14ac:dyDescent="0.3">
      <c r="A25" s="5" t="s">
        <v>23</v>
      </c>
      <c r="B25" s="8"/>
      <c r="C25" s="2">
        <f>C24/$A$5</f>
        <v>25.415676959619951</v>
      </c>
      <c r="E25" s="2">
        <f>E24/$A$6</f>
        <v>106.96517412935324</v>
      </c>
      <c r="G25" s="2">
        <f>G24/$A$6</f>
        <v>83.084577114427873</v>
      </c>
      <c r="I25" s="2">
        <f>I24/$A$6</f>
        <v>27.86069651741294</v>
      </c>
      <c r="J25" s="2">
        <f>J24/$A$6</f>
        <v>31.343283582089555</v>
      </c>
      <c r="L25" s="2">
        <f>L24/$A$6</f>
        <v>16.169154228855724</v>
      </c>
      <c r="M25" s="2">
        <f>M24/$A$6</f>
        <v>43.532338308457717</v>
      </c>
      <c r="O25" s="2">
        <f t="shared" ref="O25:R25" si="6">O24/$A$5</f>
        <v>39.192399049881239</v>
      </c>
      <c r="P25" s="2">
        <f t="shared" si="6"/>
        <v>252.73159144893111</v>
      </c>
      <c r="Q25" s="2">
        <f t="shared" si="6"/>
        <v>76.722090261282659</v>
      </c>
      <c r="R25" s="2">
        <f t="shared" si="6"/>
        <v>53.444180522565318</v>
      </c>
      <c r="T25" s="2">
        <f t="shared" ref="T25" si="7">T24/$A$5</f>
        <v>26.603325415676959</v>
      </c>
      <c r="U25" s="2">
        <f t="shared" ref="U25" si="8">U24/$A$5</f>
        <v>20.427553444180521</v>
      </c>
      <c r="V25" s="2">
        <f t="shared" ref="V25" si="9">V24/$A$5</f>
        <v>4.0380047505938244</v>
      </c>
      <c r="W25" s="2">
        <f t="shared" ref="W25" si="10">W24/$A$5</f>
        <v>10.213776722090261</v>
      </c>
    </row>
    <row r="26" spans="1:30" s="5" customFormat="1" x14ac:dyDescent="0.3">
      <c r="A26" s="8" t="s">
        <v>26</v>
      </c>
      <c r="B26" s="8"/>
      <c r="C26" s="2">
        <f>C25+C23</f>
        <v>510.41567695961993</v>
      </c>
      <c r="E26" s="2">
        <f>E25+E23</f>
        <v>326.96517412935327</v>
      </c>
      <c r="G26" s="2">
        <f t="shared" ref="G26:L26" si="11">G25+G23</f>
        <v>303.08457711442787</v>
      </c>
      <c r="I26" s="2">
        <f t="shared" si="11"/>
        <v>182.86069651741295</v>
      </c>
      <c r="J26" s="2">
        <f t="shared" ref="J26" si="12">J25+J23</f>
        <v>31.343283582089555</v>
      </c>
      <c r="L26" s="2">
        <f t="shared" si="11"/>
        <v>171.16915422885572</v>
      </c>
      <c r="M26" s="2">
        <f t="shared" ref="M26" si="13">M25+M23</f>
        <v>73.532338308457724</v>
      </c>
      <c r="O26" s="2">
        <f t="shared" ref="O26:R26" si="14">O25+O23</f>
        <v>524.19239904988126</v>
      </c>
      <c r="P26" s="2">
        <f t="shared" si="14"/>
        <v>472.73159144893111</v>
      </c>
      <c r="Q26" s="2">
        <f t="shared" si="14"/>
        <v>561.72209026128269</v>
      </c>
      <c r="R26" s="2">
        <f t="shared" si="14"/>
        <v>538.44418052256538</v>
      </c>
      <c r="T26" s="2">
        <f t="shared" ref="T26" si="15">T25+T23</f>
        <v>181.60332541567695</v>
      </c>
      <c r="U26" s="2">
        <f t="shared" ref="U26" si="16">U25+U23</f>
        <v>85.427553444180518</v>
      </c>
      <c r="V26" s="2">
        <f t="shared" ref="V26" si="17">V25+V23</f>
        <v>224.03800475059381</v>
      </c>
      <c r="W26" s="2">
        <f t="shared" ref="W26" si="18">W25+W23</f>
        <v>230.21377672209027</v>
      </c>
    </row>
    <row r="27" spans="1:30" s="8" customFormat="1" x14ac:dyDescent="0.3">
      <c r="A27" s="8" t="s">
        <v>34</v>
      </c>
      <c r="C27" s="2">
        <f>$C$17-C26</f>
        <v>-25.41567695961993</v>
      </c>
      <c r="E27" s="2">
        <f>$C$17-E26</f>
        <v>158.03482587064673</v>
      </c>
      <c r="G27" s="2">
        <f>$C$17-G26</f>
        <v>181.91542288557213</v>
      </c>
      <c r="I27" s="2">
        <f>$C$17-I26</f>
        <v>302.13930348258702</v>
      </c>
      <c r="J27" s="2">
        <f>$C$17-J26</f>
        <v>453.65671641791045</v>
      </c>
      <c r="L27" s="2">
        <f>$C$17-L26</f>
        <v>313.83084577114425</v>
      </c>
      <c r="M27" s="2">
        <f>$C$17-M26</f>
        <v>411.46766169154228</v>
      </c>
      <c r="O27" s="2">
        <f>$C$17-O26</f>
        <v>-39.19239904988126</v>
      </c>
      <c r="P27" s="2">
        <f>$C$17-P26</f>
        <v>12.268408551068887</v>
      </c>
      <c r="Q27" s="2">
        <f>$C$17-Q26</f>
        <v>-76.722090261282688</v>
      </c>
      <c r="R27" s="2">
        <f>$C$17-R26</f>
        <v>-53.444180522565375</v>
      </c>
      <c r="T27" s="2">
        <f>$C$17-T26</f>
        <v>303.39667458432302</v>
      </c>
      <c r="U27" s="2">
        <f>$C$17-U26</f>
        <v>399.57244655581951</v>
      </c>
      <c r="V27" s="2">
        <f>$C$17-V26</f>
        <v>260.96199524940619</v>
      </c>
      <c r="W27" s="2">
        <f>$C$17-W26</f>
        <v>254.78622327790973</v>
      </c>
    </row>
    <row r="28" spans="1:30" s="20" customFormat="1" x14ac:dyDescent="0.3">
      <c r="A28" s="20" t="s">
        <v>67</v>
      </c>
      <c r="C28" s="15" t="s">
        <v>14</v>
      </c>
      <c r="D28" s="21"/>
      <c r="E28" s="15" t="s">
        <v>49</v>
      </c>
      <c r="F28" s="21"/>
      <c r="G28" s="15" t="s">
        <v>49</v>
      </c>
      <c r="H28" s="21"/>
      <c r="I28" s="15" t="s">
        <v>49</v>
      </c>
      <c r="J28" s="15" t="s">
        <v>49</v>
      </c>
      <c r="K28" s="21"/>
      <c r="L28" s="15" t="s">
        <v>49</v>
      </c>
      <c r="M28" s="15" t="s">
        <v>49</v>
      </c>
      <c r="N28" s="21"/>
      <c r="O28" s="15" t="s">
        <v>14</v>
      </c>
      <c r="P28" s="15" t="s">
        <v>69</v>
      </c>
      <c r="Q28" s="15" t="s">
        <v>69</v>
      </c>
      <c r="R28" s="15" t="s">
        <v>14</v>
      </c>
      <c r="S28" s="21"/>
      <c r="T28" s="15" t="s">
        <v>49</v>
      </c>
      <c r="U28" s="15" t="s">
        <v>49</v>
      </c>
      <c r="V28" s="15" t="s">
        <v>49</v>
      </c>
      <c r="W28" s="15" t="s">
        <v>49</v>
      </c>
    </row>
    <row r="29" spans="1:30" s="20" customFormat="1" x14ac:dyDescent="0.3">
      <c r="A29" s="20" t="s">
        <v>68</v>
      </c>
      <c r="C29" s="20">
        <f>IF(C28=$B$9,$C$9,IF(C28=$B$10,$C$10,IF(C28=$B$11,$C$11,IF(C28=$B$12,$C$12,IF(C28=$B$13,$C$13,IF(C28=$B$14,#REF!,IF(C28=$B$15,$C$15,0)))))))*$A$4</f>
        <v>65</v>
      </c>
      <c r="E29" s="20">
        <f>IF(E28=$B$9,$C$9,IF(E28=$B$10,$C$10,IF(E28=$B$11,$C$11,IF(E28=$B$12,$C$12,IF(E28=$B$13,$C$13,IF(E28=$B$14,#REF!,IF(E28=$B$15,$C$15,0)))))))*$A$4</f>
        <v>0</v>
      </c>
      <c r="G29" s="20">
        <f>IF(G28=$B$9,$C$9,IF(G28=$B$10,$C$10,IF(G28=$B$11,$C$11,IF(G28=$B$12,$C$12,IF(G28=$B$13,$C$13,IF(G28=$B$14,#REF!,IF(G28=$B$15,$C$15,0)))))))*$A$4</f>
        <v>0</v>
      </c>
      <c r="I29" s="20">
        <f>IF(I28=$B$9,$C$9,IF(I28=$B$10,$C$10,IF(I28=$B$11,$C$11,IF(I28=$B$12,$C$12,IF(I28=$B$13,$C$13,IF(I28=$B$14,#REF!,IF(I28=$B$15,$C$15,0)))))))*$A$4</f>
        <v>0</v>
      </c>
      <c r="J29" s="20">
        <f>IF(J28=$B$9,$C$9,IF(J28=$B$10,$C$10,IF(J28=$B$11,$C$11,IF(J28=$B$12,$C$12,IF(J28=$B$13,$C$13,IF(J28=$B$14,#REF!,IF(J28=$B$15,$C$15,0)))))))*$A$4</f>
        <v>0</v>
      </c>
      <c r="L29" s="20">
        <f>IF(L28=$B$9,$C$9,IF(L28=$B$10,$C$10,IF(L28=$B$11,$C$11,IF(L28=$B$12,$C$12,IF(L28=$B$13,$C$13,IF(L28=$B$14,#REF!,IF(L28=$B$15,$C$15,0)))))))*$A$4</f>
        <v>0</v>
      </c>
      <c r="M29" s="20">
        <f>IF(M28=$B$9,$C$9,IF(M28=$B$10,$C$10,IF(M28=$B$11,$C$11,IF(M28=$B$12,$C$12,IF(M28=$B$13,$C$13,IF(M28=$B$14,#REF!,IF(M28=$B$15,$C$15,0)))))))*$A$4</f>
        <v>0</v>
      </c>
      <c r="O29" s="20">
        <f>IF(O28=$B$9,$C$9,IF(O28=$B$10,$C$10,IF(O28=$B$11,$C$11,IF(O28=$B$12,$C$12,IF(O28=$B$13,$C$13,IF(O28=$B$14,#REF!,IF(O28=$B$15,$C$15,0)))))))*$A$4</f>
        <v>65</v>
      </c>
      <c r="P29" s="20" t="s">
        <v>71</v>
      </c>
      <c r="Q29" s="20" t="s">
        <v>71</v>
      </c>
      <c r="R29" s="20">
        <f>IF(R28=$B$9,$C$9,IF(R28=$B$10,$C$10,IF(R28=$B$11,$C$11,IF(R28=$B$12,$C$12,IF(R28=$B$13,$C$13,IF(R28=$B$14,#REF!,IF(R28=$B$15,$C$15,0)))))))*$A$4</f>
        <v>65</v>
      </c>
      <c r="T29" s="20">
        <f>IF(T28=$B$9,$C$9,IF(T28=$B$10,$C$10,IF(T28=$B$11,$C$11,IF(T28=$B$12,$C$12,IF(T28=$B$13,$C$13,IF(T28=$B$14,#REF!,IF(T28=$B$15,$C$15,0)))))))*$A$4</f>
        <v>0</v>
      </c>
      <c r="U29" s="20">
        <f>IF(U28=$B$9,$C$9,IF(U28=$B$10,$C$10,IF(U28=$B$11,$C$11,IF(U28=$B$12,$C$12,IF(U28=$B$13,$C$13,IF(U28=$B$14,#REF!,IF(U28=$B$15,$C$15,0)))))))*$A$4</f>
        <v>0</v>
      </c>
      <c r="V29" s="20">
        <f>IF(V28=$B$9,$C$9,IF(V28=$B$10,$C$10,IF(V28=$B$11,$C$11,IF(V28=$B$12,$C$12,IF(V28=$B$13,$C$13,IF(V28=$B$14,#REF!,IF(V28=$B$15,$C$15,0)))))))*$A$4</f>
        <v>0</v>
      </c>
      <c r="W29" s="20">
        <f>IF(W28=$B$9,$C$9,IF(W28=$B$10,$C$10,IF(W28=$B$11,$C$11,IF(W28=$B$12,$C$12,IF(W28=$B$13,$C$13,IF(W28=$B$14,#REF!,IF(W28=$B$15,$C$15,0)))))))*$A$4</f>
        <v>0</v>
      </c>
    </row>
    <row r="30" spans="1:30" s="9" customFormat="1" x14ac:dyDescent="0.3">
      <c r="A30" s="20" t="s">
        <v>70</v>
      </c>
      <c r="C30" s="31">
        <v>0</v>
      </c>
      <c r="D30" s="19"/>
      <c r="E30" s="31">
        <v>0</v>
      </c>
      <c r="F30" s="19"/>
      <c r="G30" s="31">
        <v>0</v>
      </c>
      <c r="H30" s="19"/>
      <c r="I30" s="31">
        <v>0</v>
      </c>
      <c r="J30" s="31">
        <v>0</v>
      </c>
      <c r="K30" s="19"/>
      <c r="L30" s="31">
        <v>0</v>
      </c>
      <c r="M30" s="31">
        <v>0</v>
      </c>
      <c r="N30" s="19"/>
      <c r="O30" s="31">
        <v>0</v>
      </c>
      <c r="P30" s="15">
        <v>653</v>
      </c>
      <c r="Q30" s="15">
        <v>2022</v>
      </c>
      <c r="R30" s="15">
        <v>48</v>
      </c>
      <c r="S30" s="19"/>
      <c r="T30" s="31">
        <v>0</v>
      </c>
      <c r="U30" s="31">
        <v>0</v>
      </c>
      <c r="V30" s="31">
        <v>0</v>
      </c>
      <c r="W30" s="31">
        <v>0</v>
      </c>
    </row>
    <row r="31" spans="1:30" s="9" customFormat="1" x14ac:dyDescent="0.3">
      <c r="A31" s="9" t="s">
        <v>47</v>
      </c>
      <c r="C31" s="2">
        <f>C29+C30/$A$6</f>
        <v>65</v>
      </c>
      <c r="E31" s="2">
        <f>E29+E30/$A$6</f>
        <v>0</v>
      </c>
      <c r="G31" s="2">
        <f>G29+G30/$A$6</f>
        <v>0</v>
      </c>
      <c r="I31" s="2">
        <f>I29+I30/$A$6</f>
        <v>0</v>
      </c>
      <c r="J31" s="2">
        <f>J29+J30/$A$6</f>
        <v>0</v>
      </c>
      <c r="L31" s="2">
        <f>L29+L30/$A$6</f>
        <v>0</v>
      </c>
      <c r="M31" s="2">
        <f>M29+M30/$A$6</f>
        <v>0</v>
      </c>
      <c r="O31" s="2">
        <f>O29+O30/$A$6</f>
        <v>65</v>
      </c>
      <c r="P31" s="2">
        <f>P30/$U$11</f>
        <v>57.064112259473994</v>
      </c>
      <c r="Q31" s="2">
        <f>Q30/$U$11</f>
        <v>176.69775649105117</v>
      </c>
      <c r="R31" s="2">
        <f>R29+R30/$A$6</f>
        <v>76.940298507462686</v>
      </c>
      <c r="T31" s="2">
        <f>T29+T30/$A$6</f>
        <v>0</v>
      </c>
      <c r="U31" s="2">
        <f>U29+U30/$A$6</f>
        <v>0</v>
      </c>
      <c r="V31" s="2">
        <f>V29+V30/$A$6</f>
        <v>0</v>
      </c>
      <c r="W31" s="2">
        <f>W29+W30/$A$6</f>
        <v>0</v>
      </c>
    </row>
    <row r="32" spans="1:30" s="9" customFormat="1" x14ac:dyDescent="0.3">
      <c r="A32" s="9" t="s">
        <v>48</v>
      </c>
      <c r="C32" s="2">
        <f>C26-C31</f>
        <v>445.41567695961993</v>
      </c>
      <c r="E32" s="2">
        <f>E26-E31</f>
        <v>326.96517412935327</v>
      </c>
      <c r="G32" s="2">
        <f>G26-G31</f>
        <v>303.08457711442787</v>
      </c>
      <c r="I32" s="2">
        <f>I26-I31</f>
        <v>182.86069651741295</v>
      </c>
      <c r="J32" s="2">
        <f>J26-J31</f>
        <v>31.343283582089555</v>
      </c>
      <c r="L32" s="2">
        <f>L26-L31</f>
        <v>171.16915422885572</v>
      </c>
      <c r="M32" s="2">
        <f>M26-M31</f>
        <v>73.532338308457724</v>
      </c>
      <c r="O32" s="2">
        <f>O26-O31</f>
        <v>459.19239904988126</v>
      </c>
      <c r="P32" s="2">
        <f>P26-P31</f>
        <v>415.66747918945714</v>
      </c>
      <c r="Q32" s="2">
        <f>Q26-Q31</f>
        <v>385.02433377023152</v>
      </c>
      <c r="R32" s="2">
        <f>R26-R31</f>
        <v>461.5038820151027</v>
      </c>
      <c r="T32" s="2">
        <f>T26-T31</f>
        <v>181.60332541567695</v>
      </c>
      <c r="U32" s="2">
        <f>U26-U31</f>
        <v>85.427553444180518</v>
      </c>
      <c r="V32" s="2">
        <f>V26-V31</f>
        <v>224.03800475059381</v>
      </c>
      <c r="W32" s="2">
        <f>W26-W31</f>
        <v>230.21377672209027</v>
      </c>
    </row>
    <row r="33" spans="1:32" s="8" customFormat="1" x14ac:dyDescent="0.3">
      <c r="C33" s="2"/>
      <c r="D33" s="2"/>
      <c r="E33" s="2"/>
      <c r="F33" s="2"/>
      <c r="G33" s="2"/>
      <c r="H33" s="2"/>
      <c r="I33" s="2"/>
      <c r="J33" s="2"/>
      <c r="K33" s="2"/>
      <c r="L33" s="2"/>
      <c r="M33" s="2"/>
      <c r="N33" s="2"/>
      <c r="O33" s="37"/>
      <c r="P33" s="37"/>
      <c r="Q33" s="37"/>
      <c r="R33" s="37"/>
      <c r="S33" s="2"/>
      <c r="T33" s="2"/>
      <c r="U33" s="2"/>
      <c r="V33" s="2"/>
      <c r="AC33" s="2"/>
      <c r="AD33" s="2"/>
      <c r="AE33" s="2"/>
      <c r="AF33" s="2"/>
    </row>
    <row r="34" spans="1:32" s="16" customFormat="1" x14ac:dyDescent="0.3">
      <c r="C34" s="16" t="s">
        <v>0</v>
      </c>
      <c r="D34" s="13"/>
      <c r="E34" s="16" t="s">
        <v>2</v>
      </c>
      <c r="F34" s="13"/>
      <c r="G34" s="16" t="s">
        <v>5</v>
      </c>
      <c r="H34" s="13"/>
      <c r="I34" s="16" t="s">
        <v>43</v>
      </c>
      <c r="J34" s="16" t="s">
        <v>44</v>
      </c>
      <c r="L34" s="16" t="s">
        <v>45</v>
      </c>
      <c r="M34" s="16" t="s">
        <v>46</v>
      </c>
      <c r="N34" s="13"/>
      <c r="O34" s="16" t="s">
        <v>55</v>
      </c>
      <c r="P34" s="16" t="s">
        <v>56</v>
      </c>
      <c r="Q34" s="16" t="s">
        <v>57</v>
      </c>
      <c r="R34" s="16" t="s">
        <v>58</v>
      </c>
      <c r="S34" s="13"/>
      <c r="T34" s="16" t="s">
        <v>63</v>
      </c>
      <c r="U34" s="16" t="s">
        <v>64</v>
      </c>
      <c r="V34" s="16" t="s">
        <v>65</v>
      </c>
      <c r="W34" s="16" t="s">
        <v>66</v>
      </c>
      <c r="AC34" s="13"/>
      <c r="AD34" s="13"/>
      <c r="AE34" s="13"/>
      <c r="AF34" s="13"/>
    </row>
    <row r="35" spans="1:32" s="8" customFormat="1" x14ac:dyDescent="0.3">
      <c r="A35" s="8" t="s">
        <v>20</v>
      </c>
      <c r="C35" s="14" t="s">
        <v>18</v>
      </c>
      <c r="D35" s="15"/>
      <c r="E35" s="14" t="s">
        <v>17</v>
      </c>
      <c r="F35" s="15"/>
      <c r="G35" s="14" t="s">
        <v>17</v>
      </c>
      <c r="H35" s="15"/>
      <c r="I35" s="14" t="s">
        <v>15</v>
      </c>
      <c r="J35" s="17" t="s">
        <v>49</v>
      </c>
      <c r="K35" s="15"/>
      <c r="L35" s="14" t="s">
        <v>16</v>
      </c>
      <c r="M35" s="17" t="s">
        <v>13</v>
      </c>
      <c r="N35" s="15"/>
      <c r="O35" s="14" t="s">
        <v>18</v>
      </c>
      <c r="P35" s="14" t="s">
        <v>17</v>
      </c>
      <c r="Q35" s="14" t="s">
        <v>18</v>
      </c>
      <c r="R35" s="14" t="s">
        <v>18</v>
      </c>
      <c r="S35" s="15"/>
      <c r="T35" s="14" t="s">
        <v>16</v>
      </c>
      <c r="U35" s="14" t="s">
        <v>14</v>
      </c>
      <c r="V35" s="14" t="s">
        <v>17</v>
      </c>
      <c r="W35" s="14" t="s">
        <v>17</v>
      </c>
      <c r="AC35" s="2"/>
      <c r="AD35" s="2"/>
      <c r="AE35" s="2"/>
      <c r="AF35" s="2"/>
    </row>
    <row r="36" spans="1:32" s="8" customFormat="1" x14ac:dyDescent="0.3">
      <c r="A36" s="8" t="s">
        <v>21</v>
      </c>
      <c r="C36" s="7">
        <f>IF(C35=$B$9,$C$9,IF(C35=$B$10,$C$10,IF(C35=$B$11,$C$11,IF(C35=$B$12,$C$12,IF(C35=$B$13,$C$13,IF(C35=$B$14,#REF!,IF(C35=$B$15,$C$15,0)))))))</f>
        <v>97</v>
      </c>
      <c r="D36" s="2"/>
      <c r="E36" s="5">
        <f>IF(E35=$B$9,$C$9,IF(E35=$B$10,$C$10,IF(E35=$B$11,$C$11,IF(E35=$B$12,$C$12,IF(E35=$B$13,$C$13,IF(E35=$B$14,#REF!,IF(E35=$B$15,$C$15,0)))))))</f>
        <v>44</v>
      </c>
      <c r="F36" s="2"/>
      <c r="G36" s="5">
        <f>IF(G35=$B$9,$C$9,IF(G35=$B$10,$C$10,IF(G35=$B$11,$C$11,IF(G35=$B$12,$C$12,IF(G35=$B$13,$C$13,IF(G35=$B$14,#REF!,IF(G35=$B$15,$C$15,0)))))))</f>
        <v>44</v>
      </c>
      <c r="H36" s="2"/>
      <c r="I36" s="5">
        <f>IF(I35=$B$9,$C$9,IF(I35=$B$10,$C$10,IF(I35=$B$11,$C$11,IF(I35=$B$12,$C$12,IF(I35=$B$13,$C$13,IF(I35=$B$14,#REF!,IF(I35=$B$15,$C$15,0)))))))</f>
        <v>24</v>
      </c>
      <c r="J36" s="9">
        <f>IF(J35=$B$9,$C$9,IF(J35=$B$10,$C$10,IF(J35=$B$11,$C$11,IF(J35=$B$12,$C$12,IF(J35=$B$13,$C$13,IF(J35=$B$14,#REF!,IF(J35=$B$15,$C$15,0)))))))</f>
        <v>0</v>
      </c>
      <c r="K36" s="2"/>
      <c r="L36" s="5">
        <f>IF(L35=$B$9,$C$9,IF(L35=$B$10,$C$10,IF(L35=$B$11,$C$11,IF(L35=$B$12,$C$12,IF(L35=$B$13,$C$13,IF(L35=$B$14,#REF!,IF(L35=$B$15,$C$15,0)))))))</f>
        <v>31</v>
      </c>
      <c r="M36" s="9">
        <f>IF(M35=$B$9,$C$9,IF(M35=$B$10,$C$10,IF(M35=$B$11,$C$11,IF(M35=$B$12,$C$12,IF(M35=$B$13,$C$13,IF(M35=$B$14,#REF!,IF(M35=$B$15,$C$15,0)))))))</f>
        <v>6</v>
      </c>
      <c r="N36" s="2"/>
      <c r="O36" s="5">
        <f>IF(O35=$B$9,$C$9,IF(O35=$B$10,$C$10,IF(O35=$B$11,$C$11,IF(O35=$B$12,$C$12,IF(O35=$B$13,$C$13,IF(O35=$B$14,#REF!,IF(O35=$B$15,$C$15,0)))))))</f>
        <v>97</v>
      </c>
      <c r="P36" s="5">
        <f>IF(P35=$B$9,$C$9,IF(P35=$B$10,$C$10,IF(P35=$B$11,$C$11,IF(P35=$B$12,$C$12,IF(P35=$B$13,$C$13,IF(P35=$B$14,#REF!,IF(P35=$B$15,$C$15,0)))))))</f>
        <v>44</v>
      </c>
      <c r="Q36" s="5">
        <f>IF(Q35=$B$9,$C$9,IF(Q35=$B$10,$C$10,IF(Q35=$B$11,$C$11,IF(Q35=$B$12,$C$12,IF(Q35=$B$13,$C$13,IF(Q35=$B$14,#REF!,IF(Q35=$B$15,$C$15,0)))))))</f>
        <v>97</v>
      </c>
      <c r="R36" s="5">
        <f>IF(R35=$B$9,$C$9,IF(R35=$B$10,$C$10,IF(R35=$B$11,$C$11,IF(R35=$B$12,$C$12,IF(R35=$B$13,$C$13,IF(R35=$B$14,#REF!,IF(R35=$B$15,$C$15,0)))))))</f>
        <v>97</v>
      </c>
      <c r="S36" s="2"/>
      <c r="T36" s="8">
        <f>IF(T35=$B$9,$C$9,IF(T35=$B$10,$C$10,IF(T35=$B$11,$C$11,IF(T35=$B$12,$C$12,IF(T35=$B$13,$C$13,IF(T35=$B$14,#REF!,IF(T35=$B$15,$C$15,0)))))))</f>
        <v>31</v>
      </c>
      <c r="U36" s="8">
        <f>IF(U35=$B$9,$C$9,IF(U35=$B$10,$C$10,IF(U35=$B$11,$C$11,IF(U35=$B$12,$C$12,IF(U35=$B$13,$C$13,IF(U35=$B$14,#REF!,IF(U35=$B$15,$C$15,0)))))))</f>
        <v>13</v>
      </c>
      <c r="V36" s="8">
        <f>IF(V35=$B$9,$C$9,IF(V35=$B$10,$C$10,IF(V35=$B$11,$C$11,IF(V35=$B$12,$C$12,IF(V35=$B$13,$C$13,IF(V35=$B$14,#REF!,IF(V35=$B$15,$C$15,0)))))))</f>
        <v>44</v>
      </c>
      <c r="W36" s="8">
        <f>IF(W35=$B$9,$C$9,IF(W35=$B$10,$C$10,IF(W35=$B$11,$C$11,IF(W35=$B$12,$C$12,IF(W35=$B$13,$C$13,IF(W35=$B$14,#REF!,IF(W35=$B$15,$C$15,0)))))))</f>
        <v>44</v>
      </c>
      <c r="AC36" s="2"/>
      <c r="AD36" s="2"/>
      <c r="AE36" s="2"/>
      <c r="AF36" s="2"/>
    </row>
    <row r="37" spans="1:32" s="8" customFormat="1" x14ac:dyDescent="0.3">
      <c r="A37" s="8" t="s">
        <v>23</v>
      </c>
      <c r="C37" s="7">
        <f>C36*$A$4</f>
        <v>485</v>
      </c>
      <c r="D37" s="2"/>
      <c r="E37" s="5">
        <f>E36*$A$4</f>
        <v>220</v>
      </c>
      <c r="F37" s="2"/>
      <c r="G37" s="5">
        <f>G36*$A$4</f>
        <v>220</v>
      </c>
      <c r="H37" s="2"/>
      <c r="I37" s="5">
        <f>I36*$A$4</f>
        <v>120</v>
      </c>
      <c r="J37" s="9">
        <f t="shared" ref="J37" si="19">J36*$A$4</f>
        <v>0</v>
      </c>
      <c r="K37" s="2"/>
      <c r="L37" s="5">
        <f>L36*$A$4</f>
        <v>155</v>
      </c>
      <c r="M37" s="9">
        <f t="shared" ref="M37" si="20">M36*$A$4</f>
        <v>30</v>
      </c>
      <c r="N37" s="2"/>
      <c r="O37" s="5">
        <f t="shared" ref="O37" si="21">O36*$A$4</f>
        <v>485</v>
      </c>
      <c r="P37" s="5">
        <f t="shared" ref="P37" si="22">P36*$A$4</f>
        <v>220</v>
      </c>
      <c r="Q37" s="5">
        <f t="shared" ref="Q37:R37" si="23">Q36*$A$4</f>
        <v>485</v>
      </c>
      <c r="R37" s="5">
        <f t="shared" si="23"/>
        <v>485</v>
      </c>
      <c r="S37" s="2"/>
      <c r="T37" s="8">
        <f t="shared" ref="T37:W37" si="24">T36*$A$4</f>
        <v>155</v>
      </c>
      <c r="U37" s="8">
        <f t="shared" si="24"/>
        <v>65</v>
      </c>
      <c r="V37" s="8">
        <f t="shared" si="24"/>
        <v>220</v>
      </c>
      <c r="W37" s="8">
        <f t="shared" si="24"/>
        <v>220</v>
      </c>
      <c r="AC37" s="2"/>
      <c r="AD37" s="2"/>
      <c r="AE37" s="2"/>
      <c r="AF37" s="2"/>
    </row>
    <row r="38" spans="1:32" s="8" customFormat="1" x14ac:dyDescent="0.3">
      <c r="A38" s="8" t="s">
        <v>22</v>
      </c>
      <c r="C38" s="14">
        <v>74</v>
      </c>
      <c r="D38" s="15"/>
      <c r="E38" s="14">
        <v>370</v>
      </c>
      <c r="F38" s="15"/>
      <c r="G38" s="14">
        <v>339</v>
      </c>
      <c r="H38" s="15"/>
      <c r="I38" s="14">
        <v>74</v>
      </c>
      <c r="J38" s="17">
        <v>129</v>
      </c>
      <c r="K38" s="15"/>
      <c r="L38" s="14">
        <v>10</v>
      </c>
      <c r="M38" s="17">
        <v>110</v>
      </c>
      <c r="N38" s="15"/>
      <c r="O38" s="14">
        <v>191</v>
      </c>
      <c r="P38" s="14">
        <v>1030</v>
      </c>
      <c r="Q38" s="25">
        <v>311</v>
      </c>
      <c r="R38" s="14">
        <v>235</v>
      </c>
      <c r="S38" s="15"/>
      <c r="T38" s="15">
        <v>112</v>
      </c>
      <c r="U38" s="15">
        <v>53</v>
      </c>
      <c r="V38" s="15">
        <v>100</v>
      </c>
      <c r="W38" s="14">
        <v>26</v>
      </c>
      <c r="AC38" s="2"/>
      <c r="AD38" s="2"/>
      <c r="AE38" s="2"/>
      <c r="AF38" s="2"/>
    </row>
    <row r="39" spans="1:32" s="8" customFormat="1" x14ac:dyDescent="0.3">
      <c r="A39" s="8" t="s">
        <v>23</v>
      </c>
      <c r="C39" s="2">
        <f>C38/$A$5</f>
        <v>17.577197149643705</v>
      </c>
      <c r="D39" s="2"/>
      <c r="E39" s="2">
        <f>E38/$A$6</f>
        <v>92.039800995024891</v>
      </c>
      <c r="F39" s="2"/>
      <c r="G39" s="2">
        <f>G38/$A$6</f>
        <v>84.328358208955237</v>
      </c>
      <c r="H39" s="2"/>
      <c r="I39" s="2">
        <f>I38/$A$6</f>
        <v>18.407960199004979</v>
      </c>
      <c r="J39" s="2">
        <f>J38/$A$6</f>
        <v>32.089552238805972</v>
      </c>
      <c r="K39" s="2"/>
      <c r="L39" s="2">
        <f>L38/$A$6</f>
        <v>2.4875621890547266</v>
      </c>
      <c r="M39" s="2">
        <f>M38/$A$6</f>
        <v>27.363184079601993</v>
      </c>
      <c r="N39" s="2"/>
      <c r="O39" s="2">
        <f>O38/$A$5</f>
        <v>45.36817102137767</v>
      </c>
      <c r="P39" s="2">
        <f>P38/$A$5</f>
        <v>244.65558194774346</v>
      </c>
      <c r="Q39" s="2">
        <f>Q38/$A$5</f>
        <v>73.87173396674585</v>
      </c>
      <c r="R39" s="2">
        <f>R38/$A$5</f>
        <v>55.819477434679335</v>
      </c>
      <c r="S39" s="2"/>
      <c r="T39" s="2">
        <f>T38/$A$5</f>
        <v>26.603325415676959</v>
      </c>
      <c r="U39" s="2">
        <f>U38/$A$5</f>
        <v>12.589073634204276</v>
      </c>
      <c r="V39" s="2">
        <f>V38/$A$5</f>
        <v>23.752969121140143</v>
      </c>
      <c r="W39" s="2">
        <f>W38/$A$5</f>
        <v>6.1757719714964372</v>
      </c>
      <c r="AC39" s="2"/>
      <c r="AD39" s="2"/>
      <c r="AE39" s="2"/>
      <c r="AF39" s="2"/>
    </row>
    <row r="40" spans="1:32" s="5" customFormat="1" x14ac:dyDescent="0.3">
      <c r="A40" s="8" t="s">
        <v>26</v>
      </c>
      <c r="B40" s="8"/>
      <c r="C40" s="2">
        <f>C39+C37</f>
        <v>502.57719714964372</v>
      </c>
      <c r="E40" s="2">
        <f>E39+E37</f>
        <v>312.0398009950249</v>
      </c>
      <c r="G40" s="2">
        <f>G39+G37</f>
        <v>304.32835820895525</v>
      </c>
      <c r="I40" s="2">
        <f>I39+I37</f>
        <v>138.40796019900498</v>
      </c>
      <c r="J40" s="2">
        <f t="shared" ref="J40" si="25">J39+J37</f>
        <v>32.089552238805972</v>
      </c>
      <c r="L40" s="2">
        <f>L39+L37</f>
        <v>157.48756218905473</v>
      </c>
      <c r="M40" s="2">
        <f t="shared" ref="M40" si="26">M39+M37</f>
        <v>57.363184079601993</v>
      </c>
      <c r="O40" s="2">
        <f t="shared" ref="O40" si="27">O39+O37</f>
        <v>530.36817102137763</v>
      </c>
      <c r="P40" s="2">
        <f t="shared" ref="P40" si="28">P39+P37</f>
        <v>464.65558194774349</v>
      </c>
      <c r="Q40" s="2">
        <f t="shared" ref="Q40" si="29">Q39+Q37</f>
        <v>558.87173396674586</v>
      </c>
      <c r="R40" s="2">
        <f t="shared" ref="R40" si="30">R39+R37</f>
        <v>540.81947743467936</v>
      </c>
      <c r="T40" s="2">
        <f t="shared" ref="T40:W40" si="31">T39+T37</f>
        <v>181.60332541567695</v>
      </c>
      <c r="U40" s="2">
        <f t="shared" si="31"/>
        <v>77.589073634204283</v>
      </c>
      <c r="V40" s="2">
        <f t="shared" si="31"/>
        <v>243.75296912114015</v>
      </c>
      <c r="W40" s="2">
        <f t="shared" si="31"/>
        <v>226.17577197149643</v>
      </c>
    </row>
    <row r="41" spans="1:32" s="8" customFormat="1" x14ac:dyDescent="0.3">
      <c r="A41" s="8" t="s">
        <v>34</v>
      </c>
      <c r="C41" s="2">
        <f>$C$17-C40</f>
        <v>-17.577197149643723</v>
      </c>
      <c r="E41" s="2">
        <f>$C$17-E40</f>
        <v>172.9601990049751</v>
      </c>
      <c r="G41" s="2">
        <f>$C$17-G40</f>
        <v>180.67164179104475</v>
      </c>
      <c r="I41" s="2">
        <f>$C$17-I40</f>
        <v>346.59203980099505</v>
      </c>
      <c r="J41" s="2">
        <f>$C$17-J40</f>
        <v>452.91044776119401</v>
      </c>
      <c r="L41" s="2">
        <f>$C$17-L40</f>
        <v>327.51243781094524</v>
      </c>
      <c r="M41" s="2">
        <f>$C$17-M40</f>
        <v>427.63681592039802</v>
      </c>
      <c r="O41" s="2">
        <f>$C$17-O40</f>
        <v>-45.368171021377634</v>
      </c>
      <c r="P41" s="2">
        <f>$C$17-P40</f>
        <v>20.344418052256515</v>
      </c>
      <c r="Q41" s="2">
        <f>$C$17-Q40</f>
        <v>-73.871733966745865</v>
      </c>
      <c r="R41" s="2">
        <f>$C$17-R40</f>
        <v>-55.819477434679357</v>
      </c>
      <c r="T41" s="2">
        <f>$C$17-T40</f>
        <v>303.39667458432302</v>
      </c>
      <c r="U41" s="2">
        <f>$C$17-U40</f>
        <v>407.41092636579572</v>
      </c>
      <c r="V41" s="2">
        <f>$C$17-V40</f>
        <v>241.24703087885985</v>
      </c>
      <c r="W41" s="2">
        <f>$C$17-W40</f>
        <v>258.82422802850357</v>
      </c>
    </row>
    <row r="42" spans="1:32" s="20" customFormat="1" x14ac:dyDescent="0.3">
      <c r="A42" s="20" t="s">
        <v>67</v>
      </c>
      <c r="C42" s="15" t="s">
        <v>14</v>
      </c>
      <c r="D42" s="21"/>
      <c r="E42" s="15" t="s">
        <v>49</v>
      </c>
      <c r="F42" s="21"/>
      <c r="G42" s="15" t="s">
        <v>49</v>
      </c>
      <c r="H42" s="21"/>
      <c r="I42" s="15" t="s">
        <v>49</v>
      </c>
      <c r="J42" s="15" t="s">
        <v>49</v>
      </c>
      <c r="K42" s="21"/>
      <c r="L42" s="15" t="s">
        <v>49</v>
      </c>
      <c r="M42" s="15" t="s">
        <v>49</v>
      </c>
      <c r="N42" s="21"/>
      <c r="O42" s="15" t="s">
        <v>14</v>
      </c>
      <c r="P42" s="15" t="s">
        <v>69</v>
      </c>
      <c r="Q42" s="15" t="s">
        <v>69</v>
      </c>
      <c r="R42" s="15" t="s">
        <v>14</v>
      </c>
      <c r="S42" s="21"/>
      <c r="T42" s="15" t="s">
        <v>49</v>
      </c>
      <c r="U42" s="15" t="s">
        <v>49</v>
      </c>
      <c r="V42" s="15" t="s">
        <v>49</v>
      </c>
      <c r="W42" s="15" t="s">
        <v>49</v>
      </c>
    </row>
    <row r="43" spans="1:32" s="20" customFormat="1" x14ac:dyDescent="0.3">
      <c r="A43" s="20" t="s">
        <v>68</v>
      </c>
      <c r="C43" s="20">
        <f>IF(C42=$B$9,$C$9,IF(C42=$B$10,$C$10,IF(C42=$B$11,$C$11,IF(C42=$B$12,$C$12,IF(C42=$B$13,$C$13,IF(C42=$B$14,#REF!,IF(C42=$B$15,$C$15,0)))))))*$A$4</f>
        <v>65</v>
      </c>
      <c r="E43" s="20">
        <f>IF(E42=$B$9,$C$9,IF(E42=$B$10,$C$10,IF(E42=$B$11,$C$11,IF(E42=$B$12,$C$12,IF(E42=$B$13,$C$13,IF(E42=$B$14,#REF!,IF(E42=$B$15,$C$15,0)))))))*$A$4</f>
        <v>0</v>
      </c>
      <c r="G43" s="20">
        <f>IF(G42=$B$9,$C$9,IF(G42=$B$10,$C$10,IF(G42=$B$11,$C$11,IF(G42=$B$12,$C$12,IF(G42=$B$13,$C$13,IF(G42=$B$14,#REF!,IF(G42=$B$15,$C$15,0)))))))*$A$4</f>
        <v>0</v>
      </c>
      <c r="I43" s="20">
        <f>IF(I42=$B$9,$C$9,IF(I42=$B$10,$C$10,IF(I42=$B$11,$C$11,IF(I42=$B$12,$C$12,IF(I42=$B$13,$C$13,IF(I42=$B$14,#REF!,IF(I42=$B$15,$C$15,0)))))))*$A$4</f>
        <v>0</v>
      </c>
      <c r="J43" s="20">
        <f>IF(J42=$B$9,$C$9,IF(J42=$B$10,$C$10,IF(J42=$B$11,$C$11,IF(J42=$B$12,$C$12,IF(J42=$B$13,$C$13,IF(J42=$B$14,#REF!,IF(J42=$B$15,$C$15,0)))))))*$A$4</f>
        <v>0</v>
      </c>
      <c r="L43" s="20">
        <f>IF(L42=$B$9,$C$9,IF(L42=$B$10,$C$10,IF(L42=$B$11,$C$11,IF(L42=$B$12,$C$12,IF(L42=$B$13,$C$13,IF(L42=$B$14,#REF!,IF(L42=$B$15,$C$15,0)))))))*$A$4</f>
        <v>0</v>
      </c>
      <c r="M43" s="20">
        <f>IF(M42=$B$9,$C$9,IF(M42=$B$10,$C$10,IF(M42=$B$11,$C$11,IF(M42=$B$12,$C$12,IF(M42=$B$13,$C$13,IF(M42=$B$14,#REF!,IF(M42=$B$15,$C$15,0)))))))*$A$4</f>
        <v>0</v>
      </c>
      <c r="O43" s="20">
        <f>IF(O42=$B$9,$C$9,IF(O42=$B$10,$C$10,IF(O42=$B$11,$C$11,IF(O42=$B$12,$C$12,IF(O42=$B$13,$C$13,IF(O42=$B$14,#REF!,IF(O42=$B$15,$C$15,0)))))))*$A$4</f>
        <v>65</v>
      </c>
      <c r="P43" s="20" t="s">
        <v>71</v>
      </c>
      <c r="Q43" s="20" t="s">
        <v>71</v>
      </c>
      <c r="R43" s="20">
        <f>IF(R42=$B$9,$C$9,IF(R42=$B$10,$C$10,IF(R42=$B$11,$C$11,IF(R42=$B$12,$C$12,IF(R42=$B$13,$C$13,IF(R42=$B$14,#REF!,IF(R42=$B$15,$C$15,0)))))))*$A$4</f>
        <v>65</v>
      </c>
      <c r="T43" s="20">
        <f>IF(T42=$B$9,$C$9,IF(T42=$B$10,$C$10,IF(T42=$B$11,$C$11,IF(T42=$B$12,$C$12,IF(T42=$B$13,$C$13,IF(T42=$B$14,#REF!,IF(T42=$B$15,$C$15,0)))))))*$A$4</f>
        <v>0</v>
      </c>
      <c r="U43" s="20">
        <f>IF(U42=$B$9,$C$9,IF(U42=$B$10,$C$10,IF(U42=$B$11,$C$11,IF(U42=$B$12,$C$12,IF(U42=$B$13,$C$13,IF(U42=$B$14,#REF!,IF(U42=$B$15,$C$15,0)))))))*$A$4</f>
        <v>0</v>
      </c>
      <c r="V43" s="20">
        <f>IF(V42=$B$9,$C$9,IF(V42=$B$10,$C$10,IF(V42=$B$11,$C$11,IF(V42=$B$12,$C$12,IF(V42=$B$13,$C$13,IF(V42=$B$14,#REF!,IF(V42=$B$15,$C$15,0)))))))*$A$4</f>
        <v>0</v>
      </c>
      <c r="W43" s="20">
        <f>IF(W42=$B$9,$C$9,IF(W42=$B$10,$C$10,IF(W42=$B$11,$C$11,IF(W42=$B$12,$C$12,IF(W42=$B$13,$C$13,IF(W42=$B$14,#REF!,IF(W42=$B$15,$C$15,0)))))))*$A$4</f>
        <v>0</v>
      </c>
    </row>
    <row r="44" spans="1:32" s="9" customFormat="1" x14ac:dyDescent="0.3">
      <c r="A44" s="20" t="s">
        <v>70</v>
      </c>
      <c r="C44" s="31">
        <v>0</v>
      </c>
      <c r="D44" s="19"/>
      <c r="E44" s="31">
        <v>0</v>
      </c>
      <c r="F44" s="19"/>
      <c r="G44" s="31">
        <v>0</v>
      </c>
      <c r="H44" s="19"/>
      <c r="I44" s="31">
        <v>0</v>
      </c>
      <c r="J44" s="31">
        <v>0</v>
      </c>
      <c r="K44" s="19"/>
      <c r="L44" s="31">
        <v>0</v>
      </c>
      <c r="M44" s="31">
        <v>0</v>
      </c>
      <c r="N44" s="19"/>
      <c r="O44" s="15">
        <v>40</v>
      </c>
      <c r="P44" s="15">
        <v>459</v>
      </c>
      <c r="Q44" s="15">
        <v>1984</v>
      </c>
      <c r="R44" s="31">
        <v>0</v>
      </c>
      <c r="S44" s="19"/>
      <c r="T44" s="31">
        <v>0</v>
      </c>
      <c r="U44" s="31">
        <v>0</v>
      </c>
      <c r="V44" s="31">
        <v>0</v>
      </c>
      <c r="W44" s="31">
        <v>0</v>
      </c>
    </row>
    <row r="45" spans="1:32" s="5" customFormat="1" x14ac:dyDescent="0.3">
      <c r="A45" s="9" t="s">
        <v>47</v>
      </c>
      <c r="B45" s="9"/>
      <c r="C45" s="2">
        <f>C43+C44/$A$6</f>
        <v>65</v>
      </c>
      <c r="D45" s="9"/>
      <c r="E45" s="2">
        <f>E43+E44/$A$6</f>
        <v>0</v>
      </c>
      <c r="F45" s="9"/>
      <c r="G45" s="2">
        <f>G43+G44/$A$6</f>
        <v>0</v>
      </c>
      <c r="H45" s="9"/>
      <c r="I45" s="2">
        <f>I43+I44/$A$6</f>
        <v>0</v>
      </c>
      <c r="J45" s="2">
        <f>J43+J44/$A$6</f>
        <v>0</v>
      </c>
      <c r="K45" s="9"/>
      <c r="L45" s="2">
        <f>L43+L44/$A$6</f>
        <v>0</v>
      </c>
      <c r="M45" s="2">
        <f>M43+M44/$A$6</f>
        <v>0</v>
      </c>
      <c r="N45" s="9"/>
      <c r="O45" s="2">
        <f>O43+O44/$A$6</f>
        <v>74.950248756218912</v>
      </c>
      <c r="P45" s="2">
        <f>P44/$U$11</f>
        <v>40.110915049155537</v>
      </c>
      <c r="Q45" s="2">
        <f>Q44/$U$11</f>
        <v>173.37702714057642</v>
      </c>
      <c r="R45" s="2">
        <f>R43+R44/$A$6</f>
        <v>65</v>
      </c>
      <c r="S45" s="9"/>
      <c r="T45" s="2">
        <f>T43+T44/$A$6</f>
        <v>0</v>
      </c>
      <c r="U45" s="2">
        <f>U43+U44/$A$6</f>
        <v>0</v>
      </c>
      <c r="V45" s="2">
        <f>V43+V44/$A$6</f>
        <v>0</v>
      </c>
      <c r="W45" s="2">
        <f>W43+W44/$A$6</f>
        <v>0</v>
      </c>
    </row>
    <row r="46" spans="1:32" s="8" customFormat="1" x14ac:dyDescent="0.3">
      <c r="A46" s="9" t="s">
        <v>48</v>
      </c>
      <c r="B46" s="9"/>
      <c r="C46" s="2">
        <f>C40-C45</f>
        <v>437.57719714964372</v>
      </c>
      <c r="D46" s="9"/>
      <c r="E46" s="2">
        <f>E40-E45</f>
        <v>312.0398009950249</v>
      </c>
      <c r="F46" s="9"/>
      <c r="G46" s="2">
        <f>G40-G45</f>
        <v>304.32835820895525</v>
      </c>
      <c r="H46" s="9"/>
      <c r="I46" s="2">
        <f>I40-I45</f>
        <v>138.40796019900498</v>
      </c>
      <c r="J46" s="2">
        <f>J40-J45</f>
        <v>32.089552238805972</v>
      </c>
      <c r="K46" s="9"/>
      <c r="L46" s="2">
        <f>L40-L45</f>
        <v>157.48756218905473</v>
      </c>
      <c r="M46" s="2">
        <f>M40-M45</f>
        <v>57.363184079601993</v>
      </c>
      <c r="N46" s="9"/>
      <c r="O46" s="2">
        <f>O40-O45</f>
        <v>455.41792226515872</v>
      </c>
      <c r="P46" s="2">
        <f>P40-P45</f>
        <v>424.54466689858793</v>
      </c>
      <c r="Q46" s="2">
        <f>Q40-Q45</f>
        <v>385.49470682616948</v>
      </c>
      <c r="R46" s="2">
        <f>R40-R45</f>
        <v>475.81947743467936</v>
      </c>
      <c r="S46" s="9"/>
      <c r="T46" s="2">
        <f>T40-T45</f>
        <v>181.60332541567695</v>
      </c>
      <c r="U46" s="2">
        <f>U40-U45</f>
        <v>77.589073634204283</v>
      </c>
      <c r="V46" s="2">
        <f>V40-V45</f>
        <v>243.75296912114015</v>
      </c>
      <c r="W46" s="2">
        <f>W40-W45</f>
        <v>226.17577197149643</v>
      </c>
    </row>
    <row r="47" spans="1:32" s="8" customFormat="1" x14ac:dyDescent="0.3">
      <c r="J47" s="9"/>
      <c r="M47" s="9"/>
    </row>
    <row r="48" spans="1:32" s="8" customFormat="1" x14ac:dyDescent="0.3">
      <c r="J48" s="9"/>
      <c r="M48" s="9"/>
    </row>
    <row r="49" spans="1:18" x14ac:dyDescent="0.3">
      <c r="A49" s="38" t="s">
        <v>116</v>
      </c>
      <c r="C49" s="37">
        <f>AVERAGE(C46,C32)/365</f>
        <v>1.2095792796017311</v>
      </c>
      <c r="D49" s="37"/>
      <c r="E49" s="37"/>
      <c r="F49" s="37"/>
      <c r="G49" s="37"/>
      <c r="H49" s="37"/>
      <c r="I49" s="37"/>
      <c r="J49" s="37"/>
      <c r="K49" s="37"/>
      <c r="L49" s="37"/>
      <c r="M49" s="37"/>
      <c r="N49" s="37"/>
      <c r="O49" s="37">
        <f>AVERAGE(O46,O32)/365</f>
        <v>1.2528908511164931</v>
      </c>
      <c r="P49" s="37">
        <f>AVERAGE(P46,P32)/365</f>
        <v>1.150975542586363</v>
      </c>
      <c r="Q49" s="37">
        <f>AVERAGE(Q46,Q32)/365</f>
        <v>1.0555055350635631</v>
      </c>
      <c r="R49" s="37">
        <f>AVERAGE(R46,R32)/365</f>
        <v>1.2840046019860027</v>
      </c>
    </row>
  </sheetData>
  <mergeCells count="2">
    <mergeCell ref="P8:Q8"/>
    <mergeCell ref="A1:X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U84"/>
  <sheetViews>
    <sheetView topLeftCell="A4" zoomScale="90" zoomScaleNormal="90" workbookViewId="0">
      <selection activeCell="G44" sqref="G44"/>
    </sheetView>
  </sheetViews>
  <sheetFormatPr defaultRowHeight="14.4" x14ac:dyDescent="0.3"/>
  <cols>
    <col min="1" max="2" width="8.88671875" style="9"/>
    <col min="3" max="3" width="4.21875" style="9" customWidth="1"/>
    <col min="4" max="4" width="8.88671875" style="9"/>
    <col min="5" max="5" width="8.88671875" style="20"/>
    <col min="6" max="6" width="8.88671875" style="23"/>
    <col min="7" max="7" width="8.88671875" style="9" customWidth="1"/>
    <col min="8" max="8" width="8.88671875" style="9"/>
    <col min="9" max="9" width="12.77734375" style="9" customWidth="1"/>
    <col min="10" max="16384" width="8.88671875" style="9"/>
  </cols>
  <sheetData>
    <row r="1" spans="2:14" x14ac:dyDescent="0.3">
      <c r="D1" s="43" t="s">
        <v>50</v>
      </c>
      <c r="E1" s="43"/>
      <c r="F1" s="43"/>
      <c r="G1" s="43"/>
      <c r="H1" s="43"/>
      <c r="K1" s="43"/>
      <c r="L1" s="43"/>
      <c r="M1" s="43"/>
      <c r="N1" s="43"/>
    </row>
    <row r="2" spans="2:14" x14ac:dyDescent="0.3">
      <c r="B2" s="16" t="s">
        <v>35</v>
      </c>
      <c r="D2" s="9" t="s">
        <v>36</v>
      </c>
      <c r="E2" s="20" t="s">
        <v>76</v>
      </c>
      <c r="F2" s="23" t="s">
        <v>36</v>
      </c>
      <c r="G2" s="9" t="s">
        <v>37</v>
      </c>
      <c r="H2" s="9" t="s">
        <v>38</v>
      </c>
      <c r="J2" s="20"/>
    </row>
    <row r="4" spans="2:14" x14ac:dyDescent="0.3">
      <c r="B4" s="41" t="s">
        <v>1</v>
      </c>
      <c r="D4" s="2">
        <f>'N. alesi dental calculation'!C27</f>
        <v>-25.41567695961993</v>
      </c>
      <c r="E4" s="2">
        <f>IF(D4&lt;0,D4,0)</f>
        <v>-25.41567695961993</v>
      </c>
      <c r="F4" s="2">
        <f>IF(D4&gt;0,D4,0)</f>
        <v>0</v>
      </c>
      <c r="G4" s="2">
        <f>'N. alesi dental calculation'!C32+IF(D4&lt;0,D4,0)</f>
        <v>420</v>
      </c>
      <c r="H4" s="2">
        <f>'N. alesi dental calculation'!C31</f>
        <v>65</v>
      </c>
      <c r="I4" s="2"/>
      <c r="J4" s="2"/>
      <c r="K4" s="2"/>
      <c r="L4" s="2"/>
      <c r="M4" s="2"/>
      <c r="N4" s="2"/>
    </row>
    <row r="5" spans="2:14" s="23" customFormat="1" x14ac:dyDescent="0.3">
      <c r="B5" s="41"/>
      <c r="D5" s="2">
        <f>D4</f>
        <v>-25.41567695961993</v>
      </c>
      <c r="E5" s="2">
        <f t="shared" ref="E5" si="0">E4</f>
        <v>-25.41567695961993</v>
      </c>
      <c r="F5" s="2">
        <f>F4</f>
        <v>0</v>
      </c>
      <c r="G5" s="2">
        <f>G4</f>
        <v>420</v>
      </c>
      <c r="H5" s="2">
        <f>H4</f>
        <v>65</v>
      </c>
      <c r="I5" s="2"/>
      <c r="J5" s="2"/>
      <c r="K5" s="2"/>
      <c r="L5" s="2"/>
      <c r="M5" s="2"/>
      <c r="N5" s="2"/>
    </row>
    <row r="6" spans="2:14" s="23" customFormat="1" ht="5.4" customHeight="1" x14ac:dyDescent="0.3">
      <c r="D6" s="2"/>
      <c r="E6" s="2"/>
      <c r="F6" s="2"/>
      <c r="G6" s="2"/>
      <c r="H6" s="2"/>
      <c r="I6" s="2"/>
      <c r="J6" s="2"/>
      <c r="K6" s="2"/>
      <c r="L6" s="2"/>
      <c r="M6" s="2"/>
      <c r="N6" s="2"/>
    </row>
    <row r="7" spans="2:14" x14ac:dyDescent="0.3">
      <c r="B7" s="41" t="s">
        <v>4</v>
      </c>
      <c r="D7" s="2">
        <f>'N. alesi dental calculation'!E27</f>
        <v>158.03482587064673</v>
      </c>
      <c r="E7" s="2">
        <f t="shared" ref="E7:E55" si="1">IF(D7&lt;0,D7,0)</f>
        <v>0</v>
      </c>
      <c r="F7" s="2">
        <f>IF(D7&gt;0,D7,0)</f>
        <v>158.03482587064673</v>
      </c>
      <c r="G7" s="2">
        <f>'N. alesi dental calculation'!E32+IF(D7&lt;0,D7,0)</f>
        <v>326.96517412935327</v>
      </c>
      <c r="H7" s="2">
        <f>'N. alesi dental calculation'!E31</f>
        <v>0</v>
      </c>
      <c r="I7" s="2"/>
      <c r="J7" s="2"/>
      <c r="K7" s="2"/>
      <c r="L7" s="2"/>
      <c r="M7" s="2"/>
      <c r="N7" s="2"/>
    </row>
    <row r="8" spans="2:14" s="23" customFormat="1" x14ac:dyDescent="0.3">
      <c r="B8" s="41"/>
      <c r="D8" s="2">
        <f>D7</f>
        <v>158.03482587064673</v>
      </c>
      <c r="E8" s="2">
        <f t="shared" ref="E8" si="2">E7</f>
        <v>0</v>
      </c>
      <c r="F8" s="2">
        <f>F7</f>
        <v>158.03482587064673</v>
      </c>
      <c r="G8" s="2">
        <f>G7</f>
        <v>326.96517412935327</v>
      </c>
      <c r="H8" s="2">
        <f>H7</f>
        <v>0</v>
      </c>
      <c r="I8" s="2"/>
      <c r="J8" s="2"/>
      <c r="K8" s="2"/>
      <c r="L8" s="2"/>
      <c r="M8" s="2"/>
      <c r="N8" s="2"/>
    </row>
    <row r="9" spans="2:14" s="23" customFormat="1" ht="5.4" customHeight="1" x14ac:dyDescent="0.3">
      <c r="D9" s="2"/>
      <c r="E9" s="2"/>
      <c r="F9" s="2"/>
      <c r="G9" s="2"/>
      <c r="H9" s="2"/>
      <c r="I9" s="2"/>
      <c r="J9" s="2"/>
      <c r="K9" s="2"/>
      <c r="L9" s="2"/>
      <c r="M9" s="2"/>
      <c r="N9" s="2"/>
    </row>
    <row r="10" spans="2:14" s="23" customFormat="1" x14ac:dyDescent="0.3">
      <c r="B10" s="41" t="s">
        <v>6</v>
      </c>
      <c r="D10" s="2">
        <f>'N. alesi dental calculation'!G27</f>
        <v>181.91542288557213</v>
      </c>
      <c r="E10" s="2">
        <f t="shared" ref="E10" si="3">IF(D10&lt;0,D10,0)</f>
        <v>0</v>
      </c>
      <c r="F10" s="2">
        <f>IF(D10&gt;0,D10,0)</f>
        <v>181.91542288557213</v>
      </c>
      <c r="G10" s="2">
        <f>'N. alesi dental calculation'!G32</f>
        <v>303.08457711442787</v>
      </c>
      <c r="H10" s="2">
        <f>'N. alesi dental calculation'!G30</f>
        <v>0</v>
      </c>
      <c r="I10" s="2"/>
      <c r="J10" s="2"/>
      <c r="K10" s="2"/>
      <c r="L10" s="2"/>
      <c r="M10" s="2"/>
      <c r="N10" s="2"/>
    </row>
    <row r="11" spans="2:14" s="23" customFormat="1" x14ac:dyDescent="0.3">
      <c r="B11" s="41"/>
      <c r="D11" s="2">
        <f>D10</f>
        <v>181.91542288557213</v>
      </c>
      <c r="E11" s="2">
        <f t="shared" ref="E11" si="4">E10</f>
        <v>0</v>
      </c>
      <c r="F11" s="2">
        <f>F10</f>
        <v>181.91542288557213</v>
      </c>
      <c r="G11" s="2">
        <f>G10</f>
        <v>303.08457711442787</v>
      </c>
      <c r="H11" s="2">
        <f>H10</f>
        <v>0</v>
      </c>
      <c r="I11" s="2"/>
      <c r="J11" s="2"/>
      <c r="K11" s="2"/>
      <c r="L11" s="2"/>
      <c r="M11" s="2"/>
      <c r="N11" s="2"/>
    </row>
    <row r="12" spans="2:14" s="23" customFormat="1" ht="5.4" customHeight="1" x14ac:dyDescent="0.3">
      <c r="D12" s="2"/>
      <c r="E12" s="2"/>
      <c r="F12" s="2"/>
      <c r="G12" s="2"/>
      <c r="H12" s="2"/>
      <c r="I12" s="2"/>
      <c r="J12" s="2"/>
      <c r="K12" s="2"/>
      <c r="L12" s="2"/>
      <c r="M12" s="2"/>
      <c r="N12" s="2"/>
    </row>
    <row r="13" spans="2:14" x14ac:dyDescent="0.3">
      <c r="B13" s="23" t="s">
        <v>77</v>
      </c>
      <c r="D13" s="2">
        <f>'N. alesi dental calculation'!I27</f>
        <v>302.13930348258702</v>
      </c>
      <c r="E13" s="2">
        <f t="shared" si="1"/>
        <v>0</v>
      </c>
      <c r="F13" s="2">
        <f>IF(D13&gt;0,D13,0)</f>
        <v>302.13930348258702</v>
      </c>
      <c r="G13" s="2">
        <f>'N. alesi dental calculation'!I32+IF(D13&lt;0,D13,0)</f>
        <v>182.86069651741295</v>
      </c>
      <c r="H13" s="2">
        <f>'N. alesi dental calculation'!I31</f>
        <v>0</v>
      </c>
      <c r="I13" s="2"/>
      <c r="J13" s="2"/>
      <c r="K13" s="2"/>
      <c r="L13" s="2"/>
      <c r="M13" s="2"/>
      <c r="N13" s="2"/>
    </row>
    <row r="14" spans="2:14" x14ac:dyDescent="0.3">
      <c r="B14" s="23" t="s">
        <v>78</v>
      </c>
      <c r="D14" s="2">
        <f>'N. alesi dental calculation'!J27</f>
        <v>453.65671641791045</v>
      </c>
      <c r="E14" s="2">
        <f t="shared" si="1"/>
        <v>0</v>
      </c>
      <c r="F14" s="2">
        <f>IF(D14&gt;0,D14,0)</f>
        <v>453.65671641791045</v>
      </c>
      <c r="G14" s="2">
        <f>'N. alesi dental calculation'!J32+IF(D14&lt;0,D14,0)</f>
        <v>31.343283582089555</v>
      </c>
      <c r="H14" s="2">
        <f>'N. alesi dental calculation'!J31</f>
        <v>0</v>
      </c>
      <c r="I14" s="2"/>
      <c r="J14" s="2"/>
      <c r="K14" s="2"/>
      <c r="L14" s="2"/>
      <c r="M14" s="2"/>
      <c r="N14" s="2"/>
    </row>
    <row r="15" spans="2:14" s="23" customFormat="1" ht="5.4" customHeight="1" x14ac:dyDescent="0.3">
      <c r="D15" s="2"/>
      <c r="E15" s="2"/>
      <c r="F15" s="2"/>
      <c r="G15" s="2"/>
      <c r="H15" s="2"/>
      <c r="I15" s="2"/>
      <c r="J15" s="2"/>
      <c r="K15" s="2"/>
      <c r="L15" s="2"/>
      <c r="M15" s="2"/>
      <c r="N15" s="2"/>
    </row>
    <row r="16" spans="2:14" x14ac:dyDescent="0.3">
      <c r="B16" s="23" t="s">
        <v>79</v>
      </c>
      <c r="D16" s="2">
        <f>'N. alesi dental calculation'!L27</f>
        <v>313.83084577114425</v>
      </c>
      <c r="E16" s="2">
        <f t="shared" si="1"/>
        <v>0</v>
      </c>
      <c r="F16" s="2">
        <f>IF(D16&gt;0,D16,0)</f>
        <v>313.83084577114425</v>
      </c>
      <c r="G16" s="2">
        <f>'N. alesi dental calculation'!L32+IF(D16&lt;0,D16,0)</f>
        <v>171.16915422885572</v>
      </c>
      <c r="H16" s="2">
        <f>'N. alesi dental calculation'!L31</f>
        <v>0</v>
      </c>
      <c r="I16" s="2"/>
      <c r="J16" s="2"/>
      <c r="K16" s="2"/>
      <c r="L16" s="2"/>
      <c r="M16" s="2"/>
      <c r="N16" s="2"/>
    </row>
    <row r="17" spans="2:14" x14ac:dyDescent="0.3">
      <c r="B17" s="23" t="s">
        <v>80</v>
      </c>
      <c r="D17" s="2">
        <f>'N. alesi dental calculation'!M27</f>
        <v>411.46766169154228</v>
      </c>
      <c r="E17" s="2">
        <f t="shared" si="1"/>
        <v>0</v>
      </c>
      <c r="F17" s="2">
        <f>IF(D17&gt;0,D17,0)</f>
        <v>411.46766169154228</v>
      </c>
      <c r="G17" s="2">
        <f>'N. alesi dental calculation'!M32+IF(D17&lt;0,D17,0)</f>
        <v>73.532338308457724</v>
      </c>
      <c r="H17" s="2">
        <f>'N. alesi dental calculation'!M31</f>
        <v>0</v>
      </c>
      <c r="I17" s="2"/>
      <c r="J17" s="2"/>
      <c r="K17" s="2"/>
      <c r="L17" s="2"/>
      <c r="M17" s="2"/>
      <c r="N17" s="2"/>
    </row>
    <row r="18" spans="2:14" s="23" customFormat="1" ht="5.4" customHeight="1" x14ac:dyDescent="0.3">
      <c r="D18" s="2"/>
      <c r="E18" s="2"/>
      <c r="F18" s="2"/>
      <c r="G18" s="2"/>
      <c r="H18" s="2"/>
      <c r="I18" s="2"/>
      <c r="J18" s="2"/>
      <c r="K18" s="2"/>
      <c r="L18" s="2"/>
      <c r="M18" s="2"/>
      <c r="N18" s="2"/>
    </row>
    <row r="19" spans="2:14" x14ac:dyDescent="0.3">
      <c r="B19" s="20" t="s">
        <v>51</v>
      </c>
      <c r="D19" s="2">
        <f>'N. alesi dental calculation'!O27</f>
        <v>-39.19239904988126</v>
      </c>
      <c r="E19" s="2">
        <f t="shared" si="1"/>
        <v>-39.19239904988126</v>
      </c>
      <c r="F19" s="2">
        <f>IF(D19&gt;0,D19,0)</f>
        <v>0</v>
      </c>
      <c r="G19" s="2">
        <f>'N. alesi dental calculation'!O32+IF(D19&lt;0,D19,0)</f>
        <v>420</v>
      </c>
      <c r="H19" s="2">
        <f>'N. alesi dental calculation'!O31</f>
        <v>65</v>
      </c>
      <c r="I19" s="2"/>
      <c r="J19" s="2"/>
      <c r="K19" s="2"/>
      <c r="L19" s="2"/>
      <c r="M19" s="2"/>
      <c r="N19" s="2"/>
    </row>
    <row r="20" spans="2:14" x14ac:dyDescent="0.3">
      <c r="B20" s="20" t="s">
        <v>52</v>
      </c>
      <c r="D20" s="2">
        <f>'N. alesi dental calculation'!P27</f>
        <v>12.268408551068887</v>
      </c>
      <c r="E20" s="2">
        <f t="shared" si="1"/>
        <v>0</v>
      </c>
      <c r="F20" s="2">
        <f>IF(D20&gt;0,D20,0)</f>
        <v>12.268408551068887</v>
      </c>
      <c r="G20" s="2">
        <f>'N. alesi dental calculation'!P32+IF(D20&lt;0,D20,0)</f>
        <v>415.66747918945714</v>
      </c>
      <c r="H20" s="2">
        <f>'N. alesi dental calculation'!P31</f>
        <v>57.064112259473994</v>
      </c>
      <c r="I20" s="2"/>
      <c r="J20" s="2"/>
      <c r="K20" s="2"/>
      <c r="L20" s="2"/>
      <c r="M20" s="2"/>
      <c r="N20" s="2"/>
    </row>
    <row r="21" spans="2:14" x14ac:dyDescent="0.3">
      <c r="B21" s="20" t="s">
        <v>53</v>
      </c>
      <c r="D21" s="2">
        <f>'N. alesi dental calculation'!Q27</f>
        <v>-76.722090261282688</v>
      </c>
      <c r="E21" s="2">
        <f t="shared" si="1"/>
        <v>-76.722090261282688</v>
      </c>
      <c r="F21" s="2">
        <f>IF(D21&gt;0,D21,0)</f>
        <v>0</v>
      </c>
      <c r="G21" s="2">
        <f>'N. alesi dental calculation'!Q32+IF(D21&lt;0,D21,0)</f>
        <v>308.30224350894883</v>
      </c>
      <c r="H21" s="2">
        <f>'N. alesi dental calculation'!Q31</f>
        <v>176.69775649105117</v>
      </c>
      <c r="I21" s="2"/>
      <c r="J21" s="2"/>
      <c r="K21" s="2"/>
      <c r="L21" s="2"/>
      <c r="M21" s="2"/>
      <c r="N21" s="2"/>
    </row>
    <row r="22" spans="2:14" x14ac:dyDescent="0.3">
      <c r="B22" s="20" t="s">
        <v>54</v>
      </c>
      <c r="D22" s="2">
        <f>'N. alesi dental calculation'!R27</f>
        <v>-53.444180522565375</v>
      </c>
      <c r="E22" s="2">
        <f t="shared" si="1"/>
        <v>-53.444180522565375</v>
      </c>
      <c r="F22" s="2">
        <f>IF(D22&gt;0,D22,0)</f>
        <v>0</v>
      </c>
      <c r="G22" s="2">
        <f>'N. alesi dental calculation'!R32+IF(D22&lt;0,D22,0)</f>
        <v>408.05970149253733</v>
      </c>
      <c r="H22" s="2">
        <f>'N. alesi dental calculation'!R31</f>
        <v>76.940298507462686</v>
      </c>
      <c r="I22" s="2"/>
      <c r="J22" s="2"/>
      <c r="K22" s="2"/>
      <c r="L22" s="2"/>
      <c r="M22" s="2"/>
      <c r="N22" s="2"/>
    </row>
    <row r="23" spans="2:14" s="23" customFormat="1" ht="5.4" customHeight="1" x14ac:dyDescent="0.3">
      <c r="D23" s="2"/>
      <c r="E23" s="2"/>
      <c r="F23" s="2"/>
      <c r="G23" s="2"/>
      <c r="H23" s="2"/>
      <c r="I23" s="2"/>
      <c r="J23" s="2"/>
      <c r="K23" s="2"/>
      <c r="L23" s="2"/>
      <c r="M23" s="2"/>
      <c r="N23" s="2"/>
    </row>
    <row r="24" spans="2:14" x14ac:dyDescent="0.3">
      <c r="B24" s="20" t="s">
        <v>59</v>
      </c>
      <c r="D24" s="2">
        <f>'N. alesi dental calculation'!T27</f>
        <v>303.39667458432302</v>
      </c>
      <c r="E24" s="2">
        <f t="shared" si="1"/>
        <v>0</v>
      </c>
      <c r="F24" s="2">
        <f>IF(D24&gt;0,D24,0)</f>
        <v>303.39667458432302</v>
      </c>
      <c r="G24" s="2">
        <f>'N. alesi dental calculation'!T32+IF(D24&lt;0,D24,0)</f>
        <v>181.60332541567695</v>
      </c>
      <c r="H24" s="2">
        <f>'N. alesi dental calculation'!T31</f>
        <v>0</v>
      </c>
      <c r="I24" s="2"/>
      <c r="J24" s="2"/>
      <c r="K24" s="2"/>
      <c r="L24" s="2"/>
      <c r="M24" s="2"/>
      <c r="N24" s="2"/>
    </row>
    <row r="25" spans="2:14" x14ac:dyDescent="0.3">
      <c r="B25" s="20" t="s">
        <v>60</v>
      </c>
      <c r="D25" s="2">
        <f>'N. alesi dental calculation'!U27</f>
        <v>399.57244655581951</v>
      </c>
      <c r="E25" s="2">
        <f t="shared" si="1"/>
        <v>0</v>
      </c>
      <c r="F25" s="2">
        <f>IF(D25&gt;0,D25,0)</f>
        <v>399.57244655581951</v>
      </c>
      <c r="G25" s="2">
        <f>'N. alesi dental calculation'!U32+IF(D25&lt;0,D25,0)</f>
        <v>85.427553444180518</v>
      </c>
      <c r="H25" s="2">
        <f>'N. alesi dental calculation'!U31</f>
        <v>0</v>
      </c>
      <c r="I25" s="2"/>
      <c r="J25" s="2"/>
      <c r="K25" s="2"/>
      <c r="L25" s="2"/>
      <c r="M25" s="2"/>
      <c r="N25" s="2"/>
    </row>
    <row r="26" spans="2:14" x14ac:dyDescent="0.3">
      <c r="B26" s="20" t="s">
        <v>61</v>
      </c>
      <c r="D26" s="2">
        <f>'N. alesi dental calculation'!V27</f>
        <v>260.96199524940619</v>
      </c>
      <c r="E26" s="2">
        <f t="shared" si="1"/>
        <v>0</v>
      </c>
      <c r="F26" s="2">
        <f>IF(D26&gt;0,D26,0)</f>
        <v>260.96199524940619</v>
      </c>
      <c r="G26" s="2">
        <f>'N. alesi dental calculation'!V32+IF(D26&lt;0,D26,0)</f>
        <v>224.03800475059381</v>
      </c>
      <c r="H26" s="2">
        <f>'N. alesi dental calculation'!V31</f>
        <v>0</v>
      </c>
      <c r="I26" s="2"/>
      <c r="J26" s="2"/>
      <c r="K26" s="2"/>
      <c r="L26" s="2"/>
      <c r="M26" s="2"/>
      <c r="N26" s="2"/>
    </row>
    <row r="27" spans="2:14" x14ac:dyDescent="0.3">
      <c r="B27" s="20" t="s">
        <v>62</v>
      </c>
      <c r="D27" s="2">
        <f>'N. alesi dental calculation'!W27</f>
        <v>254.78622327790973</v>
      </c>
      <c r="E27" s="2">
        <f t="shared" si="1"/>
        <v>0</v>
      </c>
      <c r="F27" s="2">
        <f>IF(D27&gt;0,D27,0)</f>
        <v>254.78622327790973</v>
      </c>
      <c r="G27" s="2">
        <f>'N. alesi dental calculation'!W32+IF(D27&lt;0,D27,0)</f>
        <v>230.21377672209027</v>
      </c>
      <c r="H27" s="2">
        <f>'N. alesi dental calculation'!W31</f>
        <v>0</v>
      </c>
      <c r="I27" s="2"/>
      <c r="J27" s="2"/>
      <c r="K27" s="2"/>
      <c r="L27" s="2"/>
      <c r="M27" s="2"/>
      <c r="N27" s="2"/>
    </row>
    <row r="28" spans="2:14" x14ac:dyDescent="0.3">
      <c r="E28" s="2"/>
      <c r="F28" s="2"/>
      <c r="J28" s="2"/>
      <c r="K28" s="2"/>
      <c r="L28" s="2"/>
      <c r="M28" s="2"/>
      <c r="N28" s="2"/>
    </row>
    <row r="29" spans="2:14" s="23" customFormat="1" x14ac:dyDescent="0.3">
      <c r="E29" s="2"/>
      <c r="F29" s="2"/>
      <c r="J29" s="2"/>
      <c r="K29" s="2"/>
      <c r="L29" s="2"/>
      <c r="M29" s="2"/>
      <c r="N29" s="2"/>
    </row>
    <row r="30" spans="2:14" s="23" customFormat="1" x14ac:dyDescent="0.3">
      <c r="E30" s="2"/>
      <c r="F30" s="2"/>
      <c r="J30" s="2"/>
      <c r="K30" s="2"/>
      <c r="L30" s="2"/>
      <c r="M30" s="2"/>
      <c r="N30" s="2"/>
    </row>
    <row r="31" spans="2:14" x14ac:dyDescent="0.3">
      <c r="E31" s="2"/>
      <c r="F31" s="2"/>
      <c r="K31" s="2"/>
      <c r="L31" s="2"/>
      <c r="M31" s="2"/>
      <c r="N31" s="2"/>
    </row>
    <row r="32" spans="2:14" x14ac:dyDescent="0.3">
      <c r="B32" s="41" t="s">
        <v>0</v>
      </c>
      <c r="D32" s="2">
        <f>'N. alesi dental calculation'!C41</f>
        <v>-17.577197149643723</v>
      </c>
      <c r="E32" s="2">
        <f t="shared" si="1"/>
        <v>-17.577197149643723</v>
      </c>
      <c r="F32" s="2">
        <f>IF(D32&gt;0,D32,0)</f>
        <v>0</v>
      </c>
      <c r="G32" s="2">
        <f>'N. alesi dental calculation'!C46+IF(D32&lt;0,E32,0)</f>
        <v>420</v>
      </c>
      <c r="H32" s="2">
        <f>'N. alesi dental calculation'!C43</f>
        <v>65</v>
      </c>
      <c r="I32" s="2"/>
      <c r="K32" s="2"/>
      <c r="L32" s="2"/>
      <c r="M32" s="2"/>
      <c r="N32" s="2"/>
    </row>
    <row r="33" spans="2:14" s="23" customFormat="1" x14ac:dyDescent="0.3">
      <c r="B33" s="41"/>
      <c r="D33" s="2">
        <f>D32</f>
        <v>-17.577197149643723</v>
      </c>
      <c r="E33" s="2">
        <f t="shared" ref="E33:H33" si="5">E32</f>
        <v>-17.577197149643723</v>
      </c>
      <c r="F33" s="2">
        <f t="shared" si="5"/>
        <v>0</v>
      </c>
      <c r="G33" s="2">
        <f t="shared" si="5"/>
        <v>420</v>
      </c>
      <c r="H33" s="2">
        <f t="shared" si="5"/>
        <v>65</v>
      </c>
      <c r="I33" s="2"/>
      <c r="K33" s="2"/>
      <c r="L33" s="2"/>
      <c r="M33" s="2"/>
      <c r="N33" s="2"/>
    </row>
    <row r="34" spans="2:14" s="23" customFormat="1" ht="8.4" customHeight="1" x14ac:dyDescent="0.3">
      <c r="D34" s="2"/>
      <c r="E34" s="2"/>
      <c r="F34" s="2"/>
      <c r="G34" s="2"/>
      <c r="H34" s="2"/>
      <c r="I34" s="2"/>
      <c r="K34" s="2"/>
      <c r="L34" s="2"/>
      <c r="M34" s="2"/>
      <c r="N34" s="2"/>
    </row>
    <row r="35" spans="2:14" x14ac:dyDescent="0.3">
      <c r="B35" s="41" t="s">
        <v>2</v>
      </c>
      <c r="D35" s="2">
        <f>'N. alesi dental calculation'!E41</f>
        <v>172.9601990049751</v>
      </c>
      <c r="E35" s="2">
        <f t="shared" si="1"/>
        <v>0</v>
      </c>
      <c r="F35" s="2">
        <f>IF(D35&gt;0,D35,0)</f>
        <v>172.9601990049751</v>
      </c>
      <c r="G35" s="2">
        <f>'N. alesi dental calculation'!E46+IF(D35&lt;0,D35,0)</f>
        <v>312.0398009950249</v>
      </c>
      <c r="H35" s="2">
        <f>'N. alesi dental calculation'!E45</f>
        <v>0</v>
      </c>
      <c r="I35" s="2"/>
      <c r="K35" s="2"/>
      <c r="L35" s="2"/>
      <c r="M35" s="2"/>
      <c r="N35" s="2"/>
    </row>
    <row r="36" spans="2:14" s="23" customFormat="1" x14ac:dyDescent="0.3">
      <c r="B36" s="41"/>
      <c r="D36" s="2">
        <f>D35</f>
        <v>172.9601990049751</v>
      </c>
      <c r="E36" s="2">
        <f t="shared" ref="E36:H36" si="6">E35</f>
        <v>0</v>
      </c>
      <c r="F36" s="2">
        <f t="shared" si="6"/>
        <v>172.9601990049751</v>
      </c>
      <c r="G36" s="2">
        <f t="shared" si="6"/>
        <v>312.0398009950249</v>
      </c>
      <c r="H36" s="2">
        <f t="shared" si="6"/>
        <v>0</v>
      </c>
      <c r="I36" s="2"/>
      <c r="K36" s="2"/>
      <c r="L36" s="2"/>
      <c r="M36" s="2"/>
      <c r="N36" s="2"/>
    </row>
    <row r="37" spans="2:14" s="23" customFormat="1" x14ac:dyDescent="0.3">
      <c r="D37" s="2"/>
      <c r="E37" s="2"/>
      <c r="F37" s="2"/>
      <c r="G37" s="2"/>
      <c r="H37" s="2"/>
      <c r="I37" s="2"/>
      <c r="K37" s="2"/>
      <c r="L37" s="2"/>
      <c r="M37" s="2"/>
      <c r="N37" s="2"/>
    </row>
    <row r="38" spans="2:14" x14ac:dyDescent="0.3">
      <c r="B38" s="41" t="s">
        <v>5</v>
      </c>
      <c r="D38" s="2">
        <f>'N. alesi dental calculation'!G41</f>
        <v>180.67164179104475</v>
      </c>
      <c r="E38" s="2">
        <f t="shared" si="1"/>
        <v>0</v>
      </c>
      <c r="F38" s="2">
        <f>IF(D38&gt;0,D38,0)</f>
        <v>180.67164179104475</v>
      </c>
      <c r="G38" s="2">
        <f>'N. alesi dental calculation'!G46+IF(D38&lt;0,D38,0)</f>
        <v>304.32835820895525</v>
      </c>
      <c r="H38" s="2">
        <f>'N. alesi dental calculation'!G45</f>
        <v>0</v>
      </c>
      <c r="I38" s="2"/>
      <c r="K38" s="2"/>
      <c r="L38" s="2"/>
      <c r="M38" s="2"/>
      <c r="N38" s="2"/>
    </row>
    <row r="39" spans="2:14" s="23" customFormat="1" x14ac:dyDescent="0.3">
      <c r="B39" s="41"/>
      <c r="D39" s="2">
        <f>D38</f>
        <v>180.67164179104475</v>
      </c>
      <c r="E39" s="2">
        <f t="shared" ref="E39:H39" si="7">E38</f>
        <v>0</v>
      </c>
      <c r="F39" s="2">
        <f t="shared" si="7"/>
        <v>180.67164179104475</v>
      </c>
      <c r="G39" s="2">
        <f t="shared" si="7"/>
        <v>304.32835820895525</v>
      </c>
      <c r="H39" s="2">
        <f t="shared" si="7"/>
        <v>0</v>
      </c>
      <c r="I39" s="2"/>
      <c r="K39" s="2"/>
      <c r="L39" s="2"/>
      <c r="M39" s="2"/>
      <c r="N39" s="2"/>
    </row>
    <row r="40" spans="2:14" s="23" customFormat="1" x14ac:dyDescent="0.3">
      <c r="D40" s="2"/>
      <c r="E40" s="2"/>
      <c r="F40" s="2"/>
      <c r="G40" s="2"/>
      <c r="H40" s="2"/>
      <c r="I40" s="2"/>
      <c r="K40" s="2"/>
      <c r="L40" s="2"/>
      <c r="M40" s="2"/>
      <c r="N40" s="2"/>
    </row>
    <row r="41" spans="2:14" x14ac:dyDescent="0.3">
      <c r="B41" s="9" t="s">
        <v>43</v>
      </c>
      <c r="D41" s="2">
        <f>'N. alesi dental calculation'!I41</f>
        <v>346.59203980099505</v>
      </c>
      <c r="E41" s="2">
        <f t="shared" si="1"/>
        <v>0</v>
      </c>
      <c r="F41" s="2">
        <f>IF(D41&gt;0,D41,0)</f>
        <v>346.59203980099505</v>
      </c>
      <c r="G41" s="2">
        <f>'N. alesi dental calculation'!I46+IF(D41&lt;0,D41,0)</f>
        <v>138.40796019900498</v>
      </c>
      <c r="H41" s="2">
        <f>'N. alesi dental calculation'!I45</f>
        <v>0</v>
      </c>
      <c r="I41" s="2"/>
      <c r="K41" s="2"/>
      <c r="L41" s="2"/>
      <c r="M41" s="2"/>
      <c r="N41" s="2"/>
    </row>
    <row r="42" spans="2:14" x14ac:dyDescent="0.3">
      <c r="B42" s="9" t="s">
        <v>44</v>
      </c>
      <c r="D42" s="2">
        <f>'N. alesi dental calculation'!J41</f>
        <v>452.91044776119401</v>
      </c>
      <c r="E42" s="2">
        <f t="shared" si="1"/>
        <v>0</v>
      </c>
      <c r="F42" s="2">
        <f>IF(D42&gt;0,D42,0)</f>
        <v>452.91044776119401</v>
      </c>
      <c r="G42" s="2">
        <f>'N. alesi dental calculation'!J46+IF(D42&lt;0,D42,0)</f>
        <v>32.089552238805972</v>
      </c>
      <c r="H42" s="2">
        <f>'N. alesi dental calculation'!J45</f>
        <v>0</v>
      </c>
      <c r="I42" s="2"/>
      <c r="K42" s="2"/>
      <c r="L42" s="2"/>
      <c r="M42" s="2"/>
      <c r="N42" s="2"/>
    </row>
    <row r="43" spans="2:14" s="23" customFormat="1" x14ac:dyDescent="0.3">
      <c r="D43" s="2"/>
      <c r="E43" s="2"/>
      <c r="F43" s="2"/>
      <c r="G43" s="2"/>
      <c r="H43" s="2"/>
      <c r="I43" s="2"/>
      <c r="K43" s="2"/>
      <c r="L43" s="2"/>
      <c r="M43" s="2"/>
      <c r="N43" s="2"/>
    </row>
    <row r="44" spans="2:14" x14ac:dyDescent="0.3">
      <c r="B44" s="9" t="s">
        <v>45</v>
      </c>
      <c r="D44" s="2">
        <f>'N. alesi dental calculation'!L41</f>
        <v>327.51243781094524</v>
      </c>
      <c r="E44" s="2">
        <f t="shared" si="1"/>
        <v>0</v>
      </c>
      <c r="F44" s="2">
        <f>IF(D44&gt;0,D44,0)</f>
        <v>327.51243781094524</v>
      </c>
      <c r="G44" s="2">
        <f>'N. alesi dental calculation'!L46+IF(D44&lt;0,D44,0)</f>
        <v>157.48756218905473</v>
      </c>
      <c r="H44" s="2">
        <f>'N. alesi dental calculation'!L45</f>
        <v>0</v>
      </c>
      <c r="I44" s="2"/>
      <c r="K44" s="2"/>
      <c r="L44" s="2"/>
      <c r="M44" s="2"/>
      <c r="N44" s="2"/>
    </row>
    <row r="45" spans="2:14" x14ac:dyDescent="0.3">
      <c r="B45" s="9" t="s">
        <v>46</v>
      </c>
      <c r="D45" s="2">
        <f>'N. alesi dental calculation'!M41</f>
        <v>427.63681592039802</v>
      </c>
      <c r="E45" s="2">
        <f t="shared" si="1"/>
        <v>0</v>
      </c>
      <c r="F45" s="2">
        <f>IF(D45&gt;0,D45,0)</f>
        <v>427.63681592039802</v>
      </c>
      <c r="G45" s="2">
        <f>'N. alesi dental calculation'!M46+IF(D45&lt;0,D45,0)</f>
        <v>57.363184079601993</v>
      </c>
      <c r="H45" s="2">
        <f>'N. alesi dental calculation'!M45</f>
        <v>0</v>
      </c>
      <c r="I45" s="2"/>
      <c r="K45" s="2"/>
      <c r="L45" s="2"/>
      <c r="M45" s="2"/>
      <c r="N45" s="2"/>
    </row>
    <row r="46" spans="2:14" s="23" customFormat="1" x14ac:dyDescent="0.3">
      <c r="D46" s="2"/>
      <c r="E46" s="2"/>
      <c r="F46" s="2"/>
      <c r="G46" s="2"/>
      <c r="H46" s="2"/>
      <c r="I46" s="2"/>
      <c r="K46" s="2"/>
      <c r="L46" s="2"/>
      <c r="M46" s="2"/>
      <c r="N46" s="2"/>
    </row>
    <row r="47" spans="2:14" x14ac:dyDescent="0.3">
      <c r="B47" s="20" t="s">
        <v>55</v>
      </c>
      <c r="D47" s="2">
        <f>'N. alesi dental calculation'!O41</f>
        <v>-45.368171021377634</v>
      </c>
      <c r="E47" s="2">
        <f t="shared" si="1"/>
        <v>-45.368171021377634</v>
      </c>
      <c r="F47" s="2">
        <f>IF(D47&gt;0,D47,0)</f>
        <v>0</v>
      </c>
      <c r="G47" s="2">
        <f>'N. alesi dental calculation'!O46+IF(D47&lt;0,D47,0)</f>
        <v>410.04975124378109</v>
      </c>
      <c r="H47" s="2">
        <f>'N. alesi dental calculation'!O45</f>
        <v>74.950248756218912</v>
      </c>
      <c r="I47" s="2"/>
      <c r="K47" s="2"/>
      <c r="L47" s="2"/>
      <c r="M47" s="2"/>
      <c r="N47" s="2"/>
    </row>
    <row r="48" spans="2:14" x14ac:dyDescent="0.3">
      <c r="B48" s="20" t="s">
        <v>56</v>
      </c>
      <c r="D48" s="2">
        <f>'N. alesi dental calculation'!P41</f>
        <v>20.344418052256515</v>
      </c>
      <c r="E48" s="2">
        <f t="shared" si="1"/>
        <v>0</v>
      </c>
      <c r="F48" s="2">
        <f>IF(D48&gt;0,D48,0)</f>
        <v>20.344418052256515</v>
      </c>
      <c r="G48" s="2">
        <f>'N. alesi dental calculation'!P46+IF(D48&lt;0,D48,0)</f>
        <v>424.54466689858793</v>
      </c>
      <c r="H48" s="2">
        <f>'N. alesi dental calculation'!P45</f>
        <v>40.110915049155537</v>
      </c>
      <c r="I48" s="2"/>
      <c r="K48" s="2"/>
      <c r="L48" s="2"/>
      <c r="M48" s="2"/>
      <c r="N48" s="2"/>
    </row>
    <row r="49" spans="2:21" x14ac:dyDescent="0.3">
      <c r="B49" s="20" t="s">
        <v>57</v>
      </c>
      <c r="D49" s="2">
        <f>'N. alesi dental calculation'!Q41</f>
        <v>-73.871733966745865</v>
      </c>
      <c r="E49" s="2">
        <f t="shared" si="1"/>
        <v>-73.871733966745865</v>
      </c>
      <c r="F49" s="2">
        <f>IF(D49&gt;0,D49,0)</f>
        <v>0</v>
      </c>
      <c r="G49" s="2">
        <f>'N. alesi dental calculation'!Q46+IF(D49&lt;0,D49,0)</f>
        <v>311.62297285942361</v>
      </c>
      <c r="H49" s="2">
        <f>'N. alesi dental calculation'!Q45</f>
        <v>173.37702714057642</v>
      </c>
      <c r="I49" s="2"/>
      <c r="K49" s="2"/>
      <c r="L49" s="2"/>
      <c r="M49" s="2"/>
      <c r="N49" s="2"/>
    </row>
    <row r="50" spans="2:21" x14ac:dyDescent="0.3">
      <c r="B50" s="20" t="s">
        <v>58</v>
      </c>
      <c r="D50" s="2">
        <f>'N. alesi dental calculation'!R41</f>
        <v>-55.819477434679357</v>
      </c>
      <c r="E50" s="2">
        <f t="shared" si="1"/>
        <v>-55.819477434679357</v>
      </c>
      <c r="F50" s="2">
        <f>IF(D50&gt;0,D50,0)</f>
        <v>0</v>
      </c>
      <c r="G50" s="2">
        <f>'N. alesi dental calculation'!R46+IF(D50&lt;0,D50,0)</f>
        <v>420</v>
      </c>
      <c r="H50" s="2">
        <f>'N. alesi dental calculation'!R45</f>
        <v>65</v>
      </c>
      <c r="I50" s="2"/>
      <c r="K50" s="2"/>
      <c r="L50" s="2"/>
      <c r="M50" s="2"/>
      <c r="N50" s="2"/>
    </row>
    <row r="51" spans="2:21" s="23" customFormat="1" x14ac:dyDescent="0.3">
      <c r="D51" s="2"/>
      <c r="E51" s="2"/>
      <c r="F51" s="2"/>
      <c r="G51" s="2"/>
      <c r="H51" s="2"/>
      <c r="I51" s="2"/>
      <c r="K51" s="2"/>
      <c r="L51" s="2"/>
      <c r="M51" s="2"/>
      <c r="N51" s="2"/>
    </row>
    <row r="52" spans="2:21" x14ac:dyDescent="0.3">
      <c r="B52" s="20" t="s">
        <v>63</v>
      </c>
      <c r="D52" s="2">
        <f>'N. alesi dental calculation'!T41</f>
        <v>303.39667458432302</v>
      </c>
      <c r="E52" s="2">
        <f t="shared" si="1"/>
        <v>0</v>
      </c>
      <c r="F52" s="2">
        <f>IF(D52&gt;0,D52,0)</f>
        <v>303.39667458432302</v>
      </c>
      <c r="G52" s="2">
        <f>'N. alesi dental calculation'!T46+IF(D52&lt;0,D52,0)</f>
        <v>181.60332541567695</v>
      </c>
      <c r="H52" s="2">
        <f>'N. alesi dental calculation'!T45</f>
        <v>0</v>
      </c>
      <c r="I52" s="2"/>
      <c r="K52" s="2"/>
      <c r="L52" s="2"/>
      <c r="M52" s="2"/>
      <c r="N52" s="2"/>
    </row>
    <row r="53" spans="2:21" x14ac:dyDescent="0.3">
      <c r="B53" s="20" t="s">
        <v>64</v>
      </c>
      <c r="D53" s="2">
        <f>'N. alesi dental calculation'!U41</f>
        <v>407.41092636579572</v>
      </c>
      <c r="E53" s="2">
        <f t="shared" si="1"/>
        <v>0</v>
      </c>
      <c r="F53" s="2">
        <f>IF(D53&gt;0,D53,0)</f>
        <v>407.41092636579572</v>
      </c>
      <c r="G53" s="2">
        <f>'N. alesi dental calculation'!U46+IF(D53&lt;0,D53,0)</f>
        <v>77.589073634204283</v>
      </c>
      <c r="H53" s="2">
        <f>'N. alesi dental calculation'!U45</f>
        <v>0</v>
      </c>
      <c r="I53" s="2"/>
      <c r="K53" s="2"/>
      <c r="L53" s="2"/>
      <c r="M53" s="2"/>
      <c r="N53" s="2"/>
    </row>
    <row r="54" spans="2:21" x14ac:dyDescent="0.3">
      <c r="B54" s="20" t="s">
        <v>65</v>
      </c>
      <c r="D54" s="2">
        <f>'N. alesi dental calculation'!V41</f>
        <v>241.24703087885985</v>
      </c>
      <c r="E54" s="2">
        <f t="shared" si="1"/>
        <v>0</v>
      </c>
      <c r="F54" s="2">
        <f>IF(D54&gt;0,D54,0)</f>
        <v>241.24703087885985</v>
      </c>
      <c r="G54" s="2">
        <f>'N. alesi dental calculation'!V46+IF(D54&lt;0,D54,0)</f>
        <v>243.75296912114015</v>
      </c>
      <c r="H54" s="2">
        <f>'N. alesi dental calculation'!V45</f>
        <v>0</v>
      </c>
      <c r="I54" s="2"/>
      <c r="K54" s="2"/>
      <c r="L54" s="2"/>
      <c r="M54" s="2"/>
      <c r="N54" s="2"/>
    </row>
    <row r="55" spans="2:21" x14ac:dyDescent="0.3">
      <c r="B55" s="20" t="s">
        <v>66</v>
      </c>
      <c r="D55" s="2">
        <f>'N. alesi dental calculation'!W41</f>
        <v>258.82422802850357</v>
      </c>
      <c r="E55" s="2">
        <f t="shared" si="1"/>
        <v>0</v>
      </c>
      <c r="F55" s="2">
        <f>IF(D55&gt;0,D55,0)</f>
        <v>258.82422802850357</v>
      </c>
      <c r="G55" s="2">
        <f>'N. alesi dental calculation'!W46+IF(D55&lt;0,D55,0)</f>
        <v>226.17577197149643</v>
      </c>
      <c r="H55" s="2">
        <f>'N. alesi dental calculation'!W45</f>
        <v>0</v>
      </c>
      <c r="I55" s="2"/>
      <c r="K55" s="2"/>
      <c r="L55" s="2"/>
      <c r="M55" s="2"/>
      <c r="N55" s="2"/>
    </row>
    <row r="58" spans="2:21" x14ac:dyDescent="0.3">
      <c r="I58" s="32" t="s">
        <v>98</v>
      </c>
    </row>
    <row r="60" spans="2:21" x14ac:dyDescent="0.3">
      <c r="B60" s="41" t="s">
        <v>100</v>
      </c>
      <c r="C60" s="32"/>
      <c r="D60" s="2">
        <f>AVERAGE(D32,D4)</f>
        <v>-21.496437054631826</v>
      </c>
      <c r="E60" s="2">
        <f t="shared" ref="E60:H60" si="8">AVERAGE(E32,E4)</f>
        <v>-21.496437054631826</v>
      </c>
      <c r="F60" s="2">
        <f t="shared" si="8"/>
        <v>0</v>
      </c>
      <c r="G60" s="2">
        <f t="shared" si="8"/>
        <v>420</v>
      </c>
      <c r="H60" s="2">
        <f t="shared" si="8"/>
        <v>65</v>
      </c>
      <c r="I60" s="42">
        <f>G60/'N. alesi dental calculation'!$C$17*'N. alesi dental calculation'!$E$17+ABS(G32-G4)/2</f>
        <v>34.639175257731964</v>
      </c>
      <c r="J60" s="32"/>
      <c r="K60" s="2"/>
      <c r="L60" s="2"/>
      <c r="M60" s="2"/>
      <c r="N60" s="2"/>
      <c r="O60" s="32"/>
      <c r="P60" s="32"/>
      <c r="Q60" s="32"/>
      <c r="R60" s="32"/>
      <c r="S60" s="32"/>
      <c r="T60" s="32"/>
      <c r="U60" s="32"/>
    </row>
    <row r="61" spans="2:21" x14ac:dyDescent="0.3">
      <c r="B61" s="41"/>
      <c r="C61" s="32"/>
      <c r="D61" s="2">
        <f t="shared" ref="D61:H61" si="9">AVERAGE(D33,D5)</f>
        <v>-21.496437054631826</v>
      </c>
      <c r="E61" s="2">
        <f t="shared" si="9"/>
        <v>-21.496437054631826</v>
      </c>
      <c r="F61" s="2">
        <f t="shared" si="9"/>
        <v>0</v>
      </c>
      <c r="G61" s="2">
        <f t="shared" si="9"/>
        <v>420</v>
      </c>
      <c r="H61" s="2">
        <f t="shared" si="9"/>
        <v>65</v>
      </c>
      <c r="I61" s="42"/>
      <c r="J61" s="32"/>
      <c r="K61" s="2"/>
      <c r="L61" s="2"/>
      <c r="M61" s="2"/>
      <c r="N61" s="2"/>
      <c r="O61" s="32"/>
      <c r="P61" s="32"/>
      <c r="Q61" s="32"/>
      <c r="R61" s="32"/>
      <c r="S61" s="32"/>
      <c r="T61" s="32"/>
      <c r="U61" s="32"/>
    </row>
    <row r="62" spans="2:21" x14ac:dyDescent="0.3">
      <c r="B62" s="32"/>
      <c r="C62" s="32"/>
      <c r="D62" s="2"/>
      <c r="E62" s="2"/>
      <c r="F62" s="2"/>
      <c r="G62" s="2"/>
      <c r="H62" s="2"/>
      <c r="I62" s="2"/>
      <c r="J62" s="32"/>
      <c r="K62" s="2"/>
      <c r="L62" s="2"/>
      <c r="M62" s="2"/>
      <c r="N62" s="2"/>
      <c r="O62" s="32"/>
      <c r="P62" s="32"/>
      <c r="Q62" s="32"/>
      <c r="R62" s="32"/>
      <c r="S62" s="32"/>
      <c r="T62" s="32"/>
      <c r="U62" s="32"/>
    </row>
    <row r="63" spans="2:21" x14ac:dyDescent="0.3">
      <c r="B63" s="41" t="s">
        <v>101</v>
      </c>
      <c r="C63" s="32"/>
      <c r="D63" s="2">
        <f t="shared" ref="D63:H63" si="10">AVERAGE(D35,D7)</f>
        <v>165.49751243781091</v>
      </c>
      <c r="E63" s="2">
        <f t="shared" si="10"/>
        <v>0</v>
      </c>
      <c r="F63" s="2">
        <f t="shared" si="10"/>
        <v>165.49751243781091</v>
      </c>
      <c r="G63" s="2">
        <f t="shared" si="10"/>
        <v>319.50248756218912</v>
      </c>
      <c r="H63" s="2">
        <f t="shared" si="10"/>
        <v>0</v>
      </c>
      <c r="I63" s="42">
        <f>G63/'N. alesi dental calculation'!$C$17*'N. alesi dental calculation'!$E$17+ABS(G35-G7)/2</f>
        <v>33.813407190849887</v>
      </c>
      <c r="J63" s="32"/>
      <c r="K63" s="2"/>
      <c r="L63" s="2"/>
      <c r="M63" s="2"/>
      <c r="N63" s="2"/>
      <c r="O63" s="32"/>
      <c r="P63" s="32"/>
      <c r="Q63" s="32"/>
      <c r="R63" s="32"/>
      <c r="S63" s="32"/>
      <c r="T63" s="32"/>
      <c r="U63" s="32"/>
    </row>
    <row r="64" spans="2:21" x14ac:dyDescent="0.3">
      <c r="B64" s="41"/>
      <c r="C64" s="32"/>
      <c r="D64" s="2">
        <f t="shared" ref="D64:H64" si="11">AVERAGE(D36,D8)</f>
        <v>165.49751243781091</v>
      </c>
      <c r="E64" s="2">
        <f t="shared" si="11"/>
        <v>0</v>
      </c>
      <c r="F64" s="2">
        <f t="shared" si="11"/>
        <v>165.49751243781091</v>
      </c>
      <c r="G64" s="2">
        <f t="shared" si="11"/>
        <v>319.50248756218912</v>
      </c>
      <c r="H64" s="2">
        <f t="shared" si="11"/>
        <v>0</v>
      </c>
      <c r="I64" s="42"/>
      <c r="J64" s="32"/>
      <c r="K64" s="2"/>
      <c r="L64" s="2"/>
      <c r="M64" s="2"/>
      <c r="N64" s="2"/>
      <c r="O64" s="32"/>
      <c r="P64" s="32"/>
      <c r="Q64" s="32"/>
      <c r="R64" s="32"/>
      <c r="S64" s="32"/>
      <c r="T64" s="32"/>
      <c r="U64" s="32"/>
    </row>
    <row r="65" spans="2:21" x14ac:dyDescent="0.3">
      <c r="B65" s="32"/>
      <c r="C65" s="32"/>
      <c r="D65" s="2"/>
      <c r="E65" s="2"/>
      <c r="F65" s="2"/>
      <c r="G65" s="2"/>
      <c r="H65" s="2"/>
      <c r="I65" s="2"/>
      <c r="J65" s="32"/>
      <c r="K65" s="2"/>
      <c r="L65" s="2"/>
      <c r="M65" s="2"/>
      <c r="N65" s="2"/>
      <c r="O65" s="32"/>
      <c r="P65" s="32"/>
      <c r="Q65" s="32"/>
      <c r="R65" s="32"/>
      <c r="S65" s="32"/>
      <c r="T65" s="32"/>
      <c r="U65" s="32"/>
    </row>
    <row r="66" spans="2:21" x14ac:dyDescent="0.3">
      <c r="B66" s="41" t="s">
        <v>102</v>
      </c>
      <c r="C66" s="32"/>
      <c r="D66" s="2">
        <f t="shared" ref="D66:H66" si="12">AVERAGE(D38,D10)</f>
        <v>181.29353233830844</v>
      </c>
      <c r="E66" s="2">
        <f t="shared" si="12"/>
        <v>0</v>
      </c>
      <c r="F66" s="2">
        <f t="shared" si="12"/>
        <v>181.29353233830844</v>
      </c>
      <c r="G66" s="2">
        <f t="shared" si="12"/>
        <v>303.70646766169159</v>
      </c>
      <c r="H66" s="2">
        <f t="shared" si="12"/>
        <v>0</v>
      </c>
      <c r="I66" s="42">
        <f>G66/'N. alesi dental calculation'!$C$17*'N. alesi dental calculation'!$E$17+ABS(G38-G10)/2</f>
        <v>25.669846643073303</v>
      </c>
      <c r="J66" s="32"/>
      <c r="K66" s="2"/>
      <c r="L66" s="2"/>
      <c r="M66" s="2"/>
      <c r="N66" s="2"/>
      <c r="O66" s="32"/>
      <c r="P66" s="32"/>
      <c r="Q66" s="32"/>
      <c r="R66" s="32"/>
      <c r="S66" s="32"/>
      <c r="T66" s="32"/>
      <c r="U66" s="32"/>
    </row>
    <row r="67" spans="2:21" x14ac:dyDescent="0.3">
      <c r="B67" s="41"/>
      <c r="C67" s="32"/>
      <c r="D67" s="2">
        <f t="shared" ref="D67:H67" si="13">AVERAGE(D39,D11)</f>
        <v>181.29353233830844</v>
      </c>
      <c r="E67" s="2">
        <f t="shared" si="13"/>
        <v>0</v>
      </c>
      <c r="F67" s="2">
        <f t="shared" si="13"/>
        <v>181.29353233830844</v>
      </c>
      <c r="G67" s="2">
        <f t="shared" si="13"/>
        <v>303.70646766169159</v>
      </c>
      <c r="H67" s="2">
        <f t="shared" si="13"/>
        <v>0</v>
      </c>
      <c r="I67" s="42"/>
      <c r="J67" s="32"/>
      <c r="K67" s="2"/>
      <c r="L67" s="2"/>
      <c r="M67" s="2"/>
      <c r="N67" s="2"/>
      <c r="O67" s="32"/>
      <c r="P67" s="32"/>
      <c r="Q67" s="32"/>
      <c r="R67" s="32"/>
      <c r="S67" s="32"/>
      <c r="T67" s="32"/>
      <c r="U67" s="32"/>
    </row>
    <row r="68" spans="2:21" x14ac:dyDescent="0.3">
      <c r="B68" s="32"/>
      <c r="C68" s="32"/>
      <c r="D68" s="2"/>
      <c r="E68" s="2"/>
      <c r="F68" s="2"/>
      <c r="G68" s="2"/>
      <c r="H68" s="2"/>
      <c r="I68" s="2"/>
      <c r="J68" s="32"/>
      <c r="K68" s="2"/>
      <c r="L68" s="2"/>
      <c r="M68" s="2"/>
      <c r="N68" s="2"/>
      <c r="O68" s="32"/>
      <c r="P68" s="32"/>
      <c r="Q68" s="32"/>
      <c r="R68" s="32"/>
      <c r="S68" s="32"/>
      <c r="T68" s="32"/>
      <c r="U68" s="32"/>
    </row>
    <row r="69" spans="2:21" x14ac:dyDescent="0.3">
      <c r="B69" s="36" t="s">
        <v>103</v>
      </c>
      <c r="C69" s="32"/>
      <c r="D69" s="2">
        <f t="shared" ref="D69:H69" si="14">AVERAGE(D41,D13)</f>
        <v>324.36567164179104</v>
      </c>
      <c r="E69" s="2">
        <f t="shared" si="14"/>
        <v>0</v>
      </c>
      <c r="F69" s="2">
        <f t="shared" si="14"/>
        <v>324.36567164179104</v>
      </c>
      <c r="G69" s="2">
        <f t="shared" si="14"/>
        <v>160.63432835820896</v>
      </c>
      <c r="H69" s="2">
        <f t="shared" si="14"/>
        <v>0</v>
      </c>
      <c r="I69" s="2">
        <f>G69/'N. alesi dental calculation'!$C$17*'N. alesi dental calculation'!$E$17+ABS(G41-G13)/2</f>
        <v>35.474560188746992</v>
      </c>
      <c r="J69" s="32"/>
      <c r="K69" s="2"/>
      <c r="L69" s="2"/>
      <c r="M69" s="2"/>
      <c r="N69" s="2"/>
      <c r="O69" s="32"/>
      <c r="P69" s="32"/>
      <c r="Q69" s="32"/>
      <c r="R69" s="32"/>
      <c r="S69" s="32"/>
      <c r="T69" s="32"/>
      <c r="U69" s="32"/>
    </row>
    <row r="70" spans="2:21" x14ac:dyDescent="0.3">
      <c r="B70" s="36" t="s">
        <v>104</v>
      </c>
      <c r="C70" s="32"/>
      <c r="D70" s="2">
        <f t="shared" ref="D70:H70" si="15">AVERAGE(D42,D14)</f>
        <v>453.28358208955223</v>
      </c>
      <c r="E70" s="2">
        <f t="shared" si="15"/>
        <v>0</v>
      </c>
      <c r="F70" s="2">
        <f t="shared" si="15"/>
        <v>453.28358208955223</v>
      </c>
      <c r="G70" s="2">
        <f t="shared" si="15"/>
        <v>31.716417910447763</v>
      </c>
      <c r="H70" s="2">
        <f t="shared" si="15"/>
        <v>0</v>
      </c>
      <c r="I70" s="2">
        <f>G70/'N. alesi dental calculation'!$C$17*'N. alesi dental calculation'!$E$17+ABS(G42-G14)/2</f>
        <v>2.9889213725188486</v>
      </c>
      <c r="J70" s="32"/>
      <c r="K70" s="2"/>
      <c r="L70" s="2"/>
      <c r="M70" s="2"/>
      <c r="N70" s="2"/>
      <c r="O70" s="32"/>
      <c r="P70" s="32"/>
      <c r="Q70" s="32"/>
      <c r="R70" s="32"/>
      <c r="S70" s="32"/>
      <c r="T70" s="32"/>
      <c r="U70" s="32"/>
    </row>
    <row r="71" spans="2:21" x14ac:dyDescent="0.3">
      <c r="B71" s="32"/>
      <c r="C71" s="32"/>
      <c r="D71" s="2"/>
      <c r="E71" s="2"/>
      <c r="F71" s="2"/>
      <c r="G71" s="2"/>
      <c r="H71" s="2"/>
      <c r="I71" s="2"/>
      <c r="J71" s="32"/>
      <c r="K71" s="2"/>
      <c r="L71" s="2"/>
      <c r="M71" s="2"/>
      <c r="N71" s="2"/>
      <c r="O71" s="32"/>
      <c r="P71" s="32"/>
      <c r="Q71" s="32"/>
      <c r="R71" s="32"/>
      <c r="S71" s="32"/>
      <c r="T71" s="32"/>
      <c r="U71" s="32"/>
    </row>
    <row r="72" spans="2:21" x14ac:dyDescent="0.3">
      <c r="B72" s="36" t="s">
        <v>105</v>
      </c>
      <c r="C72" s="32"/>
      <c r="D72" s="2">
        <f t="shared" ref="D72:H72" si="16">AVERAGE(D44,D16)</f>
        <v>320.67164179104475</v>
      </c>
      <c r="E72" s="2">
        <f t="shared" si="16"/>
        <v>0</v>
      </c>
      <c r="F72" s="2">
        <f t="shared" si="16"/>
        <v>320.67164179104475</v>
      </c>
      <c r="G72" s="2">
        <f t="shared" si="16"/>
        <v>164.32835820895522</v>
      </c>
      <c r="H72" s="2">
        <f t="shared" si="16"/>
        <v>0</v>
      </c>
      <c r="I72" s="2">
        <f>G72/'N. alesi dental calculation'!$C$17*'N. alesi dental calculation'!$E$17+ABS(G44-G16)/2</f>
        <v>20.393650305175154</v>
      </c>
      <c r="J72" s="32"/>
      <c r="K72" s="2"/>
      <c r="L72" s="2"/>
      <c r="M72" s="2"/>
      <c r="N72" s="2"/>
      <c r="O72" s="32"/>
      <c r="P72" s="32"/>
      <c r="Q72" s="32"/>
      <c r="R72" s="32"/>
      <c r="S72" s="32"/>
      <c r="T72" s="32"/>
      <c r="U72" s="32"/>
    </row>
    <row r="73" spans="2:21" x14ac:dyDescent="0.3">
      <c r="B73" s="36" t="s">
        <v>106</v>
      </c>
      <c r="C73" s="32"/>
      <c r="D73" s="2">
        <f t="shared" ref="D73:H73" si="17">AVERAGE(D45,D17)</f>
        <v>419.55223880597015</v>
      </c>
      <c r="E73" s="2">
        <f t="shared" si="17"/>
        <v>0</v>
      </c>
      <c r="F73" s="2">
        <f t="shared" si="17"/>
        <v>419.55223880597015</v>
      </c>
      <c r="G73" s="2">
        <f t="shared" si="17"/>
        <v>65.447761194029852</v>
      </c>
      <c r="H73" s="2">
        <f t="shared" si="17"/>
        <v>0</v>
      </c>
      <c r="I73" s="2">
        <f>G73/'N. alesi dental calculation'!$C$17*'N. alesi dental calculation'!$E$17+ABS(G45-G17)/2</f>
        <v>13.482330614966411</v>
      </c>
      <c r="J73" s="32"/>
      <c r="K73" s="2"/>
      <c r="L73" s="2"/>
      <c r="M73" s="2"/>
      <c r="N73" s="2"/>
      <c r="O73" s="32"/>
      <c r="P73" s="32"/>
      <c r="Q73" s="32"/>
      <c r="R73" s="32"/>
      <c r="S73" s="32"/>
      <c r="T73" s="32"/>
      <c r="U73" s="32"/>
    </row>
    <row r="74" spans="2:21" x14ac:dyDescent="0.3">
      <c r="B74" s="32"/>
      <c r="C74" s="32"/>
      <c r="D74" s="2"/>
      <c r="E74" s="2"/>
      <c r="F74" s="2"/>
      <c r="G74" s="2"/>
      <c r="H74" s="2"/>
      <c r="I74" s="2"/>
      <c r="J74" s="32"/>
      <c r="K74" s="2"/>
      <c r="L74" s="2"/>
      <c r="M74" s="2"/>
      <c r="N74" s="2"/>
      <c r="O74" s="32"/>
      <c r="P74" s="32"/>
      <c r="Q74" s="32"/>
      <c r="R74" s="32"/>
      <c r="S74" s="32"/>
      <c r="T74" s="32"/>
      <c r="U74" s="32"/>
    </row>
    <row r="75" spans="2:21" x14ac:dyDescent="0.3">
      <c r="B75" s="36" t="s">
        <v>107</v>
      </c>
      <c r="C75" s="32"/>
      <c r="D75" s="2">
        <f t="shared" ref="D75:H75" si="18">AVERAGE(D47,D19)</f>
        <v>-42.280285035629447</v>
      </c>
      <c r="E75" s="2">
        <f t="shared" si="18"/>
        <v>-42.280285035629447</v>
      </c>
      <c r="F75" s="2">
        <f t="shared" si="18"/>
        <v>0</v>
      </c>
      <c r="G75" s="2">
        <f t="shared" si="18"/>
        <v>415.02487562189054</v>
      </c>
      <c r="H75" s="2">
        <f t="shared" si="18"/>
        <v>69.975124378109456</v>
      </c>
      <c r="I75" s="2">
        <f>G75/'N. alesi dental calculation'!$C$17*'N. alesi dental calculation'!$E$17+ABS(G47-G19)/2</f>
        <v>39.203980099502488</v>
      </c>
      <c r="J75" s="32"/>
      <c r="K75" s="2"/>
      <c r="L75" s="2"/>
      <c r="M75" s="2"/>
      <c r="N75" s="2"/>
      <c r="O75" s="32"/>
      <c r="P75" s="32"/>
      <c r="Q75" s="32"/>
      <c r="R75" s="32"/>
      <c r="S75" s="32"/>
      <c r="T75" s="32"/>
      <c r="U75" s="32"/>
    </row>
    <row r="76" spans="2:21" x14ac:dyDescent="0.3">
      <c r="B76" s="36" t="s">
        <v>108</v>
      </c>
      <c r="C76" s="32"/>
      <c r="D76" s="2">
        <f t="shared" ref="D76:H76" si="19">AVERAGE(D48,D20)</f>
        <v>16.306413301662701</v>
      </c>
      <c r="E76" s="2">
        <f t="shared" si="19"/>
        <v>0</v>
      </c>
      <c r="F76" s="2">
        <f t="shared" si="19"/>
        <v>16.306413301662701</v>
      </c>
      <c r="G76" s="2">
        <f t="shared" si="19"/>
        <v>420.10607304402254</v>
      </c>
      <c r="H76" s="2">
        <f t="shared" si="19"/>
        <v>48.587513654314762</v>
      </c>
      <c r="I76" s="2">
        <f>G76/'N. alesi dental calculation'!$C$17*'N. alesi dental calculation'!$E$17+ABS(G48-G20)/2</f>
        <v>39.086517404587873</v>
      </c>
      <c r="J76" s="32"/>
      <c r="K76" s="2"/>
      <c r="L76" s="2"/>
      <c r="M76" s="2"/>
      <c r="N76" s="2"/>
      <c r="O76" s="32"/>
      <c r="P76" s="32"/>
      <c r="Q76" s="32"/>
      <c r="R76" s="32"/>
      <c r="S76" s="32"/>
      <c r="T76" s="32"/>
      <c r="U76" s="32"/>
    </row>
    <row r="77" spans="2:21" x14ac:dyDescent="0.3">
      <c r="B77" s="36" t="s">
        <v>109</v>
      </c>
      <c r="C77" s="32"/>
      <c r="D77" s="2">
        <f t="shared" ref="D77:H77" si="20">AVERAGE(D49,D21)</f>
        <v>-75.296912114014276</v>
      </c>
      <c r="E77" s="2">
        <f t="shared" si="20"/>
        <v>-75.296912114014276</v>
      </c>
      <c r="F77" s="2">
        <f t="shared" si="20"/>
        <v>0</v>
      </c>
      <c r="G77" s="2">
        <f t="shared" si="20"/>
        <v>309.96260818418625</v>
      </c>
      <c r="H77" s="2">
        <f t="shared" si="20"/>
        <v>175.03739181581381</v>
      </c>
      <c r="I77" s="2">
        <f>G77/'N. alesi dental calculation'!$C$17*'N. alesi dental calculation'!$E$17+ABS(G49-G21)/2</f>
        <v>27.224291123417697</v>
      </c>
      <c r="J77" s="32"/>
      <c r="K77" s="2"/>
      <c r="L77" s="2"/>
      <c r="M77" s="2"/>
      <c r="N77" s="2"/>
      <c r="O77" s="32"/>
      <c r="P77" s="32"/>
      <c r="Q77" s="32"/>
      <c r="R77" s="32"/>
      <c r="S77" s="32"/>
      <c r="T77" s="32"/>
      <c r="U77" s="32"/>
    </row>
    <row r="78" spans="2:21" x14ac:dyDescent="0.3">
      <c r="B78" s="36" t="s">
        <v>110</v>
      </c>
      <c r="C78" s="32"/>
      <c r="D78" s="2">
        <f t="shared" ref="D78:H78" si="21">AVERAGE(D50,D22)</f>
        <v>-54.631828978622366</v>
      </c>
      <c r="E78" s="2">
        <f t="shared" si="21"/>
        <v>-54.631828978622366</v>
      </c>
      <c r="F78" s="2">
        <f t="shared" si="21"/>
        <v>0</v>
      </c>
      <c r="G78" s="2">
        <f t="shared" si="21"/>
        <v>414.02985074626866</v>
      </c>
      <c r="H78" s="2">
        <f t="shared" si="21"/>
        <v>70.970149253731336</v>
      </c>
      <c r="I78" s="2">
        <f>G78/'N. alesi dental calculation'!$C$17*'N. alesi dental calculation'!$E$17+ABS(G50-G22)/2</f>
        <v>40.116941067856587</v>
      </c>
      <c r="J78" s="32"/>
      <c r="K78" s="2"/>
      <c r="L78" s="2"/>
      <c r="M78" s="2"/>
      <c r="N78" s="2"/>
      <c r="O78" s="32"/>
      <c r="P78" s="32"/>
      <c r="Q78" s="32"/>
      <c r="R78" s="32"/>
      <c r="S78" s="32"/>
      <c r="T78" s="32"/>
      <c r="U78" s="32"/>
    </row>
    <row r="79" spans="2:21" x14ac:dyDescent="0.3">
      <c r="B79" s="32"/>
      <c r="C79" s="32"/>
      <c r="D79" s="2"/>
      <c r="E79" s="2"/>
      <c r="F79" s="2"/>
      <c r="G79" s="2"/>
      <c r="H79" s="2"/>
      <c r="I79" s="2"/>
      <c r="J79" s="32"/>
      <c r="K79" s="2"/>
      <c r="L79" s="2"/>
      <c r="M79" s="2"/>
      <c r="N79" s="2"/>
      <c r="O79" s="32"/>
      <c r="P79" s="32"/>
      <c r="Q79" s="32"/>
      <c r="R79" s="32"/>
      <c r="S79" s="32"/>
      <c r="T79" s="32"/>
      <c r="U79" s="32"/>
    </row>
    <row r="80" spans="2:21" x14ac:dyDescent="0.3">
      <c r="B80" s="36" t="s">
        <v>111</v>
      </c>
      <c r="C80" s="32"/>
      <c r="D80" s="2">
        <f t="shared" ref="D80:H80" si="22">AVERAGE(D52,D24)</f>
        <v>303.39667458432302</v>
      </c>
      <c r="E80" s="2">
        <f t="shared" si="22"/>
        <v>0</v>
      </c>
      <c r="F80" s="2">
        <f t="shared" si="22"/>
        <v>303.39667458432302</v>
      </c>
      <c r="G80" s="2">
        <f t="shared" si="22"/>
        <v>181.60332541567695</v>
      </c>
      <c r="H80" s="2">
        <f t="shared" si="22"/>
        <v>0</v>
      </c>
      <c r="I80" s="2">
        <f>G80/'N. alesi dental calculation'!$C$17*'N. alesi dental calculation'!$E$17+ABS(G52-G24)/2</f>
        <v>14.977593848715625</v>
      </c>
      <c r="J80" s="32"/>
      <c r="K80" s="2"/>
      <c r="L80" s="2"/>
      <c r="M80" s="2"/>
      <c r="N80" s="2"/>
      <c r="O80" s="32"/>
      <c r="P80" s="32"/>
      <c r="Q80" s="32"/>
      <c r="R80" s="32"/>
      <c r="S80" s="32"/>
      <c r="T80" s="32"/>
      <c r="U80" s="32"/>
    </row>
    <row r="81" spans="2:21" x14ac:dyDescent="0.3">
      <c r="B81" s="36" t="s">
        <v>112</v>
      </c>
      <c r="C81" s="32"/>
      <c r="D81" s="2">
        <f t="shared" ref="D81:H81" si="23">AVERAGE(D53,D25)</f>
        <v>403.49168646080761</v>
      </c>
      <c r="E81" s="2">
        <f t="shared" si="23"/>
        <v>0</v>
      </c>
      <c r="F81" s="2">
        <f t="shared" si="23"/>
        <v>403.49168646080761</v>
      </c>
      <c r="G81" s="2">
        <f t="shared" si="23"/>
        <v>81.5083135391924</v>
      </c>
      <c r="H81" s="2">
        <f t="shared" si="23"/>
        <v>0</v>
      </c>
      <c r="I81" s="2">
        <f>G81/'N. alesi dental calculation'!$C$17*'N. alesi dental calculation'!$E$17+ABS(G53-G25)/2</f>
        <v>10.641575042241099</v>
      </c>
      <c r="J81" s="32"/>
      <c r="K81" s="2"/>
      <c r="L81" s="2"/>
      <c r="M81" s="2"/>
      <c r="N81" s="2"/>
      <c r="O81" s="32"/>
      <c r="P81" s="32"/>
      <c r="Q81" s="32"/>
      <c r="R81" s="32"/>
      <c r="S81" s="32"/>
      <c r="T81" s="32"/>
      <c r="U81" s="32"/>
    </row>
    <row r="82" spans="2:21" x14ac:dyDescent="0.3">
      <c r="B82" s="36" t="s">
        <v>113</v>
      </c>
      <c r="C82" s="32"/>
      <c r="D82" s="2">
        <f t="shared" ref="D82:H82" si="24">AVERAGE(D54,D26)</f>
        <v>251.10451306413302</v>
      </c>
      <c r="E82" s="2">
        <f t="shared" si="24"/>
        <v>0</v>
      </c>
      <c r="F82" s="2">
        <f t="shared" si="24"/>
        <v>251.10451306413302</v>
      </c>
      <c r="G82" s="2">
        <f t="shared" si="24"/>
        <v>233.89548693586698</v>
      </c>
      <c r="H82" s="2">
        <f t="shared" si="24"/>
        <v>0</v>
      </c>
      <c r="I82" s="2">
        <f>G82/'N. alesi dental calculation'!$C$17*'N. alesi dental calculation'!$E$17+ABS(G54-G26)/2</f>
        <v>29.147831623282819</v>
      </c>
      <c r="J82" s="32"/>
      <c r="K82" s="2"/>
      <c r="L82" s="2"/>
      <c r="M82" s="2"/>
      <c r="N82" s="2"/>
      <c r="O82" s="32"/>
      <c r="P82" s="32"/>
      <c r="Q82" s="32"/>
      <c r="R82" s="32"/>
      <c r="S82" s="32"/>
      <c r="T82" s="32"/>
      <c r="U82" s="32"/>
    </row>
    <row r="83" spans="2:21" x14ac:dyDescent="0.3">
      <c r="B83" s="36" t="s">
        <v>114</v>
      </c>
      <c r="C83" s="32"/>
      <c r="D83" s="2">
        <f t="shared" ref="D83:H83" si="25">AVERAGE(D55,D27)</f>
        <v>256.80522565320666</v>
      </c>
      <c r="E83" s="2">
        <f t="shared" si="25"/>
        <v>0</v>
      </c>
      <c r="F83" s="2">
        <f t="shared" si="25"/>
        <v>256.80522565320666</v>
      </c>
      <c r="G83" s="2">
        <f t="shared" si="25"/>
        <v>228.19477434679334</v>
      </c>
      <c r="H83" s="2">
        <f t="shared" si="25"/>
        <v>0</v>
      </c>
      <c r="I83" s="2">
        <f>G83/'N. alesi dental calculation'!$C$17*'N. alesi dental calculation'!$E$17+ABS(G55-G27)/2</f>
        <v>20.839189950290187</v>
      </c>
      <c r="J83" s="32"/>
      <c r="K83" s="2"/>
      <c r="L83" s="2"/>
      <c r="M83" s="2"/>
      <c r="N83" s="2"/>
      <c r="O83" s="32"/>
      <c r="P83" s="32"/>
      <c r="Q83" s="32"/>
      <c r="R83" s="32"/>
      <c r="S83" s="32"/>
      <c r="T83" s="32"/>
      <c r="U83" s="32"/>
    </row>
    <row r="84" spans="2:21" x14ac:dyDescent="0.3">
      <c r="B84" s="32"/>
      <c r="C84" s="32"/>
      <c r="D84" s="32"/>
      <c r="E84" s="32"/>
      <c r="F84" s="32"/>
      <c r="G84" s="32"/>
      <c r="H84" s="32"/>
      <c r="I84" s="32"/>
      <c r="J84" s="32"/>
      <c r="K84" s="32"/>
      <c r="L84" s="32"/>
      <c r="M84" s="32"/>
      <c r="N84" s="32"/>
      <c r="O84" s="32"/>
      <c r="P84" s="32"/>
      <c r="Q84" s="32"/>
      <c r="R84" s="32"/>
      <c r="S84" s="32"/>
      <c r="T84" s="32"/>
      <c r="U84" s="32"/>
    </row>
  </sheetData>
  <mergeCells count="14">
    <mergeCell ref="B32:B33"/>
    <mergeCell ref="B35:B36"/>
    <mergeCell ref="B38:B39"/>
    <mergeCell ref="D1:H1"/>
    <mergeCell ref="K1:N1"/>
    <mergeCell ref="B4:B5"/>
    <mergeCell ref="B7:B8"/>
    <mergeCell ref="B10:B11"/>
    <mergeCell ref="B60:B61"/>
    <mergeCell ref="B63:B64"/>
    <mergeCell ref="B66:B67"/>
    <mergeCell ref="I60:I61"/>
    <mergeCell ref="I63:I64"/>
    <mergeCell ref="I66:I67"/>
  </mergeCells>
  <pageMargins left="0.7" right="0.7" top="0.75" bottom="0.75" header="0.3" footer="0.3"/>
  <pageSetup orientation="portrait" horizontalDpi="4294967293" vertic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 alesi dental calculation</vt:lpstr>
      <vt:lpstr>developmental charts</vt:lpstr>
    </vt:vector>
  </TitlesOfParts>
  <Company>ESRF</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TAFFOREAU Paul</dc:creator>
  <cp:lastModifiedBy>..</cp:lastModifiedBy>
  <dcterms:created xsi:type="dcterms:W3CDTF">2016-03-03T17:05:55Z</dcterms:created>
  <dcterms:modified xsi:type="dcterms:W3CDTF">2017-06-18T12:32:04Z</dcterms:modified>
</cp:coreProperties>
</file>