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23"/>
  <workbookPr autoCompressPictures="0"/>
  <bookViews>
    <workbookView xWindow="0" yWindow="-20" windowWidth="15760" windowHeight="12840" tabRatio="642" activeTab="7"/>
  </bookViews>
  <sheets>
    <sheet name="Background" sheetId="3" r:id="rId1"/>
    <sheet name=" RD-value (CFP)" sheetId="11" r:id="rId2"/>
    <sheet name="RA-value (YFP) " sheetId="12" r:id="rId3"/>
    <sheet name="Dimer" sheetId="7" r:id="rId4"/>
    <sheet name="Dimer Analysis" sheetId="8" r:id="rId5"/>
    <sheet name="Spurious FRET" sheetId="13" r:id="rId6"/>
    <sheet name="Samples" sheetId="4" r:id="rId7"/>
    <sheet name="BC Analysis" sheetId="10" r:id="rId8"/>
    <sheet name="HV lookup" sheetId="6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Ra1" localSheetId="1">[1]Konstrukte!$J$2</definedName>
    <definedName name="_RA1" localSheetId="7">'BC Analysis'!$F$4</definedName>
    <definedName name="_Ra1" localSheetId="4">'Dimer Analysis'!$E$3</definedName>
    <definedName name="_Ra1" localSheetId="2">[1]Konstrukte!$J$2</definedName>
    <definedName name="_RA1" localSheetId="5">#REF!</definedName>
    <definedName name="_RA1">#REF!</definedName>
    <definedName name="_Rd1" localSheetId="1">[1]Konstrukte!$J$3</definedName>
    <definedName name="_RD1" localSheetId="7">'BC Analysis'!$F$5</definedName>
    <definedName name="_Rd1" localSheetId="4">'Dimer Analysis'!$E$4</definedName>
    <definedName name="_Rd1" localSheetId="2">[1]Konstrukte!$J$3</definedName>
    <definedName name="_Rd1">[2]Konstrukte!$J$3</definedName>
    <definedName name="_Rd2" localSheetId="1">[1]Konstrukte!$J$4</definedName>
    <definedName name="_RD2" localSheetId="7">'BC Analysis'!$F$6</definedName>
    <definedName name="_Rd2" localSheetId="4">'Dimer Analysis'!$B$5</definedName>
    <definedName name="_Rd2" localSheetId="2">[1]Konstrukte!$J$4</definedName>
    <definedName name="_Rd2">[2]Konstrukte!$J$4</definedName>
    <definedName name="backgnd">[3]BG!$G$3:$J$11</definedName>
    <definedName name="Background" localSheetId="1">[4]Background!$J$7:$M$19</definedName>
    <definedName name="Background" localSheetId="2">[4]Background!$J$7:$M$19</definedName>
    <definedName name="Background">Background!$J$7:$M$19</definedName>
    <definedName name="dd">'Dimer Analysis'!$I$3</definedName>
    <definedName name="EAmax" localSheetId="7">'BC Analysis'!$K$6</definedName>
    <definedName name="EAmax">[1]BC!$J$6</definedName>
    <definedName name="EDmax" localSheetId="7">'BC Analysis'!$K$7</definedName>
    <definedName name="EDmax">[1]BC!$J$7</definedName>
    <definedName name="EYFP_ECFP" localSheetId="1">'[4]Dimere Auswertung'!$W$64</definedName>
    <definedName name="EYFP_ECFP" localSheetId="7">'BC Analysis'!$T$58</definedName>
    <definedName name="EYFP_ECFP" localSheetId="2">'[4]Dimere Auswertung'!$W$64</definedName>
    <definedName name="EYFP_ECFP">'Dimer Analysis'!$W$56</definedName>
    <definedName name="G_Factor">[5]Dimers!$O$2</definedName>
    <definedName name="GDGA">[5]Dimers!$O$3</definedName>
    <definedName name="HV_lookup" localSheetId="1">'[4]HV lookup'!$C$6:$D$19</definedName>
    <definedName name="HV_lookup" localSheetId="2">'[4]HV lookup'!$C$6:$D$19</definedName>
    <definedName name="HV_lookup">'HV lookup'!$C$6:$D$19</definedName>
    <definedName name="Kd_EFF">'BC Analysis'!$K$4</definedName>
    <definedName name="Kd_hat" localSheetId="7">'BC Analysis'!$K$4</definedName>
    <definedName name="Kd_hat">[1]BC!$J$4</definedName>
    <definedName name="MA" localSheetId="7">'BC Analysis'!$F$8</definedName>
    <definedName name="MA">[1]BC!$E$8</definedName>
    <definedName name="MA_MD">'BC Analysis'!$F$10</definedName>
    <definedName name="MD" localSheetId="7">'BC Analysis'!$F$9</definedName>
    <definedName name="MD">[1]BC!$E$9</definedName>
    <definedName name="ND_NA" localSheetId="7">'BC Analysis'!$K$5</definedName>
    <definedName name="ND_NA">[1]BC!$J$5</definedName>
    <definedName name="RA">[5]YFP!$I$22</definedName>
    <definedName name="RA1_" localSheetId="7">'BC Analysis'!$F$4</definedName>
    <definedName name="RAnew">[3]BG!$I$18</definedName>
    <definedName name="RD">[5]CFP!$I$26</definedName>
    <definedName name="RDtwo">[5]CFP!$J$26</definedName>
    <definedName name="solver_adj" localSheetId="7" hidden="1">'BC Analysis'!$K$4,'BC Analysis'!$K$6,'BC Analysis'!$K$7</definedName>
    <definedName name="solver_cvg" localSheetId="7" hidden="1">"""""""""""""""0,0001"""""""""""""""</definedName>
    <definedName name="solver_drv" localSheetId="7" hidden="1">1</definedName>
    <definedName name="solver_eng" localSheetId="7" hidden="1">1</definedName>
    <definedName name="solver_est" localSheetId="7" hidden="1">1</definedName>
    <definedName name="solver_itr" localSheetId="7" hidden="1">2147483647</definedName>
    <definedName name="solver_lhs1" localSheetId="7" hidden="1">'BC Analysis'!$K$6</definedName>
    <definedName name="solver_lhs2" localSheetId="7" hidden="1">'BC Analysis'!$K$7</definedName>
    <definedName name="solver_lhs3" localSheetId="7" hidden="1">'BC Analysis'!$K$4</definedName>
    <definedName name="solver_mip" localSheetId="7" hidden="1">2147483647</definedName>
    <definedName name="solver_mni" localSheetId="7" hidden="1">30</definedName>
    <definedName name="solver_mrt" localSheetId="7" hidden="1">"""""""""""""""0,075"""""""""""""""</definedName>
    <definedName name="solver_msl" localSheetId="7" hidden="1">2</definedName>
    <definedName name="solver_neg" localSheetId="7" hidden="1">1</definedName>
    <definedName name="solver_nod" localSheetId="7" hidden="1">2147483647</definedName>
    <definedName name="solver_num" localSheetId="7" hidden="1">3</definedName>
    <definedName name="solver_nwt" localSheetId="7" hidden="1">1</definedName>
    <definedName name="solver_opt" localSheetId="7" hidden="1">'BC Analysis'!$K$10</definedName>
    <definedName name="solver_pre" localSheetId="7" hidden="1">"""""""""""""""0,000001"""""""""""""""</definedName>
    <definedName name="solver_rbv" localSheetId="7" hidden="1">1</definedName>
    <definedName name="solver_rel1" localSheetId="7" hidden="1">3</definedName>
    <definedName name="solver_rel2" localSheetId="7" hidden="1">3</definedName>
    <definedName name="solver_rel3" localSheetId="7" hidden="1">3</definedName>
    <definedName name="solver_rhs1" localSheetId="7" hidden="1">0</definedName>
    <definedName name="solver_rhs2" localSheetId="7" hidden="1">0</definedName>
    <definedName name="solver_rhs3" localSheetId="7" hidden="1">0</definedName>
    <definedName name="solver_rlx" localSheetId="7" hidden="1">2</definedName>
    <definedName name="solver_rsd" localSheetId="7" hidden="1">0</definedName>
    <definedName name="solver_scl" localSheetId="7" hidden="1">1</definedName>
    <definedName name="solver_sho" localSheetId="7" hidden="1">2</definedName>
    <definedName name="solver_ssz" localSheetId="7" hidden="1">100</definedName>
    <definedName name="solver_tim" localSheetId="7" hidden="1">2147483647</definedName>
    <definedName name="solver_tol" localSheetId="7" hidden="1">1</definedName>
    <definedName name="solver_typ" localSheetId="7" hidden="1">2</definedName>
    <definedName name="solver_val" localSheetId="7" hidden="1">0</definedName>
    <definedName name="solver_ver" localSheetId="7" hidden="1">3</definedName>
    <definedName name="SpFRET_E_3Cube" localSheetId="7">'BC Analysis'!$I$5</definedName>
    <definedName name="SpFRET_E_3Cube">[1]BC!$H$5</definedName>
    <definedName name="SpFRET_E_EFRET" localSheetId="7">'BC Analysis'!$I$6</definedName>
    <definedName name="SpFRET_E_EFRET">[1]BC!$H$6</definedName>
    <definedName name="SpFRET_FR_3CubeSlope" localSheetId="7">'BC Analysis'!$I$4</definedName>
    <definedName name="SpFRET_FR_3CubeSlope">[1]BC!$H$4</definedName>
    <definedName name="vvv">'Dimer Analysis'!$I$3</definedName>
    <definedName name="YFPext_CFPext" localSheetId="7">'BC Analysis'!$F$7</definedName>
  </definedName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" l="1"/>
  <c r="I10" i="13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P9" i="11"/>
  <c r="F4" i="13"/>
  <c r="K10" i="3"/>
  <c r="H10" i="13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P9" i="12"/>
  <c r="F3" i="13"/>
  <c r="M10" i="3"/>
  <c r="J10" i="13"/>
  <c r="K10" i="13"/>
  <c r="K9" i="3"/>
  <c r="H11" i="13"/>
  <c r="F5" i="13"/>
  <c r="L11" i="13"/>
  <c r="H12" i="13"/>
  <c r="L12" i="13"/>
  <c r="H13" i="13"/>
  <c r="L13" i="13"/>
  <c r="K12" i="3"/>
  <c r="H14" i="13"/>
  <c r="L14" i="13"/>
  <c r="H15" i="13"/>
  <c r="L15" i="13"/>
  <c r="H16" i="13"/>
  <c r="L16" i="13"/>
  <c r="K11" i="3"/>
  <c r="H17" i="13"/>
  <c r="L17" i="13"/>
  <c r="H18" i="13"/>
  <c r="L18" i="13"/>
  <c r="H19" i="13"/>
  <c r="L19" i="13"/>
  <c r="K14" i="3"/>
  <c r="H20" i="13"/>
  <c r="L20" i="13"/>
  <c r="H21" i="13"/>
  <c r="L21" i="13"/>
  <c r="H22" i="13"/>
  <c r="L22" i="13"/>
  <c r="H23" i="13"/>
  <c r="L23" i="13"/>
  <c r="H24" i="13"/>
  <c r="L24" i="13"/>
  <c r="K13" i="3"/>
  <c r="H25" i="13"/>
  <c r="L25" i="13"/>
  <c r="H26" i="13"/>
  <c r="L26" i="13"/>
  <c r="H27" i="13"/>
  <c r="L27" i="13"/>
  <c r="H28" i="13"/>
  <c r="L28" i="13"/>
  <c r="K16" i="3"/>
  <c r="H29" i="13"/>
  <c r="L29" i="13"/>
  <c r="L10" i="13"/>
  <c r="I5" i="10"/>
  <c r="F9" i="10"/>
  <c r="F8" i="10"/>
  <c r="F4" i="10"/>
  <c r="F5" i="10"/>
  <c r="I6" i="10"/>
  <c r="I30" i="4"/>
  <c r="AA17" i="10"/>
  <c r="AA18" i="10"/>
  <c r="AA19" i="10"/>
  <c r="AA20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41" i="10"/>
  <c r="AA42" i="10"/>
  <c r="AA43" i="10"/>
  <c r="AA44" i="10"/>
  <c r="AA45" i="10"/>
  <c r="AA46" i="10"/>
  <c r="AA47" i="10"/>
  <c r="AA48" i="10"/>
  <c r="AA49" i="10"/>
  <c r="AA50" i="10"/>
  <c r="AA51" i="10"/>
  <c r="AA52" i="10"/>
  <c r="AA53" i="10"/>
  <c r="AA54" i="10"/>
  <c r="AA55" i="10"/>
  <c r="AA56" i="10"/>
  <c r="AA57" i="10"/>
  <c r="AA58" i="10"/>
  <c r="AA59" i="10"/>
  <c r="AA60" i="10"/>
  <c r="AA61" i="10"/>
  <c r="AA62" i="10"/>
  <c r="AA63" i="10"/>
  <c r="AA64" i="10"/>
  <c r="AA65" i="10"/>
  <c r="AA66" i="10"/>
  <c r="AA67" i="10"/>
  <c r="AA68" i="10"/>
  <c r="AA69" i="10"/>
  <c r="AA70" i="10"/>
  <c r="AA71" i="10"/>
  <c r="AA72" i="10"/>
  <c r="AA73" i="10"/>
  <c r="AA74" i="10"/>
  <c r="AA75" i="10"/>
  <c r="AA76" i="10"/>
  <c r="AA77" i="10"/>
  <c r="AA78" i="10"/>
  <c r="AA79" i="10"/>
  <c r="AA80" i="10"/>
  <c r="AA81" i="10"/>
  <c r="AA82" i="10"/>
  <c r="AA83" i="10"/>
  <c r="AA84" i="10"/>
  <c r="AA85" i="10"/>
  <c r="AA86" i="10"/>
  <c r="AA87" i="10"/>
  <c r="AA88" i="10"/>
  <c r="AA89" i="10"/>
  <c r="AA90" i="10"/>
  <c r="AA91" i="10"/>
  <c r="AA92" i="10"/>
  <c r="AA93" i="10"/>
  <c r="AA94" i="10"/>
  <c r="AA95" i="10"/>
  <c r="AA96" i="10"/>
  <c r="AA97" i="10"/>
  <c r="AA98" i="10"/>
  <c r="AA99" i="10"/>
  <c r="AA100" i="10"/>
  <c r="AA101" i="10"/>
  <c r="AA102" i="10"/>
  <c r="AA103" i="10"/>
  <c r="AA104" i="10"/>
  <c r="AA105" i="10"/>
  <c r="AA22" i="10"/>
  <c r="AA23" i="10"/>
  <c r="AA24" i="10"/>
  <c r="AA25" i="10"/>
  <c r="AA26" i="10"/>
  <c r="AA27" i="10"/>
  <c r="AA28" i="10"/>
  <c r="AA21" i="10"/>
  <c r="Y17" i="10"/>
  <c r="Y18" i="10"/>
  <c r="Y19" i="10"/>
  <c r="Y20" i="10"/>
  <c r="Y21" i="10"/>
  <c r="Y22" i="10"/>
  <c r="Y23" i="10"/>
  <c r="Y32" i="10"/>
  <c r="Y33" i="10"/>
  <c r="Y34" i="10"/>
  <c r="Y35" i="10"/>
  <c r="Y36" i="10"/>
  <c r="Y37" i="10"/>
  <c r="Y38" i="10"/>
  <c r="Y39" i="10"/>
  <c r="Y40" i="10"/>
  <c r="Y41" i="10"/>
  <c r="Y42" i="10"/>
  <c r="Y43" i="10"/>
  <c r="Y44" i="10"/>
  <c r="Y45" i="10"/>
  <c r="Y46" i="10"/>
  <c r="Y47" i="10"/>
  <c r="Y48" i="10"/>
  <c r="Y49" i="10"/>
  <c r="Y50" i="10"/>
  <c r="Y51" i="10"/>
  <c r="Y52" i="10"/>
  <c r="Y53" i="10"/>
  <c r="Y54" i="10"/>
  <c r="Y55" i="10"/>
  <c r="Y56" i="10"/>
  <c r="Y57" i="10"/>
  <c r="Y58" i="10"/>
  <c r="Y59" i="10"/>
  <c r="Y60" i="10"/>
  <c r="Y61" i="10"/>
  <c r="Y62" i="10"/>
  <c r="Y63" i="10"/>
  <c r="Y64" i="10"/>
  <c r="Y65" i="10"/>
  <c r="Y66" i="10"/>
  <c r="Y67" i="10"/>
  <c r="Y68" i="10"/>
  <c r="Y69" i="10"/>
  <c r="Y70" i="10"/>
  <c r="Y71" i="10"/>
  <c r="Y72" i="10"/>
  <c r="Y73" i="10"/>
  <c r="Y74" i="10"/>
  <c r="Y75" i="10"/>
  <c r="Y76" i="10"/>
  <c r="Y77" i="10"/>
  <c r="Y78" i="10"/>
  <c r="Y79" i="10"/>
  <c r="Y80" i="10"/>
  <c r="Y81" i="10"/>
  <c r="Y82" i="10"/>
  <c r="Y83" i="10"/>
  <c r="Y84" i="10"/>
  <c r="Y85" i="10"/>
  <c r="Y86" i="10"/>
  <c r="Y87" i="10"/>
  <c r="Y88" i="10"/>
  <c r="Y89" i="10"/>
  <c r="Y90" i="10"/>
  <c r="Y91" i="10"/>
  <c r="Y92" i="10"/>
  <c r="Y93" i="10"/>
  <c r="Y94" i="10"/>
  <c r="Y95" i="10"/>
  <c r="Y96" i="10"/>
  <c r="Y97" i="10"/>
  <c r="Y98" i="10"/>
  <c r="Y99" i="10"/>
  <c r="Y100" i="10"/>
  <c r="Y101" i="10"/>
  <c r="Y102" i="10"/>
  <c r="Y103" i="10"/>
  <c r="Y104" i="10"/>
  <c r="Y105" i="10"/>
  <c r="Y24" i="10"/>
  <c r="Y25" i="10"/>
  <c r="Y26" i="10"/>
  <c r="Y27" i="10"/>
  <c r="Y28" i="10"/>
  <c r="Y29" i="10"/>
  <c r="Y30" i="10"/>
  <c r="Y31" i="10"/>
  <c r="L18" i="3"/>
  <c r="K11" i="4"/>
  <c r="F21" i="10"/>
  <c r="K18" i="3"/>
  <c r="J11" i="4"/>
  <c r="E21" i="10"/>
  <c r="L11" i="4"/>
  <c r="G21" i="10"/>
  <c r="K21" i="10"/>
  <c r="L21" i="10"/>
  <c r="I11" i="4"/>
  <c r="D21" i="10"/>
  <c r="N21" i="10"/>
  <c r="M21" i="10"/>
  <c r="P21" i="10"/>
  <c r="Q21" i="10"/>
  <c r="V21" i="10"/>
  <c r="W21" i="10"/>
  <c r="L15" i="3"/>
  <c r="L7" i="4"/>
  <c r="G17" i="10"/>
  <c r="K15" i="3"/>
  <c r="J7" i="4"/>
  <c r="E17" i="10"/>
  <c r="I7" i="4"/>
  <c r="D17" i="10"/>
  <c r="N17" i="10"/>
  <c r="K7" i="4"/>
  <c r="F17" i="10"/>
  <c r="K17" i="10"/>
  <c r="L17" i="10"/>
  <c r="M17" i="10"/>
  <c r="P17" i="10"/>
  <c r="Q17" i="10"/>
  <c r="V17" i="10"/>
  <c r="L8" i="4"/>
  <c r="G18" i="10"/>
  <c r="J8" i="4"/>
  <c r="E18" i="10"/>
  <c r="I8" i="4"/>
  <c r="D18" i="10"/>
  <c r="N18" i="10"/>
  <c r="K8" i="4"/>
  <c r="F18" i="10"/>
  <c r="K18" i="10"/>
  <c r="L18" i="10"/>
  <c r="M18" i="10"/>
  <c r="P18" i="10"/>
  <c r="Q18" i="10"/>
  <c r="V18" i="10"/>
  <c r="L19" i="3"/>
  <c r="L9" i="4"/>
  <c r="G19" i="10"/>
  <c r="K19" i="3"/>
  <c r="J9" i="4"/>
  <c r="E19" i="10"/>
  <c r="I9" i="4"/>
  <c r="D19" i="10"/>
  <c r="N19" i="10"/>
  <c r="K9" i="4"/>
  <c r="F19" i="10"/>
  <c r="K19" i="10"/>
  <c r="L19" i="10"/>
  <c r="M19" i="10"/>
  <c r="P19" i="10"/>
  <c r="Q19" i="10"/>
  <c r="V19" i="10"/>
  <c r="L10" i="4"/>
  <c r="G20" i="10"/>
  <c r="J10" i="4"/>
  <c r="E20" i="10"/>
  <c r="I10" i="4"/>
  <c r="D20" i="10"/>
  <c r="N20" i="10"/>
  <c r="K10" i="4"/>
  <c r="F20" i="10"/>
  <c r="K20" i="10"/>
  <c r="L20" i="10"/>
  <c r="M20" i="10"/>
  <c r="P20" i="10"/>
  <c r="Q20" i="10"/>
  <c r="V20" i="10"/>
  <c r="L12" i="3"/>
  <c r="L22" i="4"/>
  <c r="G32" i="10"/>
  <c r="J22" i="4"/>
  <c r="E32" i="10"/>
  <c r="I22" i="4"/>
  <c r="D32" i="10"/>
  <c r="N32" i="10"/>
  <c r="K22" i="4"/>
  <c r="F32" i="10"/>
  <c r="K32" i="10"/>
  <c r="L32" i="10"/>
  <c r="M32" i="10"/>
  <c r="P32" i="10"/>
  <c r="Q32" i="10"/>
  <c r="V32" i="10"/>
  <c r="L23" i="4"/>
  <c r="G33" i="10"/>
  <c r="J23" i="4"/>
  <c r="E33" i="10"/>
  <c r="I23" i="4"/>
  <c r="D33" i="10"/>
  <c r="N33" i="10"/>
  <c r="K23" i="4"/>
  <c r="F33" i="10"/>
  <c r="K33" i="10"/>
  <c r="L33" i="10"/>
  <c r="M33" i="10"/>
  <c r="P33" i="10"/>
  <c r="Q33" i="10"/>
  <c r="V33" i="10"/>
  <c r="L17" i="3"/>
  <c r="L24" i="4"/>
  <c r="G34" i="10"/>
  <c r="K17" i="3"/>
  <c r="J24" i="4"/>
  <c r="E34" i="10"/>
  <c r="I24" i="4"/>
  <c r="D34" i="10"/>
  <c r="N34" i="10"/>
  <c r="K24" i="4"/>
  <c r="F34" i="10"/>
  <c r="K34" i="10"/>
  <c r="L34" i="10"/>
  <c r="M34" i="10"/>
  <c r="P34" i="10"/>
  <c r="Q34" i="10"/>
  <c r="V34" i="10"/>
  <c r="L13" i="3"/>
  <c r="L25" i="4"/>
  <c r="G35" i="10"/>
  <c r="J25" i="4"/>
  <c r="E35" i="10"/>
  <c r="I25" i="4"/>
  <c r="D35" i="10"/>
  <c r="N35" i="10"/>
  <c r="K25" i="4"/>
  <c r="F35" i="10"/>
  <c r="K35" i="10"/>
  <c r="L35" i="10"/>
  <c r="M35" i="10"/>
  <c r="P35" i="10"/>
  <c r="Q35" i="10"/>
  <c r="V35" i="10"/>
  <c r="L26" i="4"/>
  <c r="G36" i="10"/>
  <c r="J26" i="4"/>
  <c r="E36" i="10"/>
  <c r="I26" i="4"/>
  <c r="D36" i="10"/>
  <c r="N36" i="10"/>
  <c r="K26" i="4"/>
  <c r="F36" i="10"/>
  <c r="K36" i="10"/>
  <c r="L36" i="10"/>
  <c r="M36" i="10"/>
  <c r="P36" i="10"/>
  <c r="Q36" i="10"/>
  <c r="V36" i="10"/>
  <c r="L27" i="4"/>
  <c r="G37" i="10"/>
  <c r="J27" i="4"/>
  <c r="E37" i="10"/>
  <c r="I27" i="4"/>
  <c r="D37" i="10"/>
  <c r="N37" i="10"/>
  <c r="K27" i="4"/>
  <c r="F37" i="10"/>
  <c r="K37" i="10"/>
  <c r="L37" i="10"/>
  <c r="M37" i="10"/>
  <c r="P37" i="10"/>
  <c r="Q37" i="10"/>
  <c r="V37" i="10"/>
  <c r="L16" i="3"/>
  <c r="L28" i="4"/>
  <c r="G38" i="10"/>
  <c r="J28" i="4"/>
  <c r="E38" i="10"/>
  <c r="I28" i="4"/>
  <c r="D38" i="10"/>
  <c r="N38" i="10"/>
  <c r="K28" i="4"/>
  <c r="F38" i="10"/>
  <c r="K38" i="10"/>
  <c r="L38" i="10"/>
  <c r="M38" i="10"/>
  <c r="P38" i="10"/>
  <c r="Q38" i="10"/>
  <c r="V38" i="10"/>
  <c r="L29" i="4"/>
  <c r="G39" i="10"/>
  <c r="J29" i="4"/>
  <c r="E39" i="10"/>
  <c r="I29" i="4"/>
  <c r="D39" i="10"/>
  <c r="N39" i="10"/>
  <c r="K29" i="4"/>
  <c r="F39" i="10"/>
  <c r="K39" i="10"/>
  <c r="L39" i="10"/>
  <c r="M39" i="10"/>
  <c r="P39" i="10"/>
  <c r="Q39" i="10"/>
  <c r="V39" i="10"/>
  <c r="D40" i="10"/>
  <c r="L30" i="4"/>
  <c r="G40" i="10"/>
  <c r="J30" i="4"/>
  <c r="E40" i="10"/>
  <c r="N40" i="10"/>
  <c r="K30" i="4"/>
  <c r="F40" i="10"/>
  <c r="K40" i="10"/>
  <c r="L40" i="10"/>
  <c r="M40" i="10"/>
  <c r="P40" i="10"/>
  <c r="Q40" i="10"/>
  <c r="V40" i="10"/>
  <c r="L14" i="3"/>
  <c r="L31" i="4"/>
  <c r="G41" i="10"/>
  <c r="J31" i="4"/>
  <c r="E41" i="10"/>
  <c r="I31" i="4"/>
  <c r="D41" i="10"/>
  <c r="N41" i="10"/>
  <c r="K31" i="4"/>
  <c r="F41" i="10"/>
  <c r="K41" i="10"/>
  <c r="L41" i="10"/>
  <c r="M41" i="10"/>
  <c r="P41" i="10"/>
  <c r="Q41" i="10"/>
  <c r="V41" i="10"/>
  <c r="L32" i="4"/>
  <c r="G42" i="10"/>
  <c r="J32" i="4"/>
  <c r="E42" i="10"/>
  <c r="I32" i="4"/>
  <c r="D42" i="10"/>
  <c r="N42" i="10"/>
  <c r="K32" i="4"/>
  <c r="F42" i="10"/>
  <c r="K42" i="10"/>
  <c r="L42" i="10"/>
  <c r="M42" i="10"/>
  <c r="P42" i="10"/>
  <c r="Q42" i="10"/>
  <c r="V42" i="10"/>
  <c r="L33" i="4"/>
  <c r="G43" i="10"/>
  <c r="J33" i="4"/>
  <c r="E43" i="10"/>
  <c r="I33" i="4"/>
  <c r="D43" i="10"/>
  <c r="N43" i="10"/>
  <c r="K33" i="4"/>
  <c r="F43" i="10"/>
  <c r="K43" i="10"/>
  <c r="L43" i="10"/>
  <c r="M43" i="10"/>
  <c r="P43" i="10"/>
  <c r="Q43" i="10"/>
  <c r="V43" i="10"/>
  <c r="L34" i="4"/>
  <c r="G44" i="10"/>
  <c r="J34" i="4"/>
  <c r="E44" i="10"/>
  <c r="I34" i="4"/>
  <c r="D44" i="10"/>
  <c r="N44" i="10"/>
  <c r="K34" i="4"/>
  <c r="F44" i="10"/>
  <c r="K44" i="10"/>
  <c r="L44" i="10"/>
  <c r="M44" i="10"/>
  <c r="P44" i="10"/>
  <c r="Q44" i="10"/>
  <c r="V44" i="10"/>
  <c r="L11" i="3"/>
  <c r="L35" i="4"/>
  <c r="G45" i="10"/>
  <c r="J35" i="4"/>
  <c r="E45" i="10"/>
  <c r="I35" i="4"/>
  <c r="D45" i="10"/>
  <c r="N45" i="10"/>
  <c r="K35" i="4"/>
  <c r="F45" i="10"/>
  <c r="K45" i="10"/>
  <c r="L45" i="10"/>
  <c r="M45" i="10"/>
  <c r="P45" i="10"/>
  <c r="Q45" i="10"/>
  <c r="V45" i="10"/>
  <c r="L12" i="4"/>
  <c r="G22" i="10"/>
  <c r="J12" i="4"/>
  <c r="E22" i="10"/>
  <c r="I12" i="4"/>
  <c r="D22" i="10"/>
  <c r="N22" i="10"/>
  <c r="K12" i="4"/>
  <c r="F22" i="10"/>
  <c r="K22" i="10"/>
  <c r="L22" i="10"/>
  <c r="M22" i="10"/>
  <c r="P22" i="10"/>
  <c r="Q22" i="10"/>
  <c r="V22" i="10"/>
  <c r="L13" i="4"/>
  <c r="G23" i="10"/>
  <c r="J13" i="4"/>
  <c r="E23" i="10"/>
  <c r="I13" i="4"/>
  <c r="D23" i="10"/>
  <c r="N23" i="10"/>
  <c r="K13" i="4"/>
  <c r="F23" i="10"/>
  <c r="K23" i="10"/>
  <c r="L23" i="10"/>
  <c r="M23" i="10"/>
  <c r="P23" i="10"/>
  <c r="Q23" i="10"/>
  <c r="V23" i="10"/>
  <c r="L14" i="4"/>
  <c r="G24" i="10"/>
  <c r="J14" i="4"/>
  <c r="E24" i="10"/>
  <c r="I14" i="4"/>
  <c r="D24" i="10"/>
  <c r="N24" i="10"/>
  <c r="K14" i="4"/>
  <c r="F24" i="10"/>
  <c r="K24" i="10"/>
  <c r="L24" i="10"/>
  <c r="M24" i="10"/>
  <c r="P24" i="10"/>
  <c r="Q24" i="10"/>
  <c r="V24" i="10"/>
  <c r="L15" i="4"/>
  <c r="G25" i="10"/>
  <c r="J15" i="4"/>
  <c r="E25" i="10"/>
  <c r="I15" i="4"/>
  <c r="D25" i="10"/>
  <c r="N25" i="10"/>
  <c r="K15" i="4"/>
  <c r="F25" i="10"/>
  <c r="K25" i="10"/>
  <c r="L25" i="10"/>
  <c r="M25" i="10"/>
  <c r="P25" i="10"/>
  <c r="Q25" i="10"/>
  <c r="V25" i="10"/>
  <c r="L16" i="4"/>
  <c r="G26" i="10"/>
  <c r="J16" i="4"/>
  <c r="E26" i="10"/>
  <c r="I16" i="4"/>
  <c r="D26" i="10"/>
  <c r="N26" i="10"/>
  <c r="K16" i="4"/>
  <c r="F26" i="10"/>
  <c r="K26" i="10"/>
  <c r="L26" i="10"/>
  <c r="M26" i="10"/>
  <c r="P26" i="10"/>
  <c r="Q26" i="10"/>
  <c r="V26" i="10"/>
  <c r="L17" i="4"/>
  <c r="G27" i="10"/>
  <c r="J17" i="4"/>
  <c r="E27" i="10"/>
  <c r="I17" i="4"/>
  <c r="D27" i="10"/>
  <c r="N27" i="10"/>
  <c r="K17" i="4"/>
  <c r="F27" i="10"/>
  <c r="K27" i="10"/>
  <c r="L27" i="10"/>
  <c r="M27" i="10"/>
  <c r="P27" i="10"/>
  <c r="Q27" i="10"/>
  <c r="V27" i="10"/>
  <c r="L18" i="4"/>
  <c r="G28" i="10"/>
  <c r="J18" i="4"/>
  <c r="E28" i="10"/>
  <c r="I18" i="4"/>
  <c r="D28" i="10"/>
  <c r="N28" i="10"/>
  <c r="K18" i="4"/>
  <c r="F28" i="10"/>
  <c r="K28" i="10"/>
  <c r="L28" i="10"/>
  <c r="M28" i="10"/>
  <c r="P28" i="10"/>
  <c r="Q28" i="10"/>
  <c r="V28" i="10"/>
  <c r="L19" i="4"/>
  <c r="G29" i="10"/>
  <c r="J19" i="4"/>
  <c r="E29" i="10"/>
  <c r="I19" i="4"/>
  <c r="D29" i="10"/>
  <c r="N29" i="10"/>
  <c r="K19" i="4"/>
  <c r="F29" i="10"/>
  <c r="K29" i="10"/>
  <c r="L29" i="10"/>
  <c r="M29" i="10"/>
  <c r="P29" i="10"/>
  <c r="Q29" i="10"/>
  <c r="V29" i="10"/>
  <c r="L20" i="4"/>
  <c r="G30" i="10"/>
  <c r="J20" i="4"/>
  <c r="E30" i="10"/>
  <c r="I20" i="4"/>
  <c r="D30" i="10"/>
  <c r="N30" i="10"/>
  <c r="K20" i="4"/>
  <c r="F30" i="10"/>
  <c r="K30" i="10"/>
  <c r="L30" i="10"/>
  <c r="M30" i="10"/>
  <c r="P30" i="10"/>
  <c r="Q30" i="10"/>
  <c r="V30" i="10"/>
  <c r="L21" i="4"/>
  <c r="G31" i="10"/>
  <c r="J21" i="4"/>
  <c r="E31" i="10"/>
  <c r="I21" i="4"/>
  <c r="D31" i="10"/>
  <c r="N31" i="10"/>
  <c r="K21" i="4"/>
  <c r="F31" i="10"/>
  <c r="K31" i="10"/>
  <c r="L31" i="10"/>
  <c r="M31" i="10"/>
  <c r="P31" i="10"/>
  <c r="Q31" i="10"/>
  <c r="V31" i="10"/>
  <c r="G3" i="4"/>
  <c r="G2" i="4"/>
  <c r="M9" i="4"/>
  <c r="H19" i="10"/>
  <c r="I19" i="10"/>
  <c r="J19" i="10"/>
  <c r="T19" i="10"/>
  <c r="U19" i="10"/>
  <c r="T17" i="10"/>
  <c r="T18" i="10"/>
  <c r="T20" i="10"/>
  <c r="T21" i="10"/>
  <c r="T22" i="10"/>
  <c r="T23" i="10"/>
  <c r="T24" i="10"/>
  <c r="T25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26" i="10"/>
  <c r="T27" i="10"/>
  <c r="T28" i="10"/>
  <c r="T29" i="10"/>
  <c r="T30" i="10"/>
  <c r="T31" i="10"/>
  <c r="T32" i="10"/>
  <c r="S21" i="10"/>
  <c r="R21" i="10"/>
  <c r="O18" i="10"/>
  <c r="M8" i="4"/>
  <c r="H18" i="10"/>
  <c r="I18" i="10"/>
  <c r="J18" i="10"/>
  <c r="W57" i="8"/>
  <c r="F3" i="7"/>
  <c r="F2" i="7"/>
  <c r="K19" i="7"/>
  <c r="J19" i="7"/>
  <c r="L19" i="7"/>
  <c r="M19" i="7"/>
  <c r="G21" i="8"/>
  <c r="O21" i="8"/>
  <c r="K7" i="7"/>
  <c r="J7" i="7"/>
  <c r="L7" i="7"/>
  <c r="M7" i="7"/>
  <c r="K8" i="7"/>
  <c r="J8" i="7"/>
  <c r="L8" i="7"/>
  <c r="M8" i="7"/>
  <c r="K9" i="7"/>
  <c r="J9" i="7"/>
  <c r="L9" i="7"/>
  <c r="M9" i="7"/>
  <c r="K10" i="7"/>
  <c r="J10" i="7"/>
  <c r="L10" i="7"/>
  <c r="M10" i="7"/>
  <c r="K11" i="7"/>
  <c r="J11" i="7"/>
  <c r="L11" i="7"/>
  <c r="M11" i="7"/>
  <c r="K12" i="7"/>
  <c r="J12" i="7"/>
  <c r="L12" i="7"/>
  <c r="M12" i="7"/>
  <c r="L9" i="3"/>
  <c r="K13" i="7"/>
  <c r="J13" i="7"/>
  <c r="L13" i="7"/>
  <c r="M13" i="7"/>
  <c r="K14" i="7"/>
  <c r="J14" i="7"/>
  <c r="L14" i="7"/>
  <c r="M14" i="7"/>
  <c r="K15" i="7"/>
  <c r="J15" i="7"/>
  <c r="L15" i="7"/>
  <c r="M15" i="7"/>
  <c r="K16" i="7"/>
  <c r="J16" i="7"/>
  <c r="L16" i="7"/>
  <c r="M16" i="7"/>
  <c r="K17" i="7"/>
  <c r="J17" i="7"/>
  <c r="L17" i="7"/>
  <c r="M17" i="7"/>
  <c r="K18" i="7"/>
  <c r="J18" i="7"/>
  <c r="L18" i="7"/>
  <c r="M18" i="7"/>
  <c r="O7" i="7"/>
  <c r="O8" i="7"/>
  <c r="K25" i="7"/>
  <c r="J25" i="7"/>
  <c r="L25" i="7"/>
  <c r="M25" i="7"/>
  <c r="K26" i="7"/>
  <c r="J26" i="7"/>
  <c r="L26" i="7"/>
  <c r="M26" i="7"/>
  <c r="K27" i="7"/>
  <c r="J27" i="7"/>
  <c r="L27" i="7"/>
  <c r="M27" i="7"/>
  <c r="K28" i="7"/>
  <c r="J28" i="7"/>
  <c r="L28" i="7"/>
  <c r="M28" i="7"/>
  <c r="K29" i="7"/>
  <c r="J29" i="7"/>
  <c r="L29" i="7"/>
  <c r="M29" i="7"/>
  <c r="K30" i="7"/>
  <c r="J30" i="7"/>
  <c r="L30" i="7"/>
  <c r="M30" i="7"/>
  <c r="K31" i="7"/>
  <c r="J31" i="7"/>
  <c r="L31" i="7"/>
  <c r="M31" i="7"/>
  <c r="K32" i="7"/>
  <c r="J32" i="7"/>
  <c r="L32" i="7"/>
  <c r="M32" i="7"/>
  <c r="K33" i="7"/>
  <c r="J33" i="7"/>
  <c r="L33" i="7"/>
  <c r="M33" i="7"/>
  <c r="K34" i="7"/>
  <c r="J34" i="7"/>
  <c r="L34" i="7"/>
  <c r="M34" i="7"/>
  <c r="K35" i="7"/>
  <c r="J35" i="7"/>
  <c r="L35" i="7"/>
  <c r="M35" i="7"/>
  <c r="K36" i="7"/>
  <c r="J36" i="7"/>
  <c r="L36" i="7"/>
  <c r="M36" i="7"/>
  <c r="K37" i="7"/>
  <c r="J37" i="7"/>
  <c r="L37" i="7"/>
  <c r="M37" i="7"/>
  <c r="K38" i="7"/>
  <c r="J38" i="7"/>
  <c r="L38" i="7"/>
  <c r="M38" i="7"/>
  <c r="O25" i="7"/>
  <c r="O26" i="7"/>
  <c r="K43" i="7"/>
  <c r="J43" i="7"/>
  <c r="L43" i="7"/>
  <c r="M43" i="7"/>
  <c r="K44" i="7"/>
  <c r="J44" i="7"/>
  <c r="L44" i="7"/>
  <c r="M44" i="7"/>
  <c r="K45" i="7"/>
  <c r="J45" i="7"/>
  <c r="L45" i="7"/>
  <c r="M45" i="7"/>
  <c r="K46" i="7"/>
  <c r="J46" i="7"/>
  <c r="L46" i="7"/>
  <c r="M46" i="7"/>
  <c r="K47" i="7"/>
  <c r="J47" i="7"/>
  <c r="L47" i="7"/>
  <c r="M47" i="7"/>
  <c r="K48" i="7"/>
  <c r="J48" i="7"/>
  <c r="L48" i="7"/>
  <c r="M48" i="7"/>
  <c r="K49" i="7"/>
  <c r="J49" i="7"/>
  <c r="L49" i="7"/>
  <c r="M49" i="7"/>
  <c r="K50" i="7"/>
  <c r="J50" i="7"/>
  <c r="L50" i="7"/>
  <c r="M50" i="7"/>
  <c r="K51" i="7"/>
  <c r="J51" i="7"/>
  <c r="L51" i="7"/>
  <c r="M51" i="7"/>
  <c r="K52" i="7"/>
  <c r="J52" i="7"/>
  <c r="L52" i="7"/>
  <c r="M52" i="7"/>
  <c r="K53" i="7"/>
  <c r="J53" i="7"/>
  <c r="L53" i="7"/>
  <c r="M53" i="7"/>
  <c r="K54" i="7"/>
  <c r="J54" i="7"/>
  <c r="L54" i="7"/>
  <c r="M54" i="7"/>
  <c r="K55" i="7"/>
  <c r="J55" i="7"/>
  <c r="L55" i="7"/>
  <c r="M55" i="7"/>
  <c r="K56" i="7"/>
  <c r="J56" i="7"/>
  <c r="L56" i="7"/>
  <c r="M56" i="7"/>
  <c r="O43" i="7"/>
  <c r="O44" i="7"/>
  <c r="K60" i="7"/>
  <c r="J60" i="7"/>
  <c r="L60" i="7"/>
  <c r="M60" i="7"/>
  <c r="K61" i="7"/>
  <c r="J61" i="7"/>
  <c r="L61" i="7"/>
  <c r="M61" i="7"/>
  <c r="K62" i="7"/>
  <c r="J62" i="7"/>
  <c r="L62" i="7"/>
  <c r="M62" i="7"/>
  <c r="K63" i="7"/>
  <c r="J63" i="7"/>
  <c r="L63" i="7"/>
  <c r="M63" i="7"/>
  <c r="K64" i="7"/>
  <c r="J64" i="7"/>
  <c r="L64" i="7"/>
  <c r="M64" i="7"/>
  <c r="K65" i="7"/>
  <c r="J65" i="7"/>
  <c r="L65" i="7"/>
  <c r="M65" i="7"/>
  <c r="K66" i="7"/>
  <c r="J66" i="7"/>
  <c r="L66" i="7"/>
  <c r="M66" i="7"/>
  <c r="K67" i="7"/>
  <c r="J67" i="7"/>
  <c r="L67" i="7"/>
  <c r="M67" i="7"/>
  <c r="K68" i="7"/>
  <c r="J68" i="7"/>
  <c r="L68" i="7"/>
  <c r="M68" i="7"/>
  <c r="K69" i="7"/>
  <c r="J69" i="7"/>
  <c r="L69" i="7"/>
  <c r="M69" i="7"/>
  <c r="K70" i="7"/>
  <c r="J70" i="7"/>
  <c r="L70" i="7"/>
  <c r="M70" i="7"/>
  <c r="K71" i="7"/>
  <c r="J71" i="7"/>
  <c r="L71" i="7"/>
  <c r="M71" i="7"/>
  <c r="O61" i="7"/>
  <c r="O60" i="7"/>
  <c r="W56" i="8"/>
  <c r="E4" i="8"/>
  <c r="E3" i="8"/>
  <c r="D9" i="8"/>
  <c r="F9" i="8"/>
  <c r="J9" i="8"/>
  <c r="K9" i="8"/>
  <c r="D10" i="8"/>
  <c r="F10" i="8"/>
  <c r="J10" i="8"/>
  <c r="K10" i="8"/>
  <c r="D11" i="8"/>
  <c r="F11" i="8"/>
  <c r="J11" i="8"/>
  <c r="K11" i="8"/>
  <c r="D12" i="8"/>
  <c r="F12" i="8"/>
  <c r="J12" i="8"/>
  <c r="K12" i="8"/>
  <c r="D13" i="8"/>
  <c r="F13" i="8"/>
  <c r="J13" i="8"/>
  <c r="K13" i="8"/>
  <c r="D14" i="8"/>
  <c r="F14" i="8"/>
  <c r="J14" i="8"/>
  <c r="K14" i="8"/>
  <c r="D15" i="8"/>
  <c r="F15" i="8"/>
  <c r="J15" i="8"/>
  <c r="K15" i="8"/>
  <c r="D16" i="8"/>
  <c r="F16" i="8"/>
  <c r="J16" i="8"/>
  <c r="K16" i="8"/>
  <c r="D17" i="8"/>
  <c r="F17" i="8"/>
  <c r="J17" i="8"/>
  <c r="K17" i="8"/>
  <c r="D18" i="8"/>
  <c r="F18" i="8"/>
  <c r="J18" i="8"/>
  <c r="K18" i="8"/>
  <c r="D19" i="8"/>
  <c r="F19" i="8"/>
  <c r="J19" i="8"/>
  <c r="K19" i="8"/>
  <c r="D20" i="8"/>
  <c r="F20" i="8"/>
  <c r="J20" i="8"/>
  <c r="K20" i="8"/>
  <c r="D21" i="8"/>
  <c r="F21" i="8"/>
  <c r="J21" i="8"/>
  <c r="K21" i="8"/>
  <c r="M16" i="8"/>
  <c r="T29" i="8"/>
  <c r="G45" i="8"/>
  <c r="O45" i="8"/>
  <c r="E45" i="8"/>
  <c r="D45" i="8"/>
  <c r="F45" i="8"/>
  <c r="P45" i="8"/>
  <c r="G62" i="8"/>
  <c r="O62" i="8"/>
  <c r="E62" i="8"/>
  <c r="D62" i="8"/>
  <c r="F62" i="8"/>
  <c r="P62" i="8"/>
  <c r="G63" i="8"/>
  <c r="O63" i="8"/>
  <c r="E63" i="8"/>
  <c r="D63" i="8"/>
  <c r="F63" i="8"/>
  <c r="P63" i="8"/>
  <c r="G32" i="8"/>
  <c r="O32" i="8"/>
  <c r="E32" i="8"/>
  <c r="D32" i="8"/>
  <c r="F32" i="8"/>
  <c r="P32" i="8"/>
  <c r="G33" i="8"/>
  <c r="O33" i="8"/>
  <c r="E33" i="8"/>
  <c r="D33" i="8"/>
  <c r="F33" i="8"/>
  <c r="P33" i="8"/>
  <c r="G34" i="8"/>
  <c r="O34" i="8"/>
  <c r="E34" i="8"/>
  <c r="D34" i="8"/>
  <c r="F34" i="8"/>
  <c r="P34" i="8"/>
  <c r="G13" i="8"/>
  <c r="O13" i="8"/>
  <c r="E13" i="8"/>
  <c r="P13" i="8"/>
  <c r="G14" i="8"/>
  <c r="O14" i="8"/>
  <c r="E14" i="8"/>
  <c r="P14" i="8"/>
  <c r="G15" i="8"/>
  <c r="O15" i="8"/>
  <c r="E15" i="8"/>
  <c r="P15" i="8"/>
  <c r="G16" i="8"/>
  <c r="O16" i="8"/>
  <c r="E16" i="8"/>
  <c r="P16" i="8"/>
  <c r="G17" i="8"/>
  <c r="O17" i="8"/>
  <c r="E17" i="8"/>
  <c r="P17" i="8"/>
  <c r="G18" i="8"/>
  <c r="O18" i="8"/>
  <c r="E18" i="8"/>
  <c r="P18" i="8"/>
  <c r="G19" i="8"/>
  <c r="O19" i="8"/>
  <c r="E19" i="8"/>
  <c r="P19" i="8"/>
  <c r="D27" i="8"/>
  <c r="F27" i="8"/>
  <c r="J27" i="8"/>
  <c r="K27" i="8"/>
  <c r="D28" i="8"/>
  <c r="F28" i="8"/>
  <c r="J28" i="8"/>
  <c r="K28" i="8"/>
  <c r="D29" i="8"/>
  <c r="F29" i="8"/>
  <c r="J29" i="8"/>
  <c r="K29" i="8"/>
  <c r="D30" i="8"/>
  <c r="F30" i="8"/>
  <c r="J30" i="8"/>
  <c r="K30" i="8"/>
  <c r="D31" i="8"/>
  <c r="F31" i="8"/>
  <c r="J31" i="8"/>
  <c r="K31" i="8"/>
  <c r="J32" i="8"/>
  <c r="K32" i="8"/>
  <c r="J33" i="8"/>
  <c r="K33" i="8"/>
  <c r="J34" i="8"/>
  <c r="K34" i="8"/>
  <c r="D35" i="8"/>
  <c r="F35" i="8"/>
  <c r="J35" i="8"/>
  <c r="K35" i="8"/>
  <c r="D36" i="8"/>
  <c r="F36" i="8"/>
  <c r="J36" i="8"/>
  <c r="K36" i="8"/>
  <c r="D37" i="8"/>
  <c r="F37" i="8"/>
  <c r="J37" i="8"/>
  <c r="K37" i="8"/>
  <c r="D38" i="8"/>
  <c r="F38" i="8"/>
  <c r="J38" i="8"/>
  <c r="K38" i="8"/>
  <c r="D39" i="8"/>
  <c r="F39" i="8"/>
  <c r="J39" i="8"/>
  <c r="K39" i="8"/>
  <c r="D40" i="8"/>
  <c r="F40" i="8"/>
  <c r="J40" i="8"/>
  <c r="K40" i="8"/>
  <c r="M34" i="8"/>
  <c r="H62" i="8"/>
  <c r="I62" i="8"/>
  <c r="L62" i="8"/>
  <c r="H63" i="8"/>
  <c r="I63" i="8"/>
  <c r="L63" i="8"/>
  <c r="E64" i="8"/>
  <c r="D64" i="8"/>
  <c r="F64" i="8"/>
  <c r="H64" i="8"/>
  <c r="I64" i="8"/>
  <c r="L64" i="8"/>
  <c r="E65" i="8"/>
  <c r="D65" i="8"/>
  <c r="F65" i="8"/>
  <c r="H65" i="8"/>
  <c r="I65" i="8"/>
  <c r="L65" i="8"/>
  <c r="E66" i="8"/>
  <c r="D66" i="8"/>
  <c r="F66" i="8"/>
  <c r="H66" i="8"/>
  <c r="I66" i="8"/>
  <c r="L66" i="8"/>
  <c r="E67" i="8"/>
  <c r="D67" i="8"/>
  <c r="F67" i="8"/>
  <c r="H67" i="8"/>
  <c r="I67" i="8"/>
  <c r="L67" i="8"/>
  <c r="E68" i="8"/>
  <c r="D68" i="8"/>
  <c r="F68" i="8"/>
  <c r="H68" i="8"/>
  <c r="I68" i="8"/>
  <c r="L68" i="8"/>
  <c r="E69" i="8"/>
  <c r="D69" i="8"/>
  <c r="F69" i="8"/>
  <c r="H69" i="8"/>
  <c r="I69" i="8"/>
  <c r="L69" i="8"/>
  <c r="E70" i="8"/>
  <c r="D70" i="8"/>
  <c r="F70" i="8"/>
  <c r="H70" i="8"/>
  <c r="I70" i="8"/>
  <c r="L70" i="8"/>
  <c r="E71" i="8"/>
  <c r="D71" i="8"/>
  <c r="F71" i="8"/>
  <c r="H71" i="8"/>
  <c r="I71" i="8"/>
  <c r="L71" i="8"/>
  <c r="E72" i="8"/>
  <c r="D72" i="8"/>
  <c r="F72" i="8"/>
  <c r="H72" i="8"/>
  <c r="I72" i="8"/>
  <c r="L72" i="8"/>
  <c r="E73" i="8"/>
  <c r="D73" i="8"/>
  <c r="F73" i="8"/>
  <c r="H73" i="8"/>
  <c r="I73" i="8"/>
  <c r="L73" i="8"/>
  <c r="N69" i="8"/>
  <c r="U32" i="8"/>
  <c r="J62" i="8"/>
  <c r="K62" i="8"/>
  <c r="J63" i="8"/>
  <c r="K63" i="8"/>
  <c r="J64" i="8"/>
  <c r="K64" i="8"/>
  <c r="J65" i="8"/>
  <c r="K65" i="8"/>
  <c r="J66" i="8"/>
  <c r="K66" i="8"/>
  <c r="J67" i="8"/>
  <c r="K67" i="8"/>
  <c r="J68" i="8"/>
  <c r="K68" i="8"/>
  <c r="J69" i="8"/>
  <c r="K69" i="8"/>
  <c r="J70" i="8"/>
  <c r="K70" i="8"/>
  <c r="J71" i="8"/>
  <c r="K71" i="8"/>
  <c r="J72" i="8"/>
  <c r="K72" i="8"/>
  <c r="J73" i="8"/>
  <c r="K73" i="8"/>
  <c r="M69" i="8"/>
  <c r="T32" i="8"/>
  <c r="H45" i="8"/>
  <c r="I45" i="8"/>
  <c r="L45" i="8"/>
  <c r="E46" i="8"/>
  <c r="D46" i="8"/>
  <c r="F46" i="8"/>
  <c r="H46" i="8"/>
  <c r="I46" i="8"/>
  <c r="L46" i="8"/>
  <c r="E47" i="8"/>
  <c r="D47" i="8"/>
  <c r="F47" i="8"/>
  <c r="H47" i="8"/>
  <c r="I47" i="8"/>
  <c r="L47" i="8"/>
  <c r="E48" i="8"/>
  <c r="D48" i="8"/>
  <c r="F48" i="8"/>
  <c r="H48" i="8"/>
  <c r="I48" i="8"/>
  <c r="L48" i="8"/>
  <c r="E49" i="8"/>
  <c r="D49" i="8"/>
  <c r="F49" i="8"/>
  <c r="H49" i="8"/>
  <c r="I49" i="8"/>
  <c r="L49" i="8"/>
  <c r="E50" i="8"/>
  <c r="D50" i="8"/>
  <c r="F50" i="8"/>
  <c r="H50" i="8"/>
  <c r="I50" i="8"/>
  <c r="L50" i="8"/>
  <c r="E51" i="8"/>
  <c r="D51" i="8"/>
  <c r="F51" i="8"/>
  <c r="H51" i="8"/>
  <c r="I51" i="8"/>
  <c r="L51" i="8"/>
  <c r="E52" i="8"/>
  <c r="D52" i="8"/>
  <c r="F52" i="8"/>
  <c r="H52" i="8"/>
  <c r="I52" i="8"/>
  <c r="L52" i="8"/>
  <c r="E53" i="8"/>
  <c r="D53" i="8"/>
  <c r="F53" i="8"/>
  <c r="H53" i="8"/>
  <c r="I53" i="8"/>
  <c r="L53" i="8"/>
  <c r="E54" i="8"/>
  <c r="D54" i="8"/>
  <c r="F54" i="8"/>
  <c r="H54" i="8"/>
  <c r="I54" i="8"/>
  <c r="L54" i="8"/>
  <c r="E55" i="8"/>
  <c r="D55" i="8"/>
  <c r="F55" i="8"/>
  <c r="H55" i="8"/>
  <c r="I55" i="8"/>
  <c r="L55" i="8"/>
  <c r="E56" i="8"/>
  <c r="D56" i="8"/>
  <c r="F56" i="8"/>
  <c r="H56" i="8"/>
  <c r="I56" i="8"/>
  <c r="L56" i="8"/>
  <c r="E57" i="8"/>
  <c r="D57" i="8"/>
  <c r="F57" i="8"/>
  <c r="H57" i="8"/>
  <c r="I57" i="8"/>
  <c r="L57" i="8"/>
  <c r="E58" i="8"/>
  <c r="D58" i="8"/>
  <c r="F58" i="8"/>
  <c r="H58" i="8"/>
  <c r="I58" i="8"/>
  <c r="L58" i="8"/>
  <c r="N52" i="8"/>
  <c r="U31" i="8"/>
  <c r="J45" i="8"/>
  <c r="K45" i="8"/>
  <c r="J46" i="8"/>
  <c r="K46" i="8"/>
  <c r="J47" i="8"/>
  <c r="K47" i="8"/>
  <c r="J48" i="8"/>
  <c r="K48" i="8"/>
  <c r="J49" i="8"/>
  <c r="K49" i="8"/>
  <c r="J50" i="8"/>
  <c r="K50" i="8"/>
  <c r="J51" i="8"/>
  <c r="K51" i="8"/>
  <c r="J52" i="8"/>
  <c r="K52" i="8"/>
  <c r="J53" i="8"/>
  <c r="K53" i="8"/>
  <c r="J54" i="8"/>
  <c r="K54" i="8"/>
  <c r="J55" i="8"/>
  <c r="K55" i="8"/>
  <c r="J56" i="8"/>
  <c r="K56" i="8"/>
  <c r="J57" i="8"/>
  <c r="K57" i="8"/>
  <c r="J58" i="8"/>
  <c r="K58" i="8"/>
  <c r="M52" i="8"/>
  <c r="T31" i="8"/>
  <c r="E27" i="8"/>
  <c r="H27" i="8"/>
  <c r="I27" i="8"/>
  <c r="L27" i="8"/>
  <c r="E28" i="8"/>
  <c r="H28" i="8"/>
  <c r="I28" i="8"/>
  <c r="L28" i="8"/>
  <c r="E29" i="8"/>
  <c r="H29" i="8"/>
  <c r="I29" i="8"/>
  <c r="L29" i="8"/>
  <c r="E30" i="8"/>
  <c r="H30" i="8"/>
  <c r="I30" i="8"/>
  <c r="L30" i="8"/>
  <c r="E31" i="8"/>
  <c r="H31" i="8"/>
  <c r="I31" i="8"/>
  <c r="L31" i="8"/>
  <c r="H32" i="8"/>
  <c r="I32" i="8"/>
  <c r="L32" i="8"/>
  <c r="H33" i="8"/>
  <c r="I33" i="8"/>
  <c r="L33" i="8"/>
  <c r="H34" i="8"/>
  <c r="I34" i="8"/>
  <c r="L34" i="8"/>
  <c r="E35" i="8"/>
  <c r="H35" i="8"/>
  <c r="I35" i="8"/>
  <c r="L35" i="8"/>
  <c r="E36" i="8"/>
  <c r="H36" i="8"/>
  <c r="I36" i="8"/>
  <c r="L36" i="8"/>
  <c r="E37" i="8"/>
  <c r="H37" i="8"/>
  <c r="I37" i="8"/>
  <c r="L37" i="8"/>
  <c r="E38" i="8"/>
  <c r="H38" i="8"/>
  <c r="I38" i="8"/>
  <c r="L38" i="8"/>
  <c r="E39" i="8"/>
  <c r="H39" i="8"/>
  <c r="I39" i="8"/>
  <c r="L39" i="8"/>
  <c r="E40" i="8"/>
  <c r="H40" i="8"/>
  <c r="I40" i="8"/>
  <c r="L40" i="8"/>
  <c r="N34" i="8"/>
  <c r="U30" i="8"/>
  <c r="T30" i="8"/>
  <c r="E9" i="8"/>
  <c r="H9" i="8"/>
  <c r="I9" i="8"/>
  <c r="L9" i="8"/>
  <c r="E10" i="8"/>
  <c r="H10" i="8"/>
  <c r="I10" i="8"/>
  <c r="L10" i="8"/>
  <c r="E11" i="8"/>
  <c r="H11" i="8"/>
  <c r="I11" i="8"/>
  <c r="L11" i="8"/>
  <c r="E12" i="8"/>
  <c r="H12" i="8"/>
  <c r="I12" i="8"/>
  <c r="L12" i="8"/>
  <c r="H13" i="8"/>
  <c r="I13" i="8"/>
  <c r="L13" i="8"/>
  <c r="H14" i="8"/>
  <c r="I14" i="8"/>
  <c r="L14" i="8"/>
  <c r="H15" i="8"/>
  <c r="I15" i="8"/>
  <c r="L15" i="8"/>
  <c r="H16" i="8"/>
  <c r="I16" i="8"/>
  <c r="L16" i="8"/>
  <c r="H17" i="8"/>
  <c r="I17" i="8"/>
  <c r="L17" i="8"/>
  <c r="H18" i="8"/>
  <c r="I18" i="8"/>
  <c r="L18" i="8"/>
  <c r="H19" i="8"/>
  <c r="I19" i="8"/>
  <c r="L19" i="8"/>
  <c r="E20" i="8"/>
  <c r="H20" i="8"/>
  <c r="I20" i="8"/>
  <c r="L20" i="8"/>
  <c r="E21" i="8"/>
  <c r="H21" i="8"/>
  <c r="I21" i="8"/>
  <c r="L21" i="8"/>
  <c r="N16" i="8"/>
  <c r="U29" i="8"/>
  <c r="G64" i="8"/>
  <c r="G35" i="8"/>
  <c r="G36" i="8"/>
  <c r="G37" i="8"/>
  <c r="G38" i="8"/>
  <c r="G39" i="8"/>
  <c r="G40" i="8"/>
  <c r="G27" i="8"/>
  <c r="G20" i="8"/>
  <c r="G9" i="8"/>
  <c r="O9" i="8"/>
  <c r="G10" i="8"/>
  <c r="O10" i="8"/>
  <c r="G11" i="8"/>
  <c r="O11" i="8"/>
  <c r="G12" i="8"/>
  <c r="O12" i="8"/>
  <c r="O20" i="8"/>
  <c r="V29" i="8"/>
  <c r="P64" i="8"/>
  <c r="P65" i="8"/>
  <c r="P66" i="8"/>
  <c r="P67" i="8"/>
  <c r="P68" i="8"/>
  <c r="P69" i="8"/>
  <c r="P70" i="8"/>
  <c r="P71" i="8"/>
  <c r="P72" i="8"/>
  <c r="P73" i="8"/>
  <c r="W32" i="8"/>
  <c r="M10" i="4"/>
  <c r="H20" i="10"/>
  <c r="I20" i="10"/>
  <c r="J20" i="10"/>
  <c r="U20" i="10"/>
  <c r="W23" i="10"/>
  <c r="M12" i="4"/>
  <c r="H22" i="10"/>
  <c r="I22" i="10"/>
  <c r="J22" i="10"/>
  <c r="U22" i="10"/>
  <c r="S18" i="10"/>
  <c r="M25" i="4"/>
  <c r="H35" i="10"/>
  <c r="I35" i="10"/>
  <c r="F6" i="13"/>
  <c r="M10" i="13"/>
  <c r="M7" i="4"/>
  <c r="H17" i="10"/>
  <c r="I17" i="10"/>
  <c r="M11" i="4"/>
  <c r="H21" i="10"/>
  <c r="I21" i="10"/>
  <c r="J21" i="10"/>
  <c r="W22" i="10"/>
  <c r="S19" i="10"/>
  <c r="R19" i="10"/>
  <c r="I11" i="13"/>
  <c r="M9" i="3"/>
  <c r="J11" i="13"/>
  <c r="K11" i="13"/>
  <c r="M11" i="13"/>
  <c r="I12" i="13"/>
  <c r="J12" i="13"/>
  <c r="K12" i="13"/>
  <c r="M12" i="13"/>
  <c r="I13" i="13"/>
  <c r="J13" i="13"/>
  <c r="K13" i="13"/>
  <c r="M13" i="13"/>
  <c r="I14" i="13"/>
  <c r="M12" i="3"/>
  <c r="J14" i="13"/>
  <c r="K14" i="13"/>
  <c r="M14" i="13"/>
  <c r="I15" i="13"/>
  <c r="J15" i="13"/>
  <c r="K15" i="13"/>
  <c r="M15" i="13"/>
  <c r="I16" i="13"/>
  <c r="J16" i="13"/>
  <c r="K16" i="13"/>
  <c r="M16" i="13"/>
  <c r="I17" i="13"/>
  <c r="M11" i="3"/>
  <c r="J17" i="13"/>
  <c r="K17" i="13"/>
  <c r="M17" i="13"/>
  <c r="I18" i="13"/>
  <c r="J18" i="13"/>
  <c r="K18" i="13"/>
  <c r="M18" i="13"/>
  <c r="I19" i="13"/>
  <c r="J19" i="13"/>
  <c r="K19" i="13"/>
  <c r="M19" i="13"/>
  <c r="I20" i="13"/>
  <c r="M14" i="3"/>
  <c r="J20" i="13"/>
  <c r="K20" i="13"/>
  <c r="M20" i="13"/>
  <c r="I21" i="13"/>
  <c r="J21" i="13"/>
  <c r="K21" i="13"/>
  <c r="M21" i="13"/>
  <c r="I22" i="13"/>
  <c r="J22" i="13"/>
  <c r="K22" i="13"/>
  <c r="M22" i="13"/>
  <c r="I23" i="13"/>
  <c r="J23" i="13"/>
  <c r="K23" i="13"/>
  <c r="M23" i="13"/>
  <c r="I24" i="13"/>
  <c r="J24" i="13"/>
  <c r="K24" i="13"/>
  <c r="M24" i="13"/>
  <c r="I25" i="13"/>
  <c r="M13" i="3"/>
  <c r="J25" i="13"/>
  <c r="K25" i="13"/>
  <c r="M25" i="13"/>
  <c r="I26" i="13"/>
  <c r="J26" i="13"/>
  <c r="K26" i="13"/>
  <c r="M26" i="13"/>
  <c r="I27" i="13"/>
  <c r="J27" i="13"/>
  <c r="K27" i="13"/>
  <c r="M27" i="13"/>
  <c r="I28" i="13"/>
  <c r="J28" i="13"/>
  <c r="K28" i="13"/>
  <c r="M28" i="13"/>
  <c r="I29" i="13"/>
  <c r="M16" i="3"/>
  <c r="J29" i="13"/>
  <c r="K29" i="13"/>
  <c r="M29" i="13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Q9" i="11"/>
  <c r="Q10" i="11"/>
  <c r="Q11" i="11"/>
  <c r="Q12" i="11"/>
  <c r="F10" i="10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N9" i="3"/>
  <c r="O9" i="3"/>
  <c r="P9" i="3"/>
  <c r="N10" i="3"/>
  <c r="O10" i="3"/>
  <c r="P10" i="3"/>
  <c r="N11" i="3"/>
  <c r="O11" i="3"/>
  <c r="P11" i="3"/>
  <c r="N12" i="3"/>
  <c r="O12" i="3"/>
  <c r="P12" i="3"/>
  <c r="N13" i="3"/>
  <c r="O13" i="3"/>
  <c r="P13" i="3"/>
  <c r="N14" i="3"/>
  <c r="O14" i="3"/>
  <c r="P14" i="3"/>
  <c r="M15" i="3"/>
  <c r="N15" i="3"/>
  <c r="O15" i="3"/>
  <c r="P15" i="3"/>
  <c r="N16" i="3"/>
  <c r="O16" i="3"/>
  <c r="P16" i="3"/>
  <c r="M17" i="3"/>
  <c r="N17" i="3"/>
  <c r="O17" i="3"/>
  <c r="P17" i="3"/>
  <c r="M18" i="3"/>
  <c r="N18" i="3"/>
  <c r="O18" i="3"/>
  <c r="P18" i="3"/>
  <c r="M19" i="3"/>
  <c r="N19" i="3"/>
  <c r="O19" i="3"/>
  <c r="P19" i="3"/>
  <c r="O8" i="3"/>
  <c r="P8" i="3"/>
  <c r="N8" i="3"/>
  <c r="L8" i="3"/>
  <c r="M8" i="3"/>
  <c r="K8" i="3"/>
  <c r="P12" i="12"/>
  <c r="P11" i="12"/>
  <c r="P10" i="12"/>
  <c r="P11" i="11"/>
  <c r="P10" i="11"/>
  <c r="P12" i="11"/>
  <c r="M26" i="4"/>
  <c r="M23" i="4"/>
  <c r="M35" i="4"/>
  <c r="M28" i="4"/>
  <c r="M13" i="4"/>
  <c r="M33" i="4"/>
  <c r="M16" i="4"/>
  <c r="M21" i="4"/>
  <c r="M31" i="4"/>
  <c r="M22" i="4"/>
  <c r="M34" i="4"/>
  <c r="M19" i="4"/>
  <c r="M24" i="4"/>
  <c r="M27" i="4"/>
  <c r="M18" i="4"/>
  <c r="M15" i="4"/>
  <c r="M20" i="4"/>
  <c r="M29" i="4"/>
  <c r="M14" i="4"/>
  <c r="M32" i="4"/>
  <c r="M17" i="4"/>
  <c r="M30" i="4"/>
  <c r="G71" i="8"/>
  <c r="O71" i="8"/>
  <c r="G67" i="8"/>
  <c r="O67" i="8"/>
  <c r="G51" i="8"/>
  <c r="G46" i="8"/>
  <c r="G56" i="8"/>
  <c r="G66" i="8"/>
  <c r="O66" i="8"/>
  <c r="G72" i="8"/>
  <c r="O72" i="8"/>
  <c r="G53" i="8"/>
  <c r="G54" i="8"/>
  <c r="G47" i="8"/>
  <c r="G57" i="8"/>
  <c r="G73" i="8"/>
  <c r="O73" i="8"/>
  <c r="G52" i="8"/>
  <c r="G58" i="8"/>
  <c r="G65" i="8"/>
  <c r="O65" i="8"/>
  <c r="G69" i="8"/>
  <c r="O69" i="8"/>
  <c r="G55" i="8"/>
  <c r="G68" i="8"/>
  <c r="O68" i="8"/>
  <c r="G49" i="8"/>
  <c r="O64" i="8"/>
  <c r="G50" i="8"/>
  <c r="G70" i="8"/>
  <c r="O70" i="8"/>
  <c r="G48" i="8"/>
  <c r="G29" i="8"/>
  <c r="G30" i="8"/>
  <c r="G31" i="8"/>
  <c r="G28" i="8"/>
  <c r="K11" i="10"/>
  <c r="H28" i="10"/>
  <c r="H41" i="10"/>
  <c r="H33" i="10"/>
  <c r="H40" i="10"/>
  <c r="H25" i="10"/>
  <c r="H37" i="10"/>
  <c r="H32" i="10"/>
  <c r="H43" i="10"/>
  <c r="H45" i="10"/>
  <c r="H27" i="10"/>
  <c r="H34" i="10"/>
  <c r="H42" i="10"/>
  <c r="H39" i="10"/>
  <c r="H29" i="10"/>
  <c r="H31" i="10"/>
  <c r="H38" i="10"/>
  <c r="H24" i="10"/>
  <c r="H23" i="10"/>
  <c r="H30" i="10"/>
  <c r="H44" i="10"/>
  <c r="H26" i="10"/>
  <c r="H36" i="10"/>
  <c r="V32" i="8"/>
  <c r="S31" i="8"/>
  <c r="S30" i="8"/>
  <c r="S29" i="8"/>
  <c r="P30" i="8"/>
  <c r="P50" i="8"/>
  <c r="P54" i="8"/>
  <c r="P12" i="8"/>
  <c r="P28" i="8"/>
  <c r="P40" i="8"/>
  <c r="P9" i="8"/>
  <c r="P56" i="8"/>
  <c r="P53" i="8"/>
  <c r="P55" i="8"/>
  <c r="P35" i="8"/>
  <c r="P38" i="8"/>
  <c r="P11" i="8"/>
  <c r="P49" i="8"/>
  <c r="P46" i="8"/>
  <c r="P21" i="8"/>
  <c r="P10" i="8"/>
  <c r="P57" i="8"/>
  <c r="P29" i="8"/>
  <c r="P51" i="8"/>
  <c r="P52" i="8"/>
  <c r="P48" i="8"/>
  <c r="P58" i="8"/>
  <c r="P47" i="8"/>
  <c r="P39" i="8"/>
  <c r="P36" i="8"/>
  <c r="P37" i="8"/>
  <c r="P20" i="8"/>
  <c r="P31" i="8"/>
  <c r="W31" i="8"/>
  <c r="W30" i="8"/>
  <c r="W29" i="8"/>
  <c r="O35" i="8"/>
  <c r="O52" i="8"/>
  <c r="O28" i="8"/>
  <c r="O56" i="8"/>
  <c r="O48" i="8"/>
  <c r="O36" i="8"/>
  <c r="O38" i="8"/>
  <c r="O47" i="8"/>
  <c r="O51" i="8"/>
  <c r="O39" i="8"/>
  <c r="O50" i="8"/>
  <c r="O53" i="8"/>
  <c r="O40" i="8"/>
  <c r="O58" i="8"/>
  <c r="O46" i="8"/>
  <c r="O55" i="8"/>
  <c r="O49" i="8"/>
  <c r="O54" i="8"/>
  <c r="O29" i="8"/>
  <c r="O31" i="8"/>
  <c r="O37" i="8"/>
  <c r="O30" i="8"/>
  <c r="O57" i="8"/>
  <c r="V31" i="8"/>
  <c r="V30" i="8"/>
  <c r="O30" i="10"/>
  <c r="O24" i="10"/>
  <c r="O22" i="10"/>
  <c r="O23" i="10"/>
  <c r="O34" i="10"/>
  <c r="O32" i="10"/>
  <c r="O29" i="10"/>
  <c r="O27" i="10"/>
  <c r="O41" i="10"/>
  <c r="O28" i="10"/>
  <c r="O33" i="10"/>
  <c r="O21" i="10"/>
  <c r="O31" i="10"/>
  <c r="S44" i="10"/>
  <c r="O44" i="10"/>
  <c r="S40" i="10"/>
  <c r="O39" i="10"/>
  <c r="O35" i="10"/>
  <c r="O25" i="10"/>
  <c r="S36" i="10"/>
  <c r="S35" i="10"/>
  <c r="O36" i="10"/>
  <c r="O45" i="10"/>
  <c r="O38" i="10"/>
  <c r="O42" i="10"/>
  <c r="O37" i="10"/>
  <c r="O26" i="10"/>
  <c r="O43" i="10"/>
  <c r="O40" i="10"/>
  <c r="S42" i="10"/>
  <c r="S37" i="10"/>
  <c r="S28" i="10"/>
  <c r="W38" i="10"/>
  <c r="R38" i="10"/>
  <c r="R37" i="10"/>
  <c r="W37" i="10"/>
  <c r="S26" i="10"/>
  <c r="W34" i="10"/>
  <c r="R34" i="10"/>
  <c r="S25" i="10"/>
  <c r="S39" i="10"/>
  <c r="S41" i="10"/>
  <c r="W43" i="10"/>
  <c r="R43" i="10"/>
  <c r="S38" i="10"/>
  <c r="R42" i="10"/>
  <c r="W42" i="10"/>
  <c r="S32" i="10"/>
  <c r="S34" i="10"/>
  <c r="S23" i="10"/>
  <c r="S33" i="10"/>
  <c r="W29" i="10"/>
  <c r="R29" i="10"/>
  <c r="W45" i="10"/>
  <c r="R45" i="10"/>
  <c r="S31" i="10"/>
  <c r="S24" i="10"/>
  <c r="S27" i="10"/>
  <c r="S30" i="10"/>
  <c r="S22" i="10"/>
  <c r="S43" i="10"/>
  <c r="S29" i="10"/>
  <c r="R35" i="10"/>
  <c r="W35" i="10"/>
  <c r="W36" i="10"/>
  <c r="R36" i="10"/>
  <c r="R23" i="10"/>
  <c r="W40" i="10"/>
  <c r="R40" i="10"/>
  <c r="S45" i="10"/>
  <c r="R44" i="10"/>
  <c r="W44" i="10"/>
  <c r="W24" i="10"/>
  <c r="R24" i="10"/>
  <c r="R32" i="10"/>
  <c r="W32" i="10"/>
  <c r="R28" i="10"/>
  <c r="W28" i="10"/>
  <c r="R30" i="10"/>
  <c r="W30" i="10"/>
  <c r="R27" i="10"/>
  <c r="W27" i="10"/>
  <c r="R39" i="10"/>
  <c r="W39" i="10"/>
  <c r="W41" i="10"/>
  <c r="R41" i="10"/>
  <c r="R31" i="10"/>
  <c r="W31" i="10"/>
  <c r="R22" i="10"/>
  <c r="W33" i="10"/>
  <c r="R33" i="10"/>
  <c r="W25" i="10"/>
  <c r="R25" i="10"/>
  <c r="W26" i="10"/>
  <c r="R26" i="10"/>
  <c r="O19" i="10"/>
  <c r="O17" i="10"/>
  <c r="O20" i="10"/>
  <c r="S17" i="10"/>
  <c r="W19" i="10"/>
  <c r="I30" i="10"/>
  <c r="J30" i="10"/>
  <c r="U30" i="10"/>
  <c r="U21" i="10"/>
  <c r="S20" i="10"/>
  <c r="I31" i="10"/>
  <c r="J31" i="10"/>
  <c r="U31" i="10"/>
  <c r="I24" i="10"/>
  <c r="J24" i="10"/>
  <c r="U24" i="10"/>
  <c r="I45" i="10"/>
  <c r="J45" i="10"/>
  <c r="U45" i="10"/>
  <c r="I36" i="10"/>
  <c r="J36" i="10"/>
  <c r="U36" i="10"/>
  <c r="I41" i="10"/>
  <c r="J41" i="10"/>
  <c r="U41" i="10"/>
  <c r="I44" i="10"/>
  <c r="J44" i="10"/>
  <c r="U44" i="10"/>
  <c r="I33" i="10"/>
  <c r="J33" i="10"/>
  <c r="U33" i="10"/>
  <c r="I29" i="10"/>
  <c r="J29" i="10"/>
  <c r="U29" i="10"/>
  <c r="I34" i="10"/>
  <c r="J34" i="10"/>
  <c r="U34" i="10"/>
  <c r="R17" i="10"/>
  <c r="I23" i="10"/>
  <c r="J23" i="10"/>
  <c r="U23" i="10"/>
  <c r="I42" i="10"/>
  <c r="J42" i="10"/>
  <c r="U42" i="10"/>
  <c r="I38" i="10"/>
  <c r="J38" i="10"/>
  <c r="U38" i="10"/>
  <c r="I43" i="10"/>
  <c r="J43" i="10"/>
  <c r="U43" i="10"/>
  <c r="I25" i="10"/>
  <c r="J25" i="10"/>
  <c r="U25" i="10"/>
  <c r="I37" i="10"/>
  <c r="J37" i="10"/>
  <c r="U37" i="10"/>
  <c r="I39" i="10"/>
  <c r="J39" i="10"/>
  <c r="U39" i="10"/>
  <c r="I28" i="10"/>
  <c r="J28" i="10"/>
  <c r="U28" i="10"/>
  <c r="W20" i="10"/>
  <c r="R20" i="10"/>
  <c r="I27" i="10"/>
  <c r="J27" i="10"/>
  <c r="U27" i="10"/>
  <c r="I26" i="10"/>
  <c r="J26" i="10"/>
  <c r="U26" i="10"/>
  <c r="I32" i="10"/>
  <c r="J32" i="10"/>
  <c r="U32" i="10"/>
  <c r="I40" i="10"/>
  <c r="J40" i="10"/>
  <c r="U40" i="10"/>
  <c r="J35" i="10"/>
  <c r="U35" i="10"/>
  <c r="R18" i="10"/>
  <c r="W18" i="10"/>
  <c r="W17" i="10"/>
  <c r="K9" i="10"/>
  <c r="U18" i="10"/>
  <c r="J17" i="10"/>
  <c r="U17" i="10"/>
  <c r="K8" i="10"/>
  <c r="K10" i="10"/>
</calcChain>
</file>

<file path=xl/sharedStrings.xml><?xml version="1.0" encoding="utf-8"?>
<sst xmlns="http://schemas.openxmlformats.org/spreadsheetml/2006/main" count="243" uniqueCount="153">
  <si>
    <t>CFP</t>
  </si>
  <si>
    <t>FRET</t>
  </si>
  <si>
    <t>YFP</t>
  </si>
  <si>
    <t>cell 3</t>
  </si>
  <si>
    <t>cell 5</t>
  </si>
  <si>
    <t>cell 6</t>
  </si>
  <si>
    <t>cell 7</t>
  </si>
  <si>
    <t>cell 1</t>
  </si>
  <si>
    <t>cell 2</t>
  </si>
  <si>
    <t>CFP cells</t>
  </si>
  <si>
    <t>YFP cells</t>
  </si>
  <si>
    <t>Background cells</t>
  </si>
  <si>
    <t>cell 8</t>
  </si>
  <si>
    <t>Background substracted</t>
  </si>
  <si>
    <t>HV_lookup</t>
  </si>
  <si>
    <t>Gain</t>
  </si>
  <si>
    <t xml:space="preserve">cell 4 </t>
  </si>
  <si>
    <t>AVERAGE</t>
  </si>
  <si>
    <t>Mean</t>
  </si>
  <si>
    <t>SEM</t>
  </si>
  <si>
    <t>Calibration by Dimer Series</t>
  </si>
  <si>
    <t>Diagramm</t>
  </si>
  <si>
    <t>#</t>
  </si>
  <si>
    <r>
      <t>S</t>
    </r>
    <r>
      <rPr>
        <vertAlign val="subscript"/>
        <sz val="11"/>
        <color theme="1"/>
        <rFont val="Calibri"/>
        <family val="2"/>
        <scheme val="minor"/>
      </rPr>
      <t>CFP</t>
    </r>
    <r>
      <rPr>
        <sz val="11"/>
        <color theme="1"/>
        <rFont val="Calibri"/>
        <family val="2"/>
        <scheme val="minor"/>
      </rPr>
      <t>FRET</t>
    </r>
  </si>
  <si>
    <r>
      <t>S</t>
    </r>
    <r>
      <rPr>
        <vertAlign val="subscript"/>
        <sz val="11"/>
        <color theme="1"/>
        <rFont val="Calibri"/>
        <family val="2"/>
        <scheme val="minor"/>
      </rPr>
      <t>FRET</t>
    </r>
    <r>
      <rPr>
        <sz val="11"/>
        <color theme="1"/>
        <rFont val="Calibri"/>
        <family val="2"/>
        <scheme val="minor"/>
      </rPr>
      <t>FRET</t>
    </r>
  </si>
  <si>
    <r>
      <t>S</t>
    </r>
    <r>
      <rPr>
        <vertAlign val="subscript"/>
        <sz val="11"/>
        <color theme="1"/>
        <rFont val="Calibri"/>
        <family val="2"/>
        <scheme val="minor"/>
      </rPr>
      <t>YFP</t>
    </r>
    <r>
      <rPr>
        <sz val="11"/>
        <color theme="1"/>
        <rFont val="Calibri"/>
        <family val="2"/>
        <scheme val="minor"/>
      </rPr>
      <t>FRET</t>
    </r>
  </si>
  <si>
    <r>
      <t>F</t>
    </r>
    <r>
      <rPr>
        <vertAlign val="subscript"/>
        <sz val="11"/>
        <color theme="1"/>
        <rFont val="Calibri"/>
        <family val="2"/>
        <scheme val="minor"/>
      </rPr>
      <t xml:space="preserve">C </t>
    </r>
  </si>
  <si>
    <r>
      <t>F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/S</t>
    </r>
    <r>
      <rPr>
        <vertAlign val="subscript"/>
        <sz val="11"/>
        <color theme="1"/>
        <rFont val="Calibri"/>
        <family val="2"/>
        <scheme val="minor"/>
      </rPr>
      <t>YFP</t>
    </r>
  </si>
  <si>
    <r>
      <t>S</t>
    </r>
    <r>
      <rPr>
        <vertAlign val="subscript"/>
        <sz val="11"/>
        <color theme="1"/>
        <rFont val="Calibri"/>
        <family val="2"/>
        <scheme val="minor"/>
      </rPr>
      <t>CFP</t>
    </r>
    <r>
      <rPr>
        <sz val="11"/>
        <color theme="1"/>
        <rFont val="Calibri"/>
        <family val="2"/>
        <scheme val="minor"/>
      </rPr>
      <t>/S</t>
    </r>
    <r>
      <rPr>
        <vertAlign val="subscript"/>
        <sz val="11"/>
        <color theme="1"/>
        <rFont val="Calibri"/>
        <family val="2"/>
        <scheme val="minor"/>
      </rPr>
      <t>YFP</t>
    </r>
  </si>
  <si>
    <r>
      <t>[S</t>
    </r>
    <r>
      <rPr>
        <vertAlign val="subscript"/>
        <sz val="11"/>
        <color theme="1"/>
        <rFont val="Calibri"/>
        <family val="2"/>
        <scheme val="minor"/>
      </rPr>
      <t>CFP</t>
    </r>
    <r>
      <rPr>
        <sz val="11"/>
        <color theme="1"/>
        <rFont val="Calibri"/>
        <family val="2"/>
        <scheme val="minor"/>
      </rPr>
      <t>/S</t>
    </r>
    <r>
      <rPr>
        <vertAlign val="subscript"/>
        <sz val="11"/>
        <color theme="1"/>
        <rFont val="Calibri"/>
        <family val="2"/>
        <scheme val="minor"/>
      </rPr>
      <t>YFP</t>
    </r>
    <r>
      <rPr>
        <sz val="11"/>
        <color theme="1"/>
        <rFont val="Calibri"/>
        <family val="2"/>
        <scheme val="minor"/>
      </rPr>
      <t>*R</t>
    </r>
    <r>
      <rPr>
        <vertAlign val="subscript"/>
        <sz val="11"/>
        <color theme="1"/>
        <rFont val="Calibri"/>
        <family val="2"/>
        <scheme val="minor"/>
      </rPr>
      <t>D1</t>
    </r>
    <r>
      <rPr>
        <sz val="11"/>
        <color theme="1"/>
        <rFont val="Calibri"/>
        <family val="2"/>
        <scheme val="minor"/>
      </rPr>
      <t>/R</t>
    </r>
    <r>
      <rPr>
        <vertAlign val="subscript"/>
        <sz val="11"/>
        <color theme="1"/>
        <rFont val="Calibri"/>
        <family val="2"/>
        <scheme val="minor"/>
      </rPr>
      <t>A1]</t>
    </r>
  </si>
  <si>
    <r>
      <t>[F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/S</t>
    </r>
    <r>
      <rPr>
        <vertAlign val="subscript"/>
        <sz val="11"/>
        <color theme="1"/>
        <rFont val="Calibri"/>
        <family val="2"/>
        <scheme val="minor"/>
      </rPr>
      <t>YFP</t>
    </r>
    <r>
      <rPr>
        <sz val="11"/>
        <color theme="1"/>
        <rFont val="Calibri"/>
        <family val="2"/>
        <scheme val="minor"/>
      </rPr>
      <t>*1/R</t>
    </r>
    <r>
      <rPr>
        <vertAlign val="subscript"/>
        <sz val="11"/>
        <color theme="1"/>
        <rFont val="Calibri"/>
        <family val="2"/>
        <scheme val="minor"/>
      </rPr>
      <t>A1]</t>
    </r>
  </si>
  <si>
    <t>x-axis</t>
  </si>
  <si>
    <t>y-axis</t>
  </si>
  <si>
    <r>
      <t xml:space="preserve">Raw data </t>
    </r>
    <r>
      <rPr>
        <b/>
        <sz val="10"/>
        <color theme="1"/>
        <rFont val="Calibri"/>
        <family val="2"/>
        <scheme val="minor"/>
      </rPr>
      <t>(BGR substracted)</t>
    </r>
  </si>
  <si>
    <r>
      <rPr>
        <b/>
        <sz val="11"/>
        <color theme="1"/>
        <rFont val="Calibri"/>
        <family val="2"/>
        <scheme val="minor"/>
      </rPr>
      <t>G-factor</t>
    </r>
    <r>
      <rPr>
        <sz val="11"/>
        <color theme="1"/>
        <rFont val="Calibri"/>
        <family val="2"/>
        <scheme val="minor"/>
      </rPr>
      <t xml:space="preserve"> (- slope)</t>
    </r>
    <r>
      <rPr>
        <b/>
        <sz val="11"/>
        <color theme="1"/>
        <rFont val="Calibri"/>
        <family val="2"/>
        <scheme val="minor"/>
      </rPr>
      <t>:</t>
    </r>
  </si>
  <si>
    <t>Binding Model</t>
  </si>
  <si>
    <t>ND/NA</t>
  </si>
  <si>
    <t>FRET Parameter</t>
  </si>
  <si>
    <t>Spurious FRET Correction</t>
  </si>
  <si>
    <r>
      <t>R</t>
    </r>
    <r>
      <rPr>
        <vertAlign val="subscript"/>
        <sz val="11"/>
        <color theme="1"/>
        <rFont val="Calibri"/>
        <family val="2"/>
        <scheme val="minor"/>
      </rPr>
      <t>A1</t>
    </r>
    <r>
      <rPr>
        <sz val="11"/>
        <color theme="1"/>
        <rFont val="Calibri"/>
        <family val="2"/>
        <scheme val="minor"/>
      </rPr>
      <t>:</t>
    </r>
  </si>
  <si>
    <r>
      <t>R</t>
    </r>
    <r>
      <rPr>
        <vertAlign val="subscript"/>
        <sz val="11"/>
        <color theme="1"/>
        <rFont val="Calibri"/>
        <family val="2"/>
        <scheme val="minor"/>
      </rPr>
      <t>D1</t>
    </r>
    <r>
      <rPr>
        <sz val="11"/>
        <color theme="1"/>
        <rFont val="Calibri"/>
        <family val="2"/>
        <scheme val="minor"/>
      </rPr>
      <t>:</t>
    </r>
  </si>
  <si>
    <t>SpFRET_E_3Cube:</t>
  </si>
  <si>
    <r>
      <t>N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:</t>
    </r>
  </si>
  <si>
    <r>
      <t>R</t>
    </r>
    <r>
      <rPr>
        <vertAlign val="subscript"/>
        <sz val="11"/>
        <color theme="1"/>
        <rFont val="Calibri"/>
        <family val="2"/>
        <scheme val="minor"/>
      </rPr>
      <t>D2</t>
    </r>
    <r>
      <rPr>
        <sz val="11"/>
        <color theme="1"/>
        <rFont val="Calibri"/>
        <family val="2"/>
        <scheme val="minor"/>
      </rPr>
      <t>:</t>
    </r>
  </si>
  <si>
    <t>SpFRET_E_EFRET:</t>
  </si>
  <si>
    <r>
      <t>EA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:</t>
    </r>
  </si>
  <si>
    <r>
      <t>ED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:</t>
    </r>
  </si>
  <si>
    <r>
      <t>M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:</t>
    </r>
  </si>
  <si>
    <t>SUM_Err_3Cube:</t>
  </si>
  <si>
    <r>
      <t>M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:</t>
    </r>
  </si>
  <si>
    <t>SUM_Err_EFRET:</t>
  </si>
  <si>
    <r>
      <t>M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/M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:</t>
    </r>
  </si>
  <si>
    <t>Total Error:</t>
  </si>
  <si>
    <r>
      <t>N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exp:</t>
    </r>
  </si>
  <si>
    <t xml:space="preserve">3Cube FRET </t>
  </si>
  <si>
    <t>E FRET</t>
  </si>
  <si>
    <t>Estimate total CFP/YFP molecules</t>
  </si>
  <si>
    <t>Estimate Dfree Afree</t>
  </si>
  <si>
    <t>Fraction bound</t>
  </si>
  <si>
    <t>Model Prediction/Errors</t>
  </si>
  <si>
    <t>Fits to plot</t>
  </si>
  <si>
    <r>
      <t>CFP</t>
    </r>
    <r>
      <rPr>
        <vertAlign val="subscript"/>
        <sz val="11"/>
        <color theme="1"/>
        <rFont val="Calibri"/>
        <family val="2"/>
        <scheme val="minor"/>
      </rPr>
      <t>EST</t>
    </r>
  </si>
  <si>
    <r>
      <t>YFP</t>
    </r>
    <r>
      <rPr>
        <vertAlign val="subscript"/>
        <sz val="11"/>
        <color theme="1"/>
        <rFont val="Calibri"/>
        <family val="2"/>
        <scheme val="minor"/>
      </rPr>
      <t>EST</t>
    </r>
  </si>
  <si>
    <r>
      <t>D</t>
    </r>
    <r>
      <rPr>
        <vertAlign val="subscript"/>
        <sz val="11"/>
        <color theme="1"/>
        <rFont val="Calibri"/>
        <family val="2"/>
        <scheme val="minor"/>
      </rPr>
      <t>free</t>
    </r>
  </si>
  <si>
    <r>
      <t>A</t>
    </r>
    <r>
      <rPr>
        <vertAlign val="subscript"/>
        <sz val="11"/>
        <color theme="1"/>
        <rFont val="Calibri"/>
        <family val="2"/>
        <scheme val="minor"/>
      </rPr>
      <t>free</t>
    </r>
  </si>
  <si>
    <r>
      <t>A</t>
    </r>
    <r>
      <rPr>
        <vertAlign val="subscript"/>
        <sz val="11"/>
        <color theme="1"/>
        <rFont val="Calibri"/>
        <family val="2"/>
        <scheme val="minor"/>
      </rPr>
      <t>b</t>
    </r>
  </si>
  <si>
    <r>
      <t>D</t>
    </r>
    <r>
      <rPr>
        <vertAlign val="subscript"/>
        <sz val="11"/>
        <color theme="1"/>
        <rFont val="Calibri"/>
        <family val="2"/>
        <scheme val="minor"/>
      </rPr>
      <t>b</t>
    </r>
  </si>
  <si>
    <r>
      <t>E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pred</t>
    </r>
  </si>
  <si>
    <r>
      <t>E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pred Error</t>
    </r>
  </si>
  <si>
    <r>
      <t>E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pred</t>
    </r>
  </si>
  <si>
    <r>
      <t>E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pred Error</t>
    </r>
  </si>
  <si>
    <r>
      <t>Fit D</t>
    </r>
    <r>
      <rPr>
        <vertAlign val="subscript"/>
        <sz val="11"/>
        <color theme="1"/>
        <rFont val="Calibri"/>
        <family val="2"/>
        <scheme val="minor"/>
      </rPr>
      <t>free</t>
    </r>
  </si>
  <si>
    <r>
      <t>Fit E</t>
    </r>
    <r>
      <rPr>
        <vertAlign val="subscript"/>
        <sz val="11"/>
        <color theme="1"/>
        <rFont val="Calibri"/>
        <family val="2"/>
        <scheme val="minor"/>
      </rPr>
      <t xml:space="preserve"> 3³-FRET</t>
    </r>
    <r>
      <rPr>
        <sz val="11"/>
        <color theme="1"/>
        <rFont val="Calibri"/>
        <family val="2"/>
        <scheme val="minor"/>
      </rPr>
      <t xml:space="preserve"> </t>
    </r>
  </si>
  <si>
    <r>
      <t>Fit A</t>
    </r>
    <r>
      <rPr>
        <vertAlign val="subscript"/>
        <sz val="11"/>
        <color theme="1"/>
        <rFont val="Calibri"/>
        <family val="2"/>
        <scheme val="minor"/>
      </rPr>
      <t>free</t>
    </r>
  </si>
  <si>
    <r>
      <t>Fit E</t>
    </r>
    <r>
      <rPr>
        <vertAlign val="subscript"/>
        <sz val="11"/>
        <color theme="1"/>
        <rFont val="Calibri"/>
        <family val="2"/>
        <scheme val="minor"/>
      </rPr>
      <t>E-FRET</t>
    </r>
  </si>
  <si>
    <t>Min</t>
  </si>
  <si>
    <t>Max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</si>
  <si>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-values</t>
    </r>
  </si>
  <si>
    <t>Date</t>
  </si>
  <si>
    <t xml:space="preserve">spurious FRET line </t>
  </si>
  <si>
    <t>Background subtracted</t>
  </si>
  <si>
    <t>Background-subtraction</t>
  </si>
  <si>
    <t>C4Y</t>
  </si>
  <si>
    <t>C80Y</t>
  </si>
  <si>
    <t>C40Y</t>
  </si>
  <si>
    <t>C10Y</t>
  </si>
  <si>
    <t>Cell #</t>
  </si>
  <si>
    <t>Dimer</t>
  </si>
  <si>
    <r>
      <t>Mean E</t>
    </r>
    <r>
      <rPr>
        <b/>
        <vertAlign val="subscript"/>
        <sz val="11"/>
        <color theme="1"/>
        <rFont val="Calibri"/>
        <family val="2"/>
        <scheme val="minor"/>
      </rPr>
      <t>A</t>
    </r>
  </si>
  <si>
    <r>
      <t>Mean E</t>
    </r>
    <r>
      <rPr>
        <b/>
        <vertAlign val="subscript"/>
        <sz val="11"/>
        <color theme="1"/>
        <rFont val="Calibri"/>
        <family val="2"/>
        <scheme val="minor"/>
      </rPr>
      <t>D</t>
    </r>
  </si>
  <si>
    <t xml:space="preserve">Analysis: </t>
  </si>
  <si>
    <t xml:space="preserve"> 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</si>
  <si>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</si>
  <si>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</si>
  <si>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</si>
  <si>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</si>
  <si>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</si>
  <si>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</si>
  <si>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</si>
  <si>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</si>
  <si>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</si>
  <si>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</si>
  <si>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</si>
  <si>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</si>
  <si>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</si>
  <si>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</si>
  <si>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</si>
  <si>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</si>
  <si>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</si>
  <si>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</si>
  <si>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</si>
  <si>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</si>
  <si>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</si>
  <si>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</si>
  <si>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</si>
  <si>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</si>
  <si>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</si>
  <si>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</si>
  <si>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</si>
  <si>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</si>
  <si>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Raw data</t>
  </si>
  <si>
    <t>Sample</t>
  </si>
  <si>
    <r>
      <t xml:space="preserve">Raw data </t>
    </r>
    <r>
      <rPr>
        <b/>
        <sz val="10"/>
        <color theme="1"/>
        <rFont val="Calibri"/>
        <family val="2"/>
        <scheme val="minor"/>
      </rPr>
      <t>(BGR-subtracted)</t>
    </r>
  </si>
  <si>
    <t xml:space="preserve">slope: 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</si>
  <si>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D1</t>
    </r>
    <r>
      <rPr>
        <b/>
        <sz val="11"/>
        <color theme="1"/>
        <rFont val="Calibri"/>
        <family val="2"/>
        <scheme val="minor"/>
      </rPr>
      <t>-values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</si>
  <si>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D2</t>
    </r>
    <r>
      <rPr>
        <b/>
        <sz val="11"/>
        <color theme="1"/>
        <rFont val="Calibri"/>
        <family val="2"/>
        <scheme val="minor"/>
      </rPr>
      <t>-values</t>
    </r>
  </si>
  <si>
    <r>
      <rPr>
        <b/>
        <sz val="11"/>
        <color theme="1"/>
        <rFont val="Calibri"/>
        <family val="2"/>
        <scheme val="minor"/>
      </rPr>
      <t>R</t>
    </r>
    <r>
      <rPr>
        <b/>
        <vertAlign val="subscript"/>
        <sz val="11"/>
        <color theme="1"/>
        <rFont val="Calibri"/>
        <family val="2"/>
        <scheme val="minor"/>
      </rPr>
      <t>D1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</si>
  <si>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</si>
  <si>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R</t>
    </r>
    <r>
      <rPr>
        <b/>
        <vertAlign val="subscript"/>
        <sz val="11"/>
        <color theme="1"/>
        <rFont val="Calibri"/>
        <family val="2"/>
        <scheme val="minor"/>
      </rPr>
      <t>D2</t>
    </r>
    <r>
      <rPr>
        <sz val="11"/>
        <color theme="1"/>
        <rFont val="Calibri"/>
        <family val="2"/>
        <scheme val="minor"/>
      </rPr>
      <t/>
    </r>
  </si>
  <si>
    <r>
      <t>Fc / R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*SYFP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</si>
  <si>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A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</si>
  <si>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D</t>
    </r>
  </si>
  <si>
    <t>MD</t>
  </si>
  <si>
    <r>
      <t>CFP</t>
    </r>
    <r>
      <rPr>
        <b/>
        <vertAlign val="subscript"/>
        <sz val="11"/>
        <color theme="1"/>
        <rFont val="Calibri"/>
        <family val="2"/>
        <scheme val="minor"/>
      </rPr>
      <t>EST</t>
    </r>
  </si>
  <si>
    <r>
      <t>Fc / R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*S</t>
    </r>
    <r>
      <rPr>
        <b/>
        <vertAlign val="subscript"/>
        <sz val="11"/>
        <color theme="1"/>
        <rFont val="Calibri"/>
        <family val="2"/>
        <scheme val="minor"/>
      </rPr>
      <t>YFP</t>
    </r>
  </si>
  <si>
    <r>
      <t>E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Corr</t>
    </r>
  </si>
  <si>
    <r>
      <t>E</t>
    </r>
    <r>
      <rPr>
        <vertAlign val="subscript"/>
        <sz val="11"/>
        <color theme="1"/>
        <rFont val="Calibri"/>
        <family val="2"/>
        <scheme val="minor"/>
      </rPr>
      <t>D</t>
    </r>
  </si>
  <si>
    <r>
      <t>E</t>
    </r>
    <r>
      <rPr>
        <vertAlign val="subscript"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>Corr</t>
    </r>
  </si>
  <si>
    <r>
      <t>E</t>
    </r>
    <r>
      <rPr>
        <vertAlign val="subscript"/>
        <sz val="11"/>
        <rFont val="Calibri"/>
        <family val="2"/>
        <scheme val="minor"/>
      </rPr>
      <t>A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</si>
  <si>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A1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</si>
  <si>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D1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</si>
  <si>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/ R</t>
    </r>
    <r>
      <rPr>
        <b/>
        <vertAlign val="subscript"/>
        <sz val="11"/>
        <color theme="1"/>
        <rFont val="Calibri"/>
        <family val="2"/>
        <scheme val="minor"/>
      </rPr>
      <t>A1</t>
    </r>
    <r>
      <rPr>
        <b/>
        <sz val="11"/>
        <color theme="1"/>
        <rFont val="Calibri"/>
        <family val="2"/>
        <scheme val="minor"/>
      </rPr>
      <t>*S</t>
    </r>
    <r>
      <rPr>
        <b/>
        <vertAlign val="subscript"/>
        <sz val="11"/>
        <color theme="1"/>
        <rFont val="Calibri"/>
        <family val="2"/>
        <scheme val="minor"/>
      </rPr>
      <t>YFP</t>
    </r>
  </si>
  <si>
    <r>
      <t>F</t>
    </r>
    <r>
      <rPr>
        <vertAlign val="subscript"/>
        <sz val="10"/>
        <color theme="1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 xml:space="preserve"> / R</t>
    </r>
    <r>
      <rPr>
        <vertAlign val="subscript"/>
        <sz val="10"/>
        <color theme="1"/>
        <rFont val="Calibri"/>
        <family val="2"/>
        <scheme val="minor"/>
      </rPr>
      <t>A1</t>
    </r>
    <r>
      <rPr>
        <sz val="10"/>
        <color theme="1"/>
        <rFont val="Calibri"/>
        <family val="2"/>
        <scheme val="minor"/>
      </rPr>
      <t>*S</t>
    </r>
    <r>
      <rPr>
        <vertAlign val="subscript"/>
        <sz val="10"/>
        <color theme="1"/>
        <rFont val="Calibri"/>
        <family val="2"/>
        <scheme val="minor"/>
      </rPr>
      <t>YFP</t>
    </r>
  </si>
  <si>
    <t>y-coordinate</t>
  </si>
  <si>
    <t>x-coordinate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</si>
  <si>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/M</t>
    </r>
    <r>
      <rPr>
        <b/>
        <vertAlign val="subscript"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: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</si>
  <si>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</si>
  <si>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: </t>
    </r>
  </si>
  <si>
    <r>
      <t>ε</t>
    </r>
    <r>
      <rPr>
        <vertAlign val="subscript"/>
        <sz val="11"/>
        <color theme="1"/>
        <rFont val="Calibri"/>
        <family val="2"/>
        <scheme val="minor"/>
      </rPr>
      <t>YFP</t>
    </r>
    <r>
      <rPr>
        <sz val="11"/>
        <color theme="1"/>
        <rFont val="Calibri"/>
        <family val="2"/>
        <scheme val="minor"/>
      </rPr>
      <t>(440)_ε</t>
    </r>
    <r>
      <rPr>
        <vertAlign val="subscript"/>
        <sz val="11"/>
        <color theme="1"/>
        <rFont val="Calibri"/>
        <family val="2"/>
        <scheme val="minor"/>
      </rPr>
      <t>CFP</t>
    </r>
    <r>
      <rPr>
        <sz val="11"/>
        <color theme="1"/>
        <rFont val="Calibri"/>
        <family val="2"/>
        <scheme val="minor"/>
      </rPr>
      <t>(440):</t>
    </r>
  </si>
  <si>
    <r>
      <rPr>
        <b/>
        <sz val="11"/>
        <color theme="1"/>
        <rFont val="Calibri"/>
        <family val="2"/>
      </rPr>
      <t>Ɛ</t>
    </r>
    <r>
      <rPr>
        <b/>
        <vertAlign val="subscript"/>
        <sz val="11"/>
        <color theme="1"/>
        <rFont val="Calibri"/>
        <family val="2"/>
      </rPr>
      <t>CFP</t>
    </r>
    <r>
      <rPr>
        <b/>
        <sz val="11"/>
        <color theme="1"/>
        <rFont val="Calibri"/>
        <family val="2"/>
      </rPr>
      <t>(440)/</t>
    </r>
    <r>
      <rPr>
        <b/>
        <sz val="11"/>
        <color theme="1"/>
        <rFont val="Calibri"/>
        <family val="2"/>
        <scheme val="minor"/>
      </rPr>
      <t>Ɛ</t>
    </r>
    <r>
      <rPr>
        <b/>
        <vertAlign val="subscript"/>
        <sz val="11"/>
        <color theme="1"/>
        <rFont val="Calibri"/>
        <family val="2"/>
        <scheme val="minor"/>
      </rPr>
      <t>YFP</t>
    </r>
    <r>
      <rPr>
        <b/>
        <sz val="11"/>
        <color theme="1"/>
        <rFont val="Calibri"/>
        <family val="2"/>
        <scheme val="minor"/>
      </rPr>
      <t xml:space="preserve">(440) </t>
    </r>
    <r>
      <rPr>
        <sz val="11"/>
        <color theme="1"/>
        <rFont val="Calibri"/>
        <family val="2"/>
        <scheme val="minor"/>
      </rPr>
      <t>(y-intercept)</t>
    </r>
    <r>
      <rPr>
        <b/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</si>
  <si>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</rPr>
      <t>Ɛ</t>
    </r>
    <r>
      <rPr>
        <b/>
        <vertAlign val="subscript"/>
        <sz val="11"/>
        <color theme="1"/>
        <rFont val="Calibri"/>
        <family val="2"/>
      </rPr>
      <t>YFP</t>
    </r>
    <r>
      <rPr>
        <b/>
        <sz val="11"/>
        <color theme="1"/>
        <rFont val="Calibri"/>
        <family val="2"/>
      </rPr>
      <t>(440)/</t>
    </r>
    <r>
      <rPr>
        <b/>
        <sz val="11"/>
        <color theme="1"/>
        <rFont val="Calibri"/>
        <family val="2"/>
        <scheme val="minor"/>
      </rPr>
      <t>Ɛ</t>
    </r>
    <r>
      <rPr>
        <b/>
        <vertAlign val="subscript"/>
        <sz val="11"/>
        <color theme="1"/>
        <rFont val="Calibri"/>
        <family val="2"/>
        <scheme val="minor"/>
      </rPr>
      <t>CFP</t>
    </r>
    <r>
      <rPr>
        <b/>
        <sz val="11"/>
        <color theme="1"/>
        <rFont val="Calibri"/>
        <family val="2"/>
        <scheme val="minor"/>
      </rPr>
      <t>(440):</t>
    </r>
  </si>
  <si>
    <r>
      <t>K</t>
    </r>
    <r>
      <rPr>
        <vertAlign val="subscript"/>
        <sz val="11"/>
        <color theme="1"/>
        <rFont val="Calibri"/>
        <family val="2"/>
        <scheme val="minor"/>
      </rPr>
      <t>dEFF</t>
    </r>
    <r>
      <rPr>
        <sz val="11"/>
        <color theme="1"/>
        <rFont val="Calibri"/>
        <family val="2"/>
        <scheme val="minor"/>
      </rPr>
      <t>:</t>
    </r>
  </si>
  <si>
    <t>Cell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</si>
</sst>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"/>
    <numFmt numFmtId="166" formatCode="0.0E+00"/>
    <numFmt numFmtId="167" formatCode="0.00000"/>
    <numFmt numFmtId="168" formatCode="0.00000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1"/>
      </patternFill>
    </fill>
    <fill>
      <patternFill patternType="solid">
        <fgColor indexed="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9" fillId="0" borderId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5" borderId="2" xfId="0" applyFont="1" applyFill="1" applyBorder="1"/>
    <xf numFmtId="0" fontId="1" fillId="5" borderId="5" xfId="0" applyFont="1" applyFill="1" applyBorder="1"/>
    <xf numFmtId="0" fontId="1" fillId="5" borderId="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5" borderId="7" xfId="0" applyFont="1" applyFill="1" applyBorder="1"/>
    <xf numFmtId="164" fontId="0" fillId="0" borderId="1" xfId="0" applyNumberFormat="1" applyBorder="1" applyAlignment="1">
      <alignment horizontal="center"/>
    </xf>
    <xf numFmtId="0" fontId="0" fillId="5" borderId="2" xfId="0" applyFill="1" applyBorder="1"/>
    <xf numFmtId="0" fontId="0" fillId="5" borderId="4" xfId="0" applyFill="1" applyBorder="1"/>
    <xf numFmtId="0" fontId="1" fillId="5" borderId="5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0" xfId="0" applyFill="1" applyBorder="1"/>
    <xf numFmtId="0" fontId="0" fillId="0" borderId="12" xfId="0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7" borderId="16" xfId="0" applyFill="1" applyBorder="1"/>
    <xf numFmtId="0" fontId="0" fillId="7" borderId="14" xfId="0" applyFill="1" applyBorder="1"/>
    <xf numFmtId="0" fontId="1" fillId="0" borderId="0" xfId="0" applyFont="1" applyFill="1" applyBorder="1" applyAlignment="1">
      <alignment horizontal="center"/>
    </xf>
    <xf numFmtId="0" fontId="0" fillId="0" borderId="16" xfId="0" applyBorder="1"/>
    <xf numFmtId="0" fontId="0" fillId="0" borderId="13" xfId="0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7" borderId="15" xfId="0" applyFill="1" applyBorder="1"/>
    <xf numFmtId="0" fontId="1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0" xfId="0" applyBorder="1"/>
    <xf numFmtId="0" fontId="1" fillId="6" borderId="0" xfId="0" applyFont="1" applyFill="1" applyBorder="1" applyAlignment="1">
      <alignment horizontal="center"/>
    </xf>
    <xf numFmtId="0" fontId="0" fillId="0" borderId="19" xfId="0" applyBorder="1"/>
    <xf numFmtId="165" fontId="1" fillId="0" borderId="0" xfId="0" applyNumberFormat="1" applyFont="1" applyBorder="1" applyAlignment="1">
      <alignment horizontal="center"/>
    </xf>
    <xf numFmtId="0" fontId="0" fillId="0" borderId="15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Border="1" applyAlignment="1">
      <alignment horizontal="center"/>
    </xf>
    <xf numFmtId="14" fontId="0" fillId="0" borderId="0" xfId="0" applyNumberFormat="1"/>
    <xf numFmtId="165" fontId="0" fillId="0" borderId="12" xfId="0" applyNumberFormat="1" applyBorder="1" applyAlignment="1">
      <alignment horizontal="center"/>
    </xf>
    <xf numFmtId="0" fontId="0" fillId="7" borderId="19" xfId="0" applyFill="1" applyBorder="1"/>
    <xf numFmtId="0" fontId="0" fillId="7" borderId="12" xfId="0" applyFill="1" applyBorder="1"/>
    <xf numFmtId="0" fontId="0" fillId="6" borderId="19" xfId="0" applyFill="1" applyBorder="1"/>
    <xf numFmtId="0" fontId="0" fillId="6" borderId="0" xfId="0" applyFill="1"/>
    <xf numFmtId="0" fontId="0" fillId="3" borderId="19" xfId="0" applyFill="1" applyBorder="1"/>
    <xf numFmtId="0" fontId="0" fillId="3" borderId="0" xfId="0" applyFill="1"/>
    <xf numFmtId="0" fontId="0" fillId="3" borderId="12" xfId="0" applyFill="1" applyBorder="1"/>
    <xf numFmtId="0" fontId="0" fillId="8" borderId="0" xfId="0" applyFill="1" applyBorder="1"/>
    <xf numFmtId="0" fontId="0" fillId="7" borderId="15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9" fontId="2" fillId="0" borderId="0" xfId="0" applyNumberFormat="1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/>
    <xf numFmtId="14" fontId="0" fillId="0" borderId="0" xfId="0" applyNumberFormat="1" applyAlignment="1">
      <alignment horizontal="center"/>
    </xf>
    <xf numFmtId="0" fontId="11" fillId="0" borderId="0" xfId="0" applyFont="1"/>
    <xf numFmtId="0" fontId="1" fillId="2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2" fillId="0" borderId="0" xfId="0" applyFont="1" applyBorder="1"/>
    <xf numFmtId="0" fontId="12" fillId="0" borderId="0" xfId="0" applyFont="1"/>
    <xf numFmtId="0" fontId="6" fillId="0" borderId="0" xfId="0" applyFont="1" applyBorder="1"/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164" fontId="1" fillId="12" borderId="0" xfId="0" applyNumberFormat="1" applyFont="1" applyFill="1" applyAlignment="1">
      <alignment horizontal="center"/>
    </xf>
    <xf numFmtId="0" fontId="1" fillId="12" borderId="0" xfId="0" applyFont="1" applyFill="1"/>
    <xf numFmtId="0" fontId="1" fillId="13" borderId="0" xfId="0" applyFont="1" applyFill="1"/>
    <xf numFmtId="0" fontId="0" fillId="0" borderId="0" xfId="0" applyFill="1" applyAlignment="1">
      <alignment horizontal="center"/>
    </xf>
    <xf numFmtId="0" fontId="0" fillId="13" borderId="0" xfId="0" applyFill="1" applyBorder="1"/>
    <xf numFmtId="0" fontId="1" fillId="13" borderId="0" xfId="0" applyFont="1" applyFill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165" fontId="1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1" fillId="13" borderId="0" xfId="0" applyFont="1" applyFill="1" applyAlignment="1">
      <alignment horizontal="center"/>
    </xf>
    <xf numFmtId="0" fontId="0" fillId="13" borderId="20" xfId="0" applyFill="1" applyBorder="1"/>
    <xf numFmtId="0" fontId="0" fillId="13" borderId="21" xfId="0" applyFill="1" applyBorder="1" applyAlignment="1">
      <alignment horizontal="right"/>
    </xf>
    <xf numFmtId="0" fontId="0" fillId="13" borderId="21" xfId="0" applyFill="1" applyBorder="1" applyAlignment="1">
      <alignment horizontal="center"/>
    </xf>
    <xf numFmtId="0" fontId="0" fillId="13" borderId="21" xfId="0" applyFill="1" applyBorder="1"/>
    <xf numFmtId="0" fontId="1" fillId="13" borderId="10" xfId="0" applyFont="1" applyFill="1" applyBorder="1"/>
    <xf numFmtId="0" fontId="0" fillId="13" borderId="19" xfId="0" applyFill="1" applyBorder="1"/>
    <xf numFmtId="0" fontId="0" fillId="13" borderId="0" xfId="0" applyFill="1" applyBorder="1" applyAlignment="1">
      <alignment horizontal="right"/>
    </xf>
    <xf numFmtId="0" fontId="0" fillId="13" borderId="0" xfId="0" applyFill="1" applyBorder="1" applyAlignment="1">
      <alignment horizontal="center"/>
    </xf>
    <xf numFmtId="0" fontId="1" fillId="13" borderId="0" xfId="0" applyFont="1" applyFill="1" applyBorder="1" applyAlignment="1">
      <alignment horizontal="right"/>
    </xf>
    <xf numFmtId="0" fontId="1" fillId="13" borderId="12" xfId="0" applyFont="1" applyFill="1" applyBorder="1"/>
    <xf numFmtId="0" fontId="0" fillId="13" borderId="15" xfId="0" applyFill="1" applyBorder="1"/>
    <xf numFmtId="0" fontId="0" fillId="13" borderId="16" xfId="0" applyFill="1" applyBorder="1"/>
    <xf numFmtId="0" fontId="1" fillId="13" borderId="16" xfId="0" applyFont="1" applyFill="1" applyBorder="1" applyAlignment="1">
      <alignment horizontal="center"/>
    </xf>
    <xf numFmtId="0" fontId="1" fillId="13" borderId="14" xfId="0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167" fontId="1" fillId="13" borderId="0" xfId="0" applyNumberFormat="1" applyFont="1" applyFill="1" applyAlignment="1">
      <alignment horizontal="center"/>
    </xf>
    <xf numFmtId="167" fontId="1" fillId="13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7" fontId="1" fillId="0" borderId="0" xfId="0" applyNumberFormat="1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9" fontId="2" fillId="0" borderId="0" xfId="0" applyNumberFormat="1" applyFont="1" applyFill="1" applyAlignment="1">
      <alignment horizontal="center"/>
    </xf>
    <xf numFmtId="0" fontId="0" fillId="6" borderId="22" xfId="0" applyFill="1" applyBorder="1" applyAlignment="1">
      <alignment horizontal="center"/>
    </xf>
    <xf numFmtId="0" fontId="1" fillId="7" borderId="16" xfId="0" applyFont="1" applyFill="1" applyBorder="1"/>
    <xf numFmtId="0" fontId="13" fillId="6" borderId="14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165" fontId="0" fillId="0" borderId="0" xfId="0" applyNumberFormat="1" applyFill="1" applyAlignment="1">
      <alignment horizontal="right"/>
    </xf>
    <xf numFmtId="165" fontId="0" fillId="0" borderId="0" xfId="0" applyNumberFormat="1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1" fillId="14" borderId="0" xfId="0" applyFont="1" applyFill="1" applyBorder="1" applyAlignment="1">
      <alignment horizontal="center"/>
    </xf>
    <xf numFmtId="0" fontId="15" fillId="5" borderId="22" xfId="0" applyFont="1" applyFill="1" applyBorder="1"/>
    <xf numFmtId="0" fontId="11" fillId="5" borderId="17" xfId="0" applyFont="1" applyFill="1" applyBorder="1"/>
    <xf numFmtId="0" fontId="15" fillId="15" borderId="15" xfId="0" applyFont="1" applyFill="1" applyBorder="1" applyAlignment="1">
      <alignment horizontal="center" vertical="center"/>
    </xf>
    <xf numFmtId="11" fontId="0" fillId="0" borderId="12" xfId="0" applyNumberFormat="1" applyBorder="1" applyAlignment="1">
      <alignment horizontal="center"/>
    </xf>
    <xf numFmtId="0" fontId="15" fillId="15" borderId="20" xfId="0" applyFont="1" applyFill="1" applyBorder="1" applyAlignment="1">
      <alignment vertical="center"/>
    </xf>
    <xf numFmtId="11" fontId="11" fillId="15" borderId="10" xfId="0" applyNumberFormat="1" applyFont="1" applyFill="1" applyBorder="1" applyAlignment="1">
      <alignment vertical="center"/>
    </xf>
    <xf numFmtId="11" fontId="11" fillId="15" borderId="1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21" xfId="0" applyBorder="1"/>
    <xf numFmtId="0" fontId="1" fillId="3" borderId="15" xfId="0" applyFont="1" applyFill="1" applyBorder="1" applyAlignment="1"/>
    <xf numFmtId="0" fontId="1" fillId="3" borderId="14" xfId="0" applyFont="1" applyFill="1" applyBorder="1" applyAlignment="1"/>
    <xf numFmtId="0" fontId="11" fillId="3" borderId="21" xfId="0" applyFont="1" applyFill="1" applyBorder="1" applyAlignment="1">
      <alignment horizontal="center"/>
    </xf>
    <xf numFmtId="0" fontId="11" fillId="0" borderId="0" xfId="0" applyFont="1" applyBorder="1"/>
    <xf numFmtId="0" fontId="0" fillId="0" borderId="0" xfId="0" applyAlignment="1">
      <alignment vertical="center"/>
    </xf>
    <xf numFmtId="0" fontId="0" fillId="0" borderId="11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0" fillId="0" borderId="0" xfId="0" applyFont="1" applyFill="1" applyBorder="1"/>
    <xf numFmtId="0" fontId="1" fillId="13" borderId="21" xfId="0" applyFont="1" applyFill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7" fillId="13" borderId="0" xfId="0" applyFont="1" applyFill="1" applyBorder="1" applyAlignment="1">
      <alignment horizontal="center"/>
    </xf>
    <xf numFmtId="0" fontId="0" fillId="13" borderId="0" xfId="0" applyFill="1"/>
    <xf numFmtId="0" fontId="0" fillId="0" borderId="0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center"/>
    </xf>
    <xf numFmtId="168" fontId="1" fillId="13" borderId="12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4" xfId="0" applyBorder="1" applyAlignment="1">
      <alignment horizontal="right"/>
    </xf>
  </cellXfs>
  <cellStyles count="6">
    <cellStyle name="20 % - Akzent3 2" xfId="3"/>
    <cellStyle name="40 % - Akzent3 2" xfId="2"/>
    <cellStyle name="Followed Hyperlink" xfId="5" builtinId="9" hidden="1"/>
    <cellStyle name="Hyperlink" xfId="4" builtinId="8" hidden="1"/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externalLink" Target="externalLinks/externalLink2.xml"/><Relationship Id="rId12" Type="http://schemas.openxmlformats.org/officeDocument/2006/relationships/externalLink" Target="externalLinks/externalLink3.xml"/><Relationship Id="rId13" Type="http://schemas.openxmlformats.org/officeDocument/2006/relationships/externalLink" Target="externalLinks/externalLink4.xml"/><Relationship Id="rId14" Type="http://schemas.openxmlformats.org/officeDocument/2006/relationships/externalLink" Target="externalLinks/externalLink5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'Dimer Analysis'!$B$9</c:f>
              <c:strCache>
                <c:ptCount val="1"/>
                <c:pt idx="0">
                  <c:v>C4Y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'Dimer Analysis'!$K$9:$K$24</c:f>
              <c:numCache>
                <c:formatCode>General</c:formatCode>
                <c:ptCount val="16"/>
                <c:pt idx="0">
                  <c:v>1.476241444689392</c:v>
                </c:pt>
                <c:pt idx="1">
                  <c:v>1.474225597757048</c:v>
                </c:pt>
                <c:pt idx="2">
                  <c:v>1.443335428453635</c:v>
                </c:pt>
                <c:pt idx="3">
                  <c:v>1.588630580008835</c:v>
                </c:pt>
                <c:pt idx="4">
                  <c:v>1.615012321361499</c:v>
                </c:pt>
                <c:pt idx="5">
                  <c:v>1.515996952812539</c:v>
                </c:pt>
                <c:pt idx="6">
                  <c:v>1.591149474612453</c:v>
                </c:pt>
                <c:pt idx="7">
                  <c:v>1.575033685646648</c:v>
                </c:pt>
                <c:pt idx="8">
                  <c:v>1.596491328434307</c:v>
                </c:pt>
                <c:pt idx="9">
                  <c:v>1.596751665361157</c:v>
                </c:pt>
                <c:pt idx="10">
                  <c:v>1.752602970739742</c:v>
                </c:pt>
                <c:pt idx="11">
                  <c:v>1.694108808399234</c:v>
                </c:pt>
                <c:pt idx="12">
                  <c:v>1.617659877713937</c:v>
                </c:pt>
              </c:numCache>
            </c:numRef>
          </c:xVal>
          <c:yVal>
            <c:numRef>
              <c:f>'Dimer Analysis'!$L$9:$L$24</c:f>
              <c:numCache>
                <c:formatCode>General</c:formatCode>
                <c:ptCount val="16"/>
                <c:pt idx="0">
                  <c:v>5.29171020364357</c:v>
                </c:pt>
                <c:pt idx="1">
                  <c:v>5.2742361866001</c:v>
                </c:pt>
                <c:pt idx="2">
                  <c:v>5.317265382015025</c:v>
                </c:pt>
                <c:pt idx="3">
                  <c:v>5.230626185123885</c:v>
                </c:pt>
                <c:pt idx="4">
                  <c:v>5.303710947161619</c:v>
                </c:pt>
                <c:pt idx="5">
                  <c:v>5.280118515039832</c:v>
                </c:pt>
                <c:pt idx="6">
                  <c:v>5.250133861494811</c:v>
                </c:pt>
                <c:pt idx="7">
                  <c:v>5.340107124759728</c:v>
                </c:pt>
                <c:pt idx="8">
                  <c:v>5.380389614576755</c:v>
                </c:pt>
                <c:pt idx="9">
                  <c:v>5.151935981446165</c:v>
                </c:pt>
                <c:pt idx="10">
                  <c:v>5.113084910440061</c:v>
                </c:pt>
                <c:pt idx="11">
                  <c:v>5.20599127420157</c:v>
                </c:pt>
                <c:pt idx="12">
                  <c:v>5.136864721718377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'Dimer Analysis'!$B$27</c:f>
              <c:strCache>
                <c:ptCount val="1"/>
                <c:pt idx="0">
                  <c:v>C80Y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'Dimer Analysis'!$K$27:$K$42</c:f>
              <c:numCache>
                <c:formatCode>General</c:formatCode>
                <c:ptCount val="16"/>
                <c:pt idx="0">
                  <c:v>1.926395133315176</c:v>
                </c:pt>
                <c:pt idx="1">
                  <c:v>1.861903217729317</c:v>
                </c:pt>
                <c:pt idx="2">
                  <c:v>2.155404232273431</c:v>
                </c:pt>
                <c:pt idx="3">
                  <c:v>1.970766271257289</c:v>
                </c:pt>
                <c:pt idx="4">
                  <c:v>1.935803920416521</c:v>
                </c:pt>
                <c:pt idx="5">
                  <c:v>2.074818370975275</c:v>
                </c:pt>
                <c:pt idx="6">
                  <c:v>1.872091172423586</c:v>
                </c:pt>
                <c:pt idx="7">
                  <c:v>2.039065966568454</c:v>
                </c:pt>
                <c:pt idx="8">
                  <c:v>2.011874658107049</c:v>
                </c:pt>
                <c:pt idx="9">
                  <c:v>2.090530927933972</c:v>
                </c:pt>
                <c:pt idx="10">
                  <c:v>2.10333478227845</c:v>
                </c:pt>
                <c:pt idx="11">
                  <c:v>1.927230477510848</c:v>
                </c:pt>
                <c:pt idx="12">
                  <c:v>2.020093658789414</c:v>
                </c:pt>
                <c:pt idx="13">
                  <c:v>1.930849453898581</c:v>
                </c:pt>
              </c:numCache>
            </c:numRef>
          </c:xVal>
          <c:yVal>
            <c:numRef>
              <c:f>'Dimer Analysis'!$L$27:$L$42</c:f>
              <c:numCache>
                <c:formatCode>General</c:formatCode>
                <c:ptCount val="16"/>
                <c:pt idx="0">
                  <c:v>2.039623071590495</c:v>
                </c:pt>
                <c:pt idx="1">
                  <c:v>2.170968353329078</c:v>
                </c:pt>
                <c:pt idx="2">
                  <c:v>2.061685147558239</c:v>
                </c:pt>
                <c:pt idx="3">
                  <c:v>2.054467924652257</c:v>
                </c:pt>
                <c:pt idx="4">
                  <c:v>2.10880944778378</c:v>
                </c:pt>
                <c:pt idx="5">
                  <c:v>2.04657329134396</c:v>
                </c:pt>
                <c:pt idx="6">
                  <c:v>2.193496884644312</c:v>
                </c:pt>
                <c:pt idx="7">
                  <c:v>1.970183800781637</c:v>
                </c:pt>
                <c:pt idx="8">
                  <c:v>2.018613672237644</c:v>
                </c:pt>
                <c:pt idx="9">
                  <c:v>2.134556907691226</c:v>
                </c:pt>
                <c:pt idx="10">
                  <c:v>1.879350464714397</c:v>
                </c:pt>
                <c:pt idx="11">
                  <c:v>1.996006383368305</c:v>
                </c:pt>
                <c:pt idx="12">
                  <c:v>2.050325194006107</c:v>
                </c:pt>
                <c:pt idx="13">
                  <c:v>1.980709384756183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'Dimer Analysis'!$B$45</c:f>
              <c:strCache>
                <c:ptCount val="1"/>
                <c:pt idx="0">
                  <c:v>C40Y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'Dimer Analysis'!$K$45:$K$59</c:f>
              <c:numCache>
                <c:formatCode>General</c:formatCode>
                <c:ptCount val="15"/>
                <c:pt idx="0">
                  <c:v>1.732328231696486</c:v>
                </c:pt>
                <c:pt idx="1">
                  <c:v>1.931773678247339</c:v>
                </c:pt>
                <c:pt idx="2">
                  <c:v>1.772632785703782</c:v>
                </c:pt>
                <c:pt idx="3">
                  <c:v>1.93974238529524</c:v>
                </c:pt>
                <c:pt idx="4">
                  <c:v>1.913576716271055</c:v>
                </c:pt>
                <c:pt idx="5">
                  <c:v>1.916546747611432</c:v>
                </c:pt>
                <c:pt idx="6">
                  <c:v>1.902635783262509</c:v>
                </c:pt>
                <c:pt idx="7">
                  <c:v>1.864995769022761</c:v>
                </c:pt>
                <c:pt idx="8">
                  <c:v>1.993073779317531</c:v>
                </c:pt>
                <c:pt idx="9">
                  <c:v>1.959859242189092</c:v>
                </c:pt>
                <c:pt idx="10">
                  <c:v>1.983117747677189</c:v>
                </c:pt>
                <c:pt idx="11">
                  <c:v>1.882282956287392</c:v>
                </c:pt>
                <c:pt idx="12">
                  <c:v>1.875032360643738</c:v>
                </c:pt>
                <c:pt idx="13">
                  <c:v>1.936681477565416</c:v>
                </c:pt>
              </c:numCache>
            </c:numRef>
          </c:xVal>
          <c:yVal>
            <c:numRef>
              <c:f>'Dimer Analysis'!$L$45:$L$59</c:f>
              <c:numCache>
                <c:formatCode>General</c:formatCode>
                <c:ptCount val="15"/>
                <c:pt idx="0">
                  <c:v>2.823035463582543</c:v>
                </c:pt>
                <c:pt idx="1">
                  <c:v>2.609538714239149</c:v>
                </c:pt>
                <c:pt idx="2">
                  <c:v>2.844946731194362</c:v>
                </c:pt>
                <c:pt idx="3">
                  <c:v>2.833957892862746</c:v>
                </c:pt>
                <c:pt idx="4">
                  <c:v>2.728202404676248</c:v>
                </c:pt>
                <c:pt idx="5">
                  <c:v>2.977207803493384</c:v>
                </c:pt>
                <c:pt idx="6">
                  <c:v>2.726071650792143</c:v>
                </c:pt>
                <c:pt idx="7">
                  <c:v>2.750604696222654</c:v>
                </c:pt>
                <c:pt idx="8">
                  <c:v>2.643932221896763</c:v>
                </c:pt>
                <c:pt idx="9">
                  <c:v>2.539904322954756</c:v>
                </c:pt>
                <c:pt idx="10">
                  <c:v>3.002418747268533</c:v>
                </c:pt>
                <c:pt idx="11">
                  <c:v>2.814399823965763</c:v>
                </c:pt>
                <c:pt idx="12">
                  <c:v>2.703828441143106</c:v>
                </c:pt>
                <c:pt idx="13">
                  <c:v>2.818540277704537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'Dimer Analysis'!$B$62</c:f>
              <c:strCache>
                <c:ptCount val="1"/>
                <c:pt idx="0">
                  <c:v>C10Y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'Dimer Analysis'!$K$62:$K$76</c:f>
              <c:numCache>
                <c:formatCode>General</c:formatCode>
                <c:ptCount val="15"/>
                <c:pt idx="0">
                  <c:v>1.673489601628583</c:v>
                </c:pt>
                <c:pt idx="1">
                  <c:v>1.641798643558655</c:v>
                </c:pt>
                <c:pt idx="2">
                  <c:v>1.807167653384006</c:v>
                </c:pt>
                <c:pt idx="3">
                  <c:v>1.789261887483283</c:v>
                </c:pt>
                <c:pt idx="4">
                  <c:v>1.791811665085956</c:v>
                </c:pt>
                <c:pt idx="5">
                  <c:v>1.953360434706093</c:v>
                </c:pt>
                <c:pt idx="6">
                  <c:v>1.820306979482386</c:v>
                </c:pt>
                <c:pt idx="7">
                  <c:v>1.758089733265155</c:v>
                </c:pt>
                <c:pt idx="8">
                  <c:v>1.860032523488072</c:v>
                </c:pt>
                <c:pt idx="9">
                  <c:v>1.787599387467459</c:v>
                </c:pt>
                <c:pt idx="10">
                  <c:v>1.967205003965975</c:v>
                </c:pt>
                <c:pt idx="11">
                  <c:v>1.81082103684907</c:v>
                </c:pt>
              </c:numCache>
            </c:numRef>
          </c:xVal>
          <c:yVal>
            <c:numRef>
              <c:f>'Dimer Analysis'!$L$62:$L$76</c:f>
              <c:numCache>
                <c:formatCode>General</c:formatCode>
                <c:ptCount val="15"/>
                <c:pt idx="0">
                  <c:v>4.165410457845947</c:v>
                </c:pt>
                <c:pt idx="1">
                  <c:v>4.117939520667978</c:v>
                </c:pt>
                <c:pt idx="2">
                  <c:v>4.056199353828057</c:v>
                </c:pt>
                <c:pt idx="3">
                  <c:v>4.124192241043247</c:v>
                </c:pt>
                <c:pt idx="4">
                  <c:v>4.115987456477147</c:v>
                </c:pt>
                <c:pt idx="5">
                  <c:v>4.049356806496828</c:v>
                </c:pt>
                <c:pt idx="6">
                  <c:v>3.964007954151824</c:v>
                </c:pt>
                <c:pt idx="7">
                  <c:v>3.809199881217298</c:v>
                </c:pt>
                <c:pt idx="8">
                  <c:v>3.943663592928146</c:v>
                </c:pt>
                <c:pt idx="9">
                  <c:v>4.030355930139249</c:v>
                </c:pt>
                <c:pt idx="10">
                  <c:v>4.116961271696042</c:v>
                </c:pt>
                <c:pt idx="11">
                  <c:v>4.05584355100475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230584"/>
        <c:axId val="2121239448"/>
      </c:scatterChart>
      <c:valAx>
        <c:axId val="2121230584"/>
        <c:scaling>
          <c:orientation val="minMax"/>
          <c:max val="2.6"/>
          <c:min val="1.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SCFP/SYFP*RD1/RA1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239448"/>
        <c:crosses val="autoZero"/>
        <c:crossBetween val="midCat"/>
      </c:valAx>
      <c:valAx>
        <c:axId val="2121239448"/>
        <c:scaling>
          <c:orientation val="minMax"/>
          <c:max val="10.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FC/SYFP*1/RA1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230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5" l="0.7" r="0.7" t="0.7874015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CFP-YFP</a:t>
            </a:r>
            <a:r>
              <a:rPr lang="de-DE" baseline="0"/>
              <a:t> Dimer</a:t>
            </a:r>
            <a:endParaRPr lang="de-DE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2.0"/>
            <c:backward val="3.0"/>
            <c:dispRSqr val="0"/>
            <c:dispEq val="1"/>
            <c:trendlineLbl>
              <c:layout>
                <c:manualLayout>
                  <c:x val="0.159217677151464"/>
                  <c:y val="-0.69693435316266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20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2000" b="1" baseline="0"/>
                      <a:t>y = -7.8104x + 17.744</a:t>
                    </a:r>
                    <a:endParaRPr lang="en-US" sz="20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'Dimer Analysis'!$T$29:$T$32</c:f>
              <c:numCache>
                <c:formatCode>0.00000</c:formatCode>
                <c:ptCount val="4"/>
                <c:pt idx="0">
                  <c:v>1.579787702768494</c:v>
                </c:pt>
                <c:pt idx="1">
                  <c:v>1.994297303105526</c:v>
                </c:pt>
                <c:pt idx="2">
                  <c:v>1.900305690056497</c:v>
                </c:pt>
                <c:pt idx="3">
                  <c:v>1.805078712530391</c:v>
                </c:pt>
              </c:numCache>
            </c:numRef>
          </c:xVal>
          <c:yVal>
            <c:numRef>
              <c:f>'Dimer Analysis'!$U$29:$U$32</c:f>
              <c:numCache>
                <c:formatCode>0.00000</c:formatCode>
                <c:ptCount val="4"/>
                <c:pt idx="0">
                  <c:v>5.252013454478577</c:v>
                </c:pt>
                <c:pt idx="1">
                  <c:v>2.050383566318402</c:v>
                </c:pt>
                <c:pt idx="2">
                  <c:v>2.772613513714049</c:v>
                </c:pt>
                <c:pt idx="3">
                  <c:v>4.045759834791375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675048"/>
        <c:axId val="2120701512"/>
      </c:scatterChart>
      <c:valAx>
        <c:axId val="2120675048"/>
        <c:scaling>
          <c:orientation val="minMax"/>
          <c:min val="-1.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SCFP/SYFP*RD1/RA1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701512"/>
        <c:crosses val="autoZero"/>
        <c:crossBetween val="midCat"/>
      </c:valAx>
      <c:valAx>
        <c:axId val="2120701512"/>
        <c:scaling>
          <c:orientation val="minMax"/>
          <c:min val="-5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FC/SYFP*1/RA1</a:t>
                </a:r>
              </a:p>
            </c:rich>
          </c:tx>
          <c:layout>
            <c:manualLayout>
              <c:xMode val="edge"/>
              <c:yMode val="edge"/>
              <c:x val="0.0186154741128563"/>
              <c:y val="0.26923399745075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675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5" l="0.7" r="0.7" t="0.7874015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8011592300962"/>
          <c:y val="0.087962962962963"/>
          <c:w val="0.739502405949256"/>
          <c:h val="0.7435032079323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 cmpd="sng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backward val="0.5"/>
            <c:intercept val="0.0"/>
            <c:dispRSqr val="1"/>
            <c:dispEq val="1"/>
            <c:trendlineLbl>
              <c:layout>
                <c:manualLayout>
                  <c:x val="0.0330945350581177"/>
                  <c:y val="0.5405753279793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3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'Spurious FRET'!$L$10:$L$82</c:f>
              <c:numCache>
                <c:formatCode>0.00</c:formatCode>
                <c:ptCount val="73"/>
                <c:pt idx="0">
                  <c:v>3.071236469050448</c:v>
                </c:pt>
                <c:pt idx="1">
                  <c:v>5.504885733266788</c:v>
                </c:pt>
                <c:pt idx="2">
                  <c:v>5.041643467895716</c:v>
                </c:pt>
                <c:pt idx="3">
                  <c:v>3.762985769306971</c:v>
                </c:pt>
                <c:pt idx="4">
                  <c:v>2.137696710061004</c:v>
                </c:pt>
                <c:pt idx="5">
                  <c:v>10.13142476975641</c:v>
                </c:pt>
                <c:pt idx="6">
                  <c:v>3.46501689015369</c:v>
                </c:pt>
                <c:pt idx="7">
                  <c:v>3.466698411292438</c:v>
                </c:pt>
                <c:pt idx="8">
                  <c:v>5.472544591115699</c:v>
                </c:pt>
                <c:pt idx="9">
                  <c:v>1.533599420124294</c:v>
                </c:pt>
                <c:pt idx="10">
                  <c:v>0.733538799191033</c:v>
                </c:pt>
                <c:pt idx="11">
                  <c:v>1.77181400149182</c:v>
                </c:pt>
                <c:pt idx="12">
                  <c:v>3.94327235598537</c:v>
                </c:pt>
                <c:pt idx="13">
                  <c:v>7.399853507798908</c:v>
                </c:pt>
                <c:pt idx="14">
                  <c:v>6.845886333692915</c:v>
                </c:pt>
                <c:pt idx="15">
                  <c:v>1.212571056201069</c:v>
                </c:pt>
                <c:pt idx="16">
                  <c:v>2.977456045284883</c:v>
                </c:pt>
                <c:pt idx="17">
                  <c:v>0.964709070236611</c:v>
                </c:pt>
                <c:pt idx="18">
                  <c:v>5.007532552437093</c:v>
                </c:pt>
                <c:pt idx="19">
                  <c:v>0.264994929507203</c:v>
                </c:pt>
              </c:numCache>
            </c:numRef>
          </c:xVal>
          <c:yVal>
            <c:numRef>
              <c:f>'Spurious FRET'!$M$10:$M$82</c:f>
              <c:numCache>
                <c:formatCode>0.00000</c:formatCode>
                <c:ptCount val="73"/>
                <c:pt idx="0">
                  <c:v>0.0483867853432863</c:v>
                </c:pt>
                <c:pt idx="1">
                  <c:v>0.0552172405903425</c:v>
                </c:pt>
                <c:pt idx="2">
                  <c:v>0.0668960446917343</c:v>
                </c:pt>
                <c:pt idx="3">
                  <c:v>0.0503596548399903</c:v>
                </c:pt>
                <c:pt idx="4">
                  <c:v>0.0393573090732726</c:v>
                </c:pt>
                <c:pt idx="5">
                  <c:v>0.0980339187783466</c:v>
                </c:pt>
                <c:pt idx="6">
                  <c:v>0.0509925809590975</c:v>
                </c:pt>
                <c:pt idx="7">
                  <c:v>0.0491111528926665</c:v>
                </c:pt>
                <c:pt idx="8">
                  <c:v>0.0928726675936223</c:v>
                </c:pt>
                <c:pt idx="9">
                  <c:v>0.0289990047625632</c:v>
                </c:pt>
                <c:pt idx="10">
                  <c:v>0.0115779858732193</c:v>
                </c:pt>
                <c:pt idx="11">
                  <c:v>0.0262284420911987</c:v>
                </c:pt>
                <c:pt idx="12">
                  <c:v>0.0586369655911281</c:v>
                </c:pt>
                <c:pt idx="13">
                  <c:v>0.0882760535339599</c:v>
                </c:pt>
                <c:pt idx="14">
                  <c:v>0.0865129050311654</c:v>
                </c:pt>
                <c:pt idx="15">
                  <c:v>0.0142648180108284</c:v>
                </c:pt>
                <c:pt idx="16">
                  <c:v>0.0366074203893036</c:v>
                </c:pt>
                <c:pt idx="17">
                  <c:v>0.0148157467041464</c:v>
                </c:pt>
                <c:pt idx="18">
                  <c:v>0.0728162350034147</c:v>
                </c:pt>
                <c:pt idx="19">
                  <c:v>0.00456292288205096</c:v>
                </c:pt>
              </c:numCache>
            </c:numRef>
          </c:yVal>
          <c:smooth val="0"/>
        </c:ser>
        <c:ser>
          <c:idx val="1"/>
          <c:order val="1"/>
          <c:tx>
            <c:v>2CFP:1YFP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'Spurious FRET'!#REF!</c:f>
            </c:numRef>
          </c:xVal>
          <c:yVal>
            <c:numRef>
              <c:f>'Spurious FRET'!$K$83:$K$129</c:f>
              <c:numCache>
                <c:formatCode>0.00</c:formatCode>
                <c:ptCount val="47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286136"/>
        <c:axId val="2120440744"/>
      </c:scatterChart>
      <c:valAx>
        <c:axId val="2120286136"/>
        <c:scaling>
          <c:orientation val="minMax"/>
          <c:max val="10.0"/>
          <c:min val="0.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CFP</a:t>
                </a:r>
                <a:r>
                  <a:rPr lang="en-US" baseline="-25000"/>
                  <a:t>EST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440744"/>
        <c:crosses val="autoZero"/>
        <c:crossBetween val="midCat"/>
      </c:valAx>
      <c:valAx>
        <c:axId val="2120440744"/>
        <c:scaling>
          <c:orientation val="minMax"/>
          <c:min val="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286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5" l="0.7" r="0.7" t="0.7874015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3³-FRET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'BC Analysis'!$P$17:$P$92</c:f>
              <c:numCache>
                <c:formatCode>General</c:formatCode>
                <c:ptCount val="76"/>
                <c:pt idx="0">
                  <c:v>0.421345793395345</c:v>
                </c:pt>
                <c:pt idx="1">
                  <c:v>0.582379085566356</c:v>
                </c:pt>
                <c:pt idx="2">
                  <c:v>0.07684686811023</c:v>
                </c:pt>
                <c:pt idx="3">
                  <c:v>0.0903717675044179</c:v>
                </c:pt>
                <c:pt idx="4">
                  <c:v>0.171369876877495</c:v>
                </c:pt>
                <c:pt idx="5">
                  <c:v>0.129056379868368</c:v>
                </c:pt>
                <c:pt idx="6">
                  <c:v>0.0311466299111048</c:v>
                </c:pt>
                <c:pt idx="7">
                  <c:v>0.0236801715168106</c:v>
                </c:pt>
                <c:pt idx="8">
                  <c:v>0.424693743901244</c:v>
                </c:pt>
                <c:pt idx="9">
                  <c:v>0.886576718251675</c:v>
                </c:pt>
                <c:pt idx="10">
                  <c:v>2.49032700832746</c:v>
                </c:pt>
                <c:pt idx="11">
                  <c:v>3.225173520916626</c:v>
                </c:pt>
                <c:pt idx="12">
                  <c:v>1.986613866342975</c:v>
                </c:pt>
                <c:pt idx="13">
                  <c:v>0.884619701384962</c:v>
                </c:pt>
                <c:pt idx="14">
                  <c:v>1.183588218455464</c:v>
                </c:pt>
                <c:pt idx="15">
                  <c:v>4.225512945308038</c:v>
                </c:pt>
                <c:pt idx="16">
                  <c:v>0.917538497591121</c:v>
                </c:pt>
                <c:pt idx="17">
                  <c:v>0.406853938487368</c:v>
                </c:pt>
                <c:pt idx="18">
                  <c:v>2.592793372590384</c:v>
                </c:pt>
                <c:pt idx="19">
                  <c:v>2.008455025538435</c:v>
                </c:pt>
                <c:pt idx="20">
                  <c:v>1.374736004949875</c:v>
                </c:pt>
                <c:pt idx="21">
                  <c:v>0.351612185863295</c:v>
                </c:pt>
                <c:pt idx="22">
                  <c:v>0.0383047741491857</c:v>
                </c:pt>
                <c:pt idx="23">
                  <c:v>0.0747014633582748</c:v>
                </c:pt>
                <c:pt idx="24">
                  <c:v>0.151219318032137</c:v>
                </c:pt>
                <c:pt idx="25">
                  <c:v>0.121206994248831</c:v>
                </c:pt>
                <c:pt idx="26">
                  <c:v>0.224024440008809</c:v>
                </c:pt>
                <c:pt idx="27">
                  <c:v>0.20889767049265</c:v>
                </c:pt>
                <c:pt idx="28">
                  <c:v>0.375421936569573</c:v>
                </c:pt>
              </c:numCache>
            </c:numRef>
          </c:xVal>
          <c:yVal>
            <c:numRef>
              <c:f>'BC Analysis'!$J$17:$J$92</c:f>
              <c:numCache>
                <c:formatCode>General</c:formatCode>
                <c:ptCount val="76"/>
                <c:pt idx="0">
                  <c:v>0.104926067824552</c:v>
                </c:pt>
                <c:pt idx="1">
                  <c:v>0.136009607480361</c:v>
                </c:pt>
                <c:pt idx="2">
                  <c:v>0.0326996547468396</c:v>
                </c:pt>
                <c:pt idx="3">
                  <c:v>0.0461313239155106</c:v>
                </c:pt>
                <c:pt idx="4">
                  <c:v>0.0612929876398727</c:v>
                </c:pt>
                <c:pt idx="5">
                  <c:v>0.0980408549079176</c:v>
                </c:pt>
                <c:pt idx="6">
                  <c:v>0.0228506600418639</c:v>
                </c:pt>
                <c:pt idx="7">
                  <c:v>0.0284248852672751</c:v>
                </c:pt>
                <c:pt idx="8">
                  <c:v>0.077105670109822</c:v>
                </c:pt>
                <c:pt idx="9">
                  <c:v>0.0947486872387855</c:v>
                </c:pt>
                <c:pt idx="10">
                  <c:v>0.167483260218548</c:v>
                </c:pt>
                <c:pt idx="11">
                  <c:v>0.156667506957392</c:v>
                </c:pt>
                <c:pt idx="12">
                  <c:v>0.204712918100123</c:v>
                </c:pt>
                <c:pt idx="13">
                  <c:v>0.0860660226166741</c:v>
                </c:pt>
                <c:pt idx="14">
                  <c:v>0.185438104444503</c:v>
                </c:pt>
                <c:pt idx="15">
                  <c:v>0.193854253637355</c:v>
                </c:pt>
                <c:pt idx="16">
                  <c:v>0.158485142470565</c:v>
                </c:pt>
                <c:pt idx="17">
                  <c:v>0.163770815109374</c:v>
                </c:pt>
                <c:pt idx="18">
                  <c:v>0.206532468937161</c:v>
                </c:pt>
                <c:pt idx="19">
                  <c:v>0.1566238318758</c:v>
                </c:pt>
                <c:pt idx="20">
                  <c:v>0.167844059794661</c:v>
                </c:pt>
                <c:pt idx="21">
                  <c:v>0.0823526710270622</c:v>
                </c:pt>
                <c:pt idx="22">
                  <c:v>0.0490963330291548</c:v>
                </c:pt>
                <c:pt idx="23">
                  <c:v>0.0883446687204517</c:v>
                </c:pt>
                <c:pt idx="24">
                  <c:v>0.11601538841453</c:v>
                </c:pt>
                <c:pt idx="25">
                  <c:v>0.0923815813533823</c:v>
                </c:pt>
                <c:pt idx="26">
                  <c:v>0.108961805408574</c:v>
                </c:pt>
                <c:pt idx="27">
                  <c:v>0.0935838976579402</c:v>
                </c:pt>
                <c:pt idx="28">
                  <c:v>0.122921031935758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'BC Analysis'!$X$15</c:f>
              <c:strCache>
                <c:ptCount val="1"/>
                <c:pt idx="0">
                  <c:v>Fits to plot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'BC Analysis'!$X$17:$X$105</c:f>
              <c:numCache>
                <c:formatCode>General</c:formatCode>
                <c:ptCount val="89"/>
                <c:pt idx="0">
                  <c:v>0.0</c:v>
                </c:pt>
                <c:pt idx="1">
                  <c:v>0.001</c:v>
                </c:pt>
                <c:pt idx="2">
                  <c:v>0.002</c:v>
                </c:pt>
                <c:pt idx="3">
                  <c:v>0.003</c:v>
                </c:pt>
                <c:pt idx="4">
                  <c:v>0.004</c:v>
                </c:pt>
                <c:pt idx="5">
                  <c:v>0.005</c:v>
                </c:pt>
                <c:pt idx="6">
                  <c:v>0.006</c:v>
                </c:pt>
                <c:pt idx="7">
                  <c:v>0.007</c:v>
                </c:pt>
                <c:pt idx="8">
                  <c:v>0.008</c:v>
                </c:pt>
                <c:pt idx="9">
                  <c:v>0.009</c:v>
                </c:pt>
                <c:pt idx="10">
                  <c:v>0.01</c:v>
                </c:pt>
                <c:pt idx="11">
                  <c:v>0.02</c:v>
                </c:pt>
                <c:pt idx="12">
                  <c:v>0.03</c:v>
                </c:pt>
                <c:pt idx="13">
                  <c:v>0.04</c:v>
                </c:pt>
                <c:pt idx="14">
                  <c:v>0.05</c:v>
                </c:pt>
                <c:pt idx="15">
                  <c:v>0.06</c:v>
                </c:pt>
                <c:pt idx="16">
                  <c:v>0.07</c:v>
                </c:pt>
                <c:pt idx="17">
                  <c:v>0.08</c:v>
                </c:pt>
                <c:pt idx="18">
                  <c:v>0.09</c:v>
                </c:pt>
                <c:pt idx="19">
                  <c:v>0.1</c:v>
                </c:pt>
                <c:pt idx="20">
                  <c:v>0.12</c:v>
                </c:pt>
                <c:pt idx="21">
                  <c:v>0.14</c:v>
                </c:pt>
                <c:pt idx="22">
                  <c:v>0.16</c:v>
                </c:pt>
                <c:pt idx="23">
                  <c:v>0.18</c:v>
                </c:pt>
                <c:pt idx="24">
                  <c:v>0.2</c:v>
                </c:pt>
                <c:pt idx="25">
                  <c:v>0.22</c:v>
                </c:pt>
                <c:pt idx="26">
                  <c:v>0.24</c:v>
                </c:pt>
                <c:pt idx="27">
                  <c:v>0.26</c:v>
                </c:pt>
                <c:pt idx="28">
                  <c:v>0.28</c:v>
                </c:pt>
                <c:pt idx="29">
                  <c:v>0.3</c:v>
                </c:pt>
                <c:pt idx="30">
                  <c:v>0.32</c:v>
                </c:pt>
                <c:pt idx="31">
                  <c:v>0.34</c:v>
                </c:pt>
                <c:pt idx="32">
                  <c:v>0.36</c:v>
                </c:pt>
                <c:pt idx="33">
                  <c:v>0.38</c:v>
                </c:pt>
                <c:pt idx="34">
                  <c:v>0.4</c:v>
                </c:pt>
                <c:pt idx="35">
                  <c:v>0.42</c:v>
                </c:pt>
                <c:pt idx="36">
                  <c:v>0.44</c:v>
                </c:pt>
                <c:pt idx="37">
                  <c:v>0.46</c:v>
                </c:pt>
                <c:pt idx="38">
                  <c:v>0.48</c:v>
                </c:pt>
                <c:pt idx="39">
                  <c:v>0.5</c:v>
                </c:pt>
                <c:pt idx="40">
                  <c:v>0.55</c:v>
                </c:pt>
                <c:pt idx="41">
                  <c:v>0.6</c:v>
                </c:pt>
                <c:pt idx="42">
                  <c:v>0.65</c:v>
                </c:pt>
                <c:pt idx="43">
                  <c:v>0.7</c:v>
                </c:pt>
                <c:pt idx="44">
                  <c:v>0.75</c:v>
                </c:pt>
                <c:pt idx="45">
                  <c:v>0.8</c:v>
                </c:pt>
                <c:pt idx="46">
                  <c:v>0.85</c:v>
                </c:pt>
                <c:pt idx="47">
                  <c:v>0.9</c:v>
                </c:pt>
                <c:pt idx="48">
                  <c:v>0.95</c:v>
                </c:pt>
                <c:pt idx="49">
                  <c:v>1.0</c:v>
                </c:pt>
                <c:pt idx="50">
                  <c:v>1.1</c:v>
                </c:pt>
                <c:pt idx="51">
                  <c:v>1.2</c:v>
                </c:pt>
                <c:pt idx="52">
                  <c:v>1.3</c:v>
                </c:pt>
                <c:pt idx="53">
                  <c:v>1.4</c:v>
                </c:pt>
                <c:pt idx="54">
                  <c:v>1.5</c:v>
                </c:pt>
                <c:pt idx="55">
                  <c:v>1.6</c:v>
                </c:pt>
                <c:pt idx="56">
                  <c:v>1.7</c:v>
                </c:pt>
                <c:pt idx="57">
                  <c:v>1.8</c:v>
                </c:pt>
                <c:pt idx="58">
                  <c:v>1.9</c:v>
                </c:pt>
                <c:pt idx="59">
                  <c:v>2.0</c:v>
                </c:pt>
                <c:pt idx="60">
                  <c:v>2.25</c:v>
                </c:pt>
                <c:pt idx="61">
                  <c:v>2.5</c:v>
                </c:pt>
                <c:pt idx="62">
                  <c:v>2.75</c:v>
                </c:pt>
                <c:pt idx="63">
                  <c:v>3.0</c:v>
                </c:pt>
                <c:pt idx="64">
                  <c:v>3.25</c:v>
                </c:pt>
                <c:pt idx="65">
                  <c:v>3.5</c:v>
                </c:pt>
                <c:pt idx="66">
                  <c:v>3.75</c:v>
                </c:pt>
                <c:pt idx="67">
                  <c:v>4.0</c:v>
                </c:pt>
                <c:pt idx="68">
                  <c:v>4.25</c:v>
                </c:pt>
                <c:pt idx="69">
                  <c:v>4.5</c:v>
                </c:pt>
                <c:pt idx="70">
                  <c:v>4.75</c:v>
                </c:pt>
                <c:pt idx="71">
                  <c:v>5.0</c:v>
                </c:pt>
                <c:pt idx="72">
                  <c:v>5.5</c:v>
                </c:pt>
                <c:pt idx="73">
                  <c:v>6.0</c:v>
                </c:pt>
                <c:pt idx="74">
                  <c:v>6.5</c:v>
                </c:pt>
                <c:pt idx="75">
                  <c:v>7.0</c:v>
                </c:pt>
                <c:pt idx="76">
                  <c:v>7.5</c:v>
                </c:pt>
                <c:pt idx="77">
                  <c:v>8.0</c:v>
                </c:pt>
                <c:pt idx="78">
                  <c:v>8.5</c:v>
                </c:pt>
                <c:pt idx="79">
                  <c:v>9.0</c:v>
                </c:pt>
                <c:pt idx="80">
                  <c:v>9.5</c:v>
                </c:pt>
                <c:pt idx="81">
                  <c:v>10.0</c:v>
                </c:pt>
                <c:pt idx="82">
                  <c:v>15.0</c:v>
                </c:pt>
                <c:pt idx="83">
                  <c:v>20.0</c:v>
                </c:pt>
                <c:pt idx="84">
                  <c:v>25.0</c:v>
                </c:pt>
                <c:pt idx="85">
                  <c:v>30.0</c:v>
                </c:pt>
                <c:pt idx="86">
                  <c:v>35.0</c:v>
                </c:pt>
                <c:pt idx="87">
                  <c:v>40.0</c:v>
                </c:pt>
                <c:pt idx="88">
                  <c:v>45.0</c:v>
                </c:pt>
              </c:numCache>
            </c:numRef>
          </c:xVal>
          <c:yVal>
            <c:numRef>
              <c:f>'BC Analysis'!$Y$17:$Y$105</c:f>
              <c:numCache>
                <c:formatCode>General</c:formatCode>
                <c:ptCount val="89"/>
                <c:pt idx="0">
                  <c:v>0.0</c:v>
                </c:pt>
                <c:pt idx="1">
                  <c:v>0.000920087214164893</c:v>
                </c:pt>
                <c:pt idx="2">
                  <c:v>0.0018312564054845</c:v>
                </c:pt>
                <c:pt idx="3">
                  <c:v>0.00273363660666038</c:v>
                </c:pt>
                <c:pt idx="4">
                  <c:v>0.00362735437308496</c:v>
                </c:pt>
                <c:pt idx="5">
                  <c:v>0.0045125338420101</c:v>
                </c:pt>
                <c:pt idx="6">
                  <c:v>0.0053892967900279</c:v>
                </c:pt>
                <c:pt idx="7">
                  <c:v>0.00625776268891963</c:v>
                </c:pt>
                <c:pt idx="8">
                  <c:v>0.00711804875992662</c:v>
                </c:pt>
                <c:pt idx="9">
                  <c:v>0.00797027002649477</c:v>
                </c:pt>
                <c:pt idx="10">
                  <c:v>0.00881453936554268</c:v>
                </c:pt>
                <c:pt idx="11">
                  <c:v>0.0168432706736322</c:v>
                </c:pt>
                <c:pt idx="12">
                  <c:v>0.024186790953767</c:v>
                </c:pt>
                <c:pt idx="13">
                  <c:v>0.0309292290905224</c:v>
                </c:pt>
                <c:pt idx="14">
                  <c:v>0.037141483208559</c:v>
                </c:pt>
                <c:pt idx="15">
                  <c:v>0.0428837232438979</c:v>
                </c:pt>
                <c:pt idx="16">
                  <c:v>0.0482073461926757</c:v>
                </c:pt>
                <c:pt idx="17">
                  <c:v>0.0531565187779341</c:v>
                </c:pt>
                <c:pt idx="18">
                  <c:v>0.0577694056536663</c:v>
                </c:pt>
                <c:pt idx="19">
                  <c:v>0.0620791554736213</c:v>
                </c:pt>
                <c:pt idx="20">
                  <c:v>0.0699013980884895</c:v>
                </c:pt>
                <c:pt idx="21">
                  <c:v>0.0768149844646937</c:v>
                </c:pt>
                <c:pt idx="22">
                  <c:v>0.0829695519677404</c:v>
                </c:pt>
                <c:pt idx="23">
                  <c:v>0.0884835913588781</c:v>
                </c:pt>
                <c:pt idx="24">
                  <c:v>0.0934521498046021</c:v>
                </c:pt>
                <c:pt idx="25">
                  <c:v>0.0979523555529565</c:v>
                </c:pt>
                <c:pt idx="26">
                  <c:v>0.102047450607753</c:v>
                </c:pt>
                <c:pt idx="27">
                  <c:v>0.10578978124091</c:v>
                </c:pt>
                <c:pt idx="28">
                  <c:v>0.109223047581014</c:v>
                </c:pt>
                <c:pt idx="29">
                  <c:v>0.112384017950164</c:v>
                </c:pt>
                <c:pt idx="30">
                  <c:v>0.11530385086165</c:v>
                </c:pt>
                <c:pt idx="31">
                  <c:v>0.118009125584413</c:v>
                </c:pt>
                <c:pt idx="32">
                  <c:v>0.120522653571877</c:v>
                </c:pt>
                <c:pt idx="33">
                  <c:v>0.12286412325677</c:v>
                </c:pt>
                <c:pt idx="34">
                  <c:v>0.125050616813809</c:v>
                </c:pt>
                <c:pt idx="35">
                  <c:v>0.127097027599573</c:v>
                </c:pt>
                <c:pt idx="36">
                  <c:v>0.129016399850009</c:v>
                </c:pt>
                <c:pt idx="37">
                  <c:v>0.130820207018537</c:v>
                </c:pt>
                <c:pt idx="38">
                  <c:v>0.132518581307411</c:v>
                </c:pt>
                <c:pt idx="39">
                  <c:v>0.134120504093486</c:v>
                </c:pt>
                <c:pt idx="40">
                  <c:v>0.137753681217607</c:v>
                </c:pt>
                <c:pt idx="41">
                  <c:v>0.14093516351931</c:v>
                </c:pt>
                <c:pt idx="42">
                  <c:v>0.143744256614844</c:v>
                </c:pt>
                <c:pt idx="43">
                  <c:v>0.146242727290986</c:v>
                </c:pt>
                <c:pt idx="44">
                  <c:v>0.148479397980926</c:v>
                </c:pt>
                <c:pt idx="45">
                  <c:v>0.150493368858088</c:v>
                </c:pt>
                <c:pt idx="46">
                  <c:v>0.152316323124073</c:v>
                </c:pt>
                <c:pt idx="47">
                  <c:v>0.153974206054411</c:v>
                </c:pt>
                <c:pt idx="48">
                  <c:v>0.155488467680429</c:v>
                </c:pt>
                <c:pt idx="49">
                  <c:v>0.156876995921062</c:v>
                </c:pt>
                <c:pt idx="50">
                  <c:v>0.159334689803322</c:v>
                </c:pt>
                <c:pt idx="51">
                  <c:v>0.161442370430293</c:v>
                </c:pt>
                <c:pt idx="52">
                  <c:v>0.163269838342379</c:v>
                </c:pt>
                <c:pt idx="53">
                  <c:v>0.164869491186329</c:v>
                </c:pt>
                <c:pt idx="54">
                  <c:v>0.166281429169477</c:v>
                </c:pt>
                <c:pt idx="55">
                  <c:v>0.167536862792432</c:v>
                </c:pt>
                <c:pt idx="56">
                  <c:v>0.168660446910022</c:v>
                </c:pt>
                <c:pt idx="57">
                  <c:v>0.16967191609129</c:v>
                </c:pt>
                <c:pt idx="58">
                  <c:v>0.170587253698174</c:v>
                </c:pt>
                <c:pt idx="59">
                  <c:v>0.171419542752756</c:v>
                </c:pt>
                <c:pt idx="60">
                  <c:v>0.173203545318604</c:v>
                </c:pt>
                <c:pt idx="61">
                  <c:v>0.174657707631988</c:v>
                </c:pt>
                <c:pt idx="62">
                  <c:v>0.175865764101091</c:v>
                </c:pt>
                <c:pt idx="63">
                  <c:v>0.176885317599534</c:v>
                </c:pt>
                <c:pt idx="64">
                  <c:v>0.177757295509155</c:v>
                </c:pt>
                <c:pt idx="65">
                  <c:v>0.178511576726725</c:v>
                </c:pt>
                <c:pt idx="66">
                  <c:v>0.179170484179699</c:v>
                </c:pt>
                <c:pt idx="67">
                  <c:v>0.179751031303479</c:v>
                </c:pt>
                <c:pt idx="68">
                  <c:v>0.180266412017502</c:v>
                </c:pt>
                <c:pt idx="69">
                  <c:v>0.180727015616088</c:v>
                </c:pt>
                <c:pt idx="70">
                  <c:v>0.181141134386214</c:v>
                </c:pt>
                <c:pt idx="71">
                  <c:v>0.181515467275126</c:v>
                </c:pt>
                <c:pt idx="72">
                  <c:v>0.182165699403009</c:v>
                </c:pt>
                <c:pt idx="73">
                  <c:v>0.182711128799239</c:v>
                </c:pt>
                <c:pt idx="74">
                  <c:v>0.183175203561568</c:v>
                </c:pt>
                <c:pt idx="75">
                  <c:v>0.183574862354</c:v>
                </c:pt>
                <c:pt idx="76">
                  <c:v>0.183922646667854</c:v>
                </c:pt>
                <c:pt idx="77">
                  <c:v>0.184228040713486</c:v>
                </c:pt>
                <c:pt idx="78">
                  <c:v>0.184498349510932</c:v>
                </c:pt>
                <c:pt idx="79">
                  <c:v>0.184739290781755</c:v>
                </c:pt>
                <c:pt idx="80">
                  <c:v>0.184955403863497</c:v>
                </c:pt>
                <c:pt idx="81">
                  <c:v>0.185150338406356</c:v>
                </c:pt>
                <c:pt idx="82">
                  <c:v>0.186394530075088</c:v>
                </c:pt>
                <c:pt idx="83">
                  <c:v>0.187022917681734</c:v>
                </c:pt>
                <c:pt idx="84">
                  <c:v>0.187401988097804</c:v>
                </c:pt>
                <c:pt idx="85">
                  <c:v>0.187655556558056</c:v>
                </c:pt>
                <c:pt idx="86">
                  <c:v>0.187837097411385</c:v>
                </c:pt>
                <c:pt idx="87">
                  <c:v>0.187973483727083</c:v>
                </c:pt>
                <c:pt idx="88">
                  <c:v>0.188079698978302</c:v>
                </c:pt>
              </c:numCache>
            </c:numRef>
          </c:yVal>
          <c:smooth val="0"/>
        </c:ser>
        <c:ser>
          <c:idx val="2"/>
          <c:order val="2"/>
          <c:spPr>
            <a:ln>
              <a:noFill/>
            </a:ln>
          </c:spPr>
          <c:trendline>
            <c:trendlineType val="linear"/>
            <c:intercept val="0.0"/>
            <c:dispRSqr val="0"/>
            <c:dispEq val="0"/>
          </c:trendline>
          <c:xVal>
            <c:numRef>
              <c:f>'Spurious FRET'!$L$10:$L$29</c:f>
              <c:numCache>
                <c:formatCode>0.00</c:formatCode>
                <c:ptCount val="20"/>
                <c:pt idx="0">
                  <c:v>3.071236469050448</c:v>
                </c:pt>
                <c:pt idx="1">
                  <c:v>5.504885733266788</c:v>
                </c:pt>
                <c:pt idx="2">
                  <c:v>5.041643467895716</c:v>
                </c:pt>
                <c:pt idx="3">
                  <c:v>3.762985769306971</c:v>
                </c:pt>
                <c:pt idx="4">
                  <c:v>2.137696710061004</c:v>
                </c:pt>
                <c:pt idx="5">
                  <c:v>10.13142476975641</c:v>
                </c:pt>
                <c:pt idx="6">
                  <c:v>3.46501689015369</c:v>
                </c:pt>
                <c:pt idx="7">
                  <c:v>3.466698411292438</c:v>
                </c:pt>
                <c:pt idx="8">
                  <c:v>5.472544591115699</c:v>
                </c:pt>
                <c:pt idx="9">
                  <c:v>1.533599420124294</c:v>
                </c:pt>
                <c:pt idx="10">
                  <c:v>0.733538799191033</c:v>
                </c:pt>
                <c:pt idx="11">
                  <c:v>1.77181400149182</c:v>
                </c:pt>
                <c:pt idx="12">
                  <c:v>3.94327235598537</c:v>
                </c:pt>
                <c:pt idx="13">
                  <c:v>7.399853507798908</c:v>
                </c:pt>
                <c:pt idx="14">
                  <c:v>6.845886333692915</c:v>
                </c:pt>
                <c:pt idx="15">
                  <c:v>1.212571056201069</c:v>
                </c:pt>
                <c:pt idx="16">
                  <c:v>2.977456045284883</c:v>
                </c:pt>
                <c:pt idx="17">
                  <c:v>0.964709070236611</c:v>
                </c:pt>
                <c:pt idx="18">
                  <c:v>5.007532552437093</c:v>
                </c:pt>
                <c:pt idx="19">
                  <c:v>0.264994929507203</c:v>
                </c:pt>
              </c:numCache>
            </c:numRef>
          </c:xVal>
          <c:yVal>
            <c:numRef>
              <c:f>'Spurious FRET'!$M$10:$M$29</c:f>
              <c:numCache>
                <c:formatCode>0.00000</c:formatCode>
                <c:ptCount val="20"/>
                <c:pt idx="0">
                  <c:v>0.0483867853432863</c:v>
                </c:pt>
                <c:pt idx="1">
                  <c:v>0.0552172405903425</c:v>
                </c:pt>
                <c:pt idx="2">
                  <c:v>0.0668960446917343</c:v>
                </c:pt>
                <c:pt idx="3">
                  <c:v>0.0503596548399903</c:v>
                </c:pt>
                <c:pt idx="4">
                  <c:v>0.0393573090732726</c:v>
                </c:pt>
                <c:pt idx="5">
                  <c:v>0.0980339187783466</c:v>
                </c:pt>
                <c:pt idx="6">
                  <c:v>0.0509925809590975</c:v>
                </c:pt>
                <c:pt idx="7">
                  <c:v>0.0491111528926665</c:v>
                </c:pt>
                <c:pt idx="8">
                  <c:v>0.0928726675936223</c:v>
                </c:pt>
                <c:pt idx="9">
                  <c:v>0.0289990047625632</c:v>
                </c:pt>
                <c:pt idx="10">
                  <c:v>0.0115779858732193</c:v>
                </c:pt>
                <c:pt idx="11">
                  <c:v>0.0262284420911987</c:v>
                </c:pt>
                <c:pt idx="12">
                  <c:v>0.0586369655911281</c:v>
                </c:pt>
                <c:pt idx="13">
                  <c:v>0.0882760535339599</c:v>
                </c:pt>
                <c:pt idx="14">
                  <c:v>0.0865129050311654</c:v>
                </c:pt>
                <c:pt idx="15">
                  <c:v>0.0142648180108284</c:v>
                </c:pt>
                <c:pt idx="16">
                  <c:v>0.0366074203893036</c:v>
                </c:pt>
                <c:pt idx="17">
                  <c:v>0.0148157467041464</c:v>
                </c:pt>
                <c:pt idx="18">
                  <c:v>0.0728162350034147</c:v>
                </c:pt>
                <c:pt idx="19">
                  <c:v>0.00456292288205096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616264"/>
        <c:axId val="2120369800"/>
      </c:scatterChart>
      <c:valAx>
        <c:axId val="2120616264"/>
        <c:scaling>
          <c:orientation val="minMax"/>
          <c:max val="6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</a:t>
                </a:r>
                <a:r>
                  <a:rPr lang="de-DE" baseline="-25000"/>
                  <a:t>free</a:t>
                </a:r>
              </a:p>
            </c:rich>
          </c:tx>
          <c:layout>
            <c:manualLayout>
              <c:xMode val="edge"/>
              <c:yMode val="edge"/>
              <c:x val="0.897047462817148"/>
              <c:y val="0.8971988918051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369800"/>
        <c:crosses val="autoZero"/>
        <c:crossBetween val="midCat"/>
      </c:valAx>
      <c:valAx>
        <c:axId val="2120369800"/>
        <c:scaling>
          <c:orientation val="minMax"/>
          <c:max val="0.35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E</a:t>
                </a:r>
                <a:r>
                  <a:rPr lang="de-DE" baseline="-25000"/>
                  <a:t>A</a:t>
                </a:r>
              </a:p>
            </c:rich>
          </c:tx>
          <c:layout>
            <c:manualLayout>
              <c:xMode val="edge"/>
              <c:yMode val="edge"/>
              <c:x val="0.0222222222222222"/>
              <c:y val="0.167002041411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616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5" l="0.7" r="0.7" t="0.7874015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E-FRET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spPr>
            <a:ln w="2540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noFill/>
              </a:ln>
            </c:spPr>
          </c:marker>
          <c:xVal>
            <c:numRef>
              <c:f>'BC Analysis'!$Q$17:$Q$92</c:f>
              <c:numCache>
                <c:formatCode>General</c:formatCode>
                <c:ptCount val="76"/>
                <c:pt idx="0">
                  <c:v>0.116176223611568</c:v>
                </c:pt>
                <c:pt idx="1">
                  <c:v>0.10884130730179</c:v>
                </c:pt>
                <c:pt idx="2">
                  <c:v>0.0528687691108341</c:v>
                </c:pt>
                <c:pt idx="3">
                  <c:v>0.0541893399331094</c:v>
                </c:pt>
                <c:pt idx="4">
                  <c:v>0.0547329717149756</c:v>
                </c:pt>
                <c:pt idx="5">
                  <c:v>0.196435973916473</c:v>
                </c:pt>
                <c:pt idx="6">
                  <c:v>0.161333830526072</c:v>
                </c:pt>
                <c:pt idx="7">
                  <c:v>0.0380375381997315</c:v>
                </c:pt>
                <c:pt idx="8">
                  <c:v>0.0376582464571348</c:v>
                </c:pt>
                <c:pt idx="9">
                  <c:v>0.0357505943438456</c:v>
                </c:pt>
                <c:pt idx="10">
                  <c:v>0.0526313601686765</c:v>
                </c:pt>
                <c:pt idx="11">
                  <c:v>0.0256561084891431</c:v>
                </c:pt>
                <c:pt idx="12">
                  <c:v>0.0375221759904163</c:v>
                </c:pt>
                <c:pt idx="13">
                  <c:v>0.0365981820624238</c:v>
                </c:pt>
                <c:pt idx="14">
                  <c:v>0.0357293020931584</c:v>
                </c:pt>
                <c:pt idx="15">
                  <c:v>0.0145938698198916</c:v>
                </c:pt>
                <c:pt idx="16">
                  <c:v>0.0230560383018471</c:v>
                </c:pt>
                <c:pt idx="17">
                  <c:v>0.0153055017954879</c:v>
                </c:pt>
                <c:pt idx="18">
                  <c:v>0.0179060708700288</c:v>
                </c:pt>
                <c:pt idx="19">
                  <c:v>0.0919854825943217</c:v>
                </c:pt>
                <c:pt idx="20">
                  <c:v>0.0919055839822505</c:v>
                </c:pt>
                <c:pt idx="21">
                  <c:v>0.0800095686605243</c:v>
                </c:pt>
                <c:pt idx="22">
                  <c:v>0.202799203980873</c:v>
                </c:pt>
                <c:pt idx="23">
                  <c:v>0.193569651267626</c:v>
                </c:pt>
                <c:pt idx="24">
                  <c:v>0.273207503306933</c:v>
                </c:pt>
                <c:pt idx="25">
                  <c:v>0.646505633922609</c:v>
                </c:pt>
                <c:pt idx="26">
                  <c:v>0.25905376052307</c:v>
                </c:pt>
                <c:pt idx="27">
                  <c:v>0.0484509537616234</c:v>
                </c:pt>
                <c:pt idx="28">
                  <c:v>0.608250049906682</c:v>
                </c:pt>
              </c:numCache>
            </c:numRef>
          </c:xVal>
          <c:yVal>
            <c:numRef>
              <c:f>'BC Analysis'!$L$17:$L$92</c:f>
              <c:numCache>
                <c:formatCode>General</c:formatCode>
                <c:ptCount val="76"/>
                <c:pt idx="0">
                  <c:v>0.0553966621264724</c:v>
                </c:pt>
                <c:pt idx="1">
                  <c:v>0.0624076101991109</c:v>
                </c:pt>
                <c:pt idx="2">
                  <c:v>0.0241395239677984</c:v>
                </c:pt>
                <c:pt idx="3">
                  <c:v>0.0309196247046955</c:v>
                </c:pt>
                <c:pt idx="4">
                  <c:v>0.0279078840471065</c:v>
                </c:pt>
                <c:pt idx="5">
                  <c:v>0.120939939818346</c:v>
                </c:pt>
                <c:pt idx="6">
                  <c:v>0.0745643258739481</c:v>
                </c:pt>
                <c:pt idx="7">
                  <c:v>0.0425285927525066</c:v>
                </c:pt>
                <c:pt idx="8">
                  <c:v>0.0173932219366553</c:v>
                </c:pt>
                <c:pt idx="9">
                  <c:v>0.0171753503540205</c:v>
                </c:pt>
                <c:pt idx="10">
                  <c:v>0.0365106840197525</c:v>
                </c:pt>
                <c:pt idx="11">
                  <c:v>0.0183920017879706</c:v>
                </c:pt>
                <c:pt idx="12">
                  <c:v>0.0347040385409694</c:v>
                </c:pt>
                <c:pt idx="13">
                  <c:v>0.0158137559361135</c:v>
                </c:pt>
                <c:pt idx="14">
                  <c:v>0.0320889374367613</c:v>
                </c:pt>
                <c:pt idx="15">
                  <c:v>0.0134844427616102</c:v>
                </c:pt>
                <c:pt idx="16">
                  <c:v>0.019515220112547</c:v>
                </c:pt>
                <c:pt idx="17">
                  <c:v>0.017053015801457</c:v>
                </c:pt>
                <c:pt idx="18">
                  <c:v>0.0178505431422365</c:v>
                </c:pt>
                <c:pt idx="19">
                  <c:v>0.0523039830169552</c:v>
                </c:pt>
                <c:pt idx="20">
                  <c:v>0.0588317464947277</c:v>
                </c:pt>
                <c:pt idx="21">
                  <c:v>0.0359884445977571</c:v>
                </c:pt>
                <c:pt idx="22">
                  <c:v>0.151900936598065</c:v>
                </c:pt>
                <c:pt idx="23">
                  <c:v>0.157095116015407</c:v>
                </c:pt>
                <c:pt idx="24">
                  <c:v>0.153392725869292</c:v>
                </c:pt>
                <c:pt idx="25">
                  <c:v>0.185603183174937</c:v>
                </c:pt>
                <c:pt idx="26">
                  <c:v>0.114227964891719</c:v>
                </c:pt>
                <c:pt idx="27">
                  <c:v>0.0349088619065389</c:v>
                </c:pt>
                <c:pt idx="28">
                  <c:v>0.139858534211259</c:v>
                </c:pt>
              </c:numCache>
            </c:numRef>
          </c:yVal>
          <c:smooth val="0"/>
        </c:ser>
        <c:ser>
          <c:idx val="4"/>
          <c:order val="1"/>
          <c:tx>
            <c:strRef>
              <c:f>'BC Analysis'!$X$15</c:f>
              <c:strCache>
                <c:ptCount val="1"/>
                <c:pt idx="0">
                  <c:v>Fits to plot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Pt>
            <c:idx val="62"/>
            <c:bubble3D val="0"/>
          </c:dPt>
          <c:xVal>
            <c:numRef>
              <c:f>'BC Analysis'!$Z$17:$Z$105</c:f>
              <c:numCache>
                <c:formatCode>General</c:formatCode>
                <c:ptCount val="89"/>
                <c:pt idx="0">
                  <c:v>0.0</c:v>
                </c:pt>
                <c:pt idx="1">
                  <c:v>0.001</c:v>
                </c:pt>
                <c:pt idx="2">
                  <c:v>0.002</c:v>
                </c:pt>
                <c:pt idx="3">
                  <c:v>0.003</c:v>
                </c:pt>
                <c:pt idx="4">
                  <c:v>0.004</c:v>
                </c:pt>
                <c:pt idx="5">
                  <c:v>0.005</c:v>
                </c:pt>
                <c:pt idx="6">
                  <c:v>0.006</c:v>
                </c:pt>
                <c:pt idx="7">
                  <c:v>0.007</c:v>
                </c:pt>
                <c:pt idx="8">
                  <c:v>0.008</c:v>
                </c:pt>
                <c:pt idx="9">
                  <c:v>0.009</c:v>
                </c:pt>
                <c:pt idx="10">
                  <c:v>0.01</c:v>
                </c:pt>
                <c:pt idx="11">
                  <c:v>0.02</c:v>
                </c:pt>
                <c:pt idx="12">
                  <c:v>0.03</c:v>
                </c:pt>
                <c:pt idx="13">
                  <c:v>0.04</c:v>
                </c:pt>
                <c:pt idx="14">
                  <c:v>0.05</c:v>
                </c:pt>
                <c:pt idx="15">
                  <c:v>0.06</c:v>
                </c:pt>
                <c:pt idx="16">
                  <c:v>0.07</c:v>
                </c:pt>
                <c:pt idx="17">
                  <c:v>0.08</c:v>
                </c:pt>
                <c:pt idx="18">
                  <c:v>0.09</c:v>
                </c:pt>
                <c:pt idx="19">
                  <c:v>0.1</c:v>
                </c:pt>
                <c:pt idx="20">
                  <c:v>0.12</c:v>
                </c:pt>
                <c:pt idx="21">
                  <c:v>0.14</c:v>
                </c:pt>
                <c:pt idx="22">
                  <c:v>0.16</c:v>
                </c:pt>
                <c:pt idx="23">
                  <c:v>0.18</c:v>
                </c:pt>
                <c:pt idx="24">
                  <c:v>0.2</c:v>
                </c:pt>
                <c:pt idx="25">
                  <c:v>0.22</c:v>
                </c:pt>
                <c:pt idx="26">
                  <c:v>0.24</c:v>
                </c:pt>
                <c:pt idx="27">
                  <c:v>0.26</c:v>
                </c:pt>
                <c:pt idx="28">
                  <c:v>0.28</c:v>
                </c:pt>
                <c:pt idx="29">
                  <c:v>0.3</c:v>
                </c:pt>
                <c:pt idx="30">
                  <c:v>0.32</c:v>
                </c:pt>
                <c:pt idx="31">
                  <c:v>0.34</c:v>
                </c:pt>
                <c:pt idx="32">
                  <c:v>0.36</c:v>
                </c:pt>
                <c:pt idx="33">
                  <c:v>0.38</c:v>
                </c:pt>
                <c:pt idx="34">
                  <c:v>0.4</c:v>
                </c:pt>
                <c:pt idx="35">
                  <c:v>0.42</c:v>
                </c:pt>
                <c:pt idx="36">
                  <c:v>0.44</c:v>
                </c:pt>
                <c:pt idx="37">
                  <c:v>0.46</c:v>
                </c:pt>
                <c:pt idx="38">
                  <c:v>0.48</c:v>
                </c:pt>
                <c:pt idx="39">
                  <c:v>0.5</c:v>
                </c:pt>
                <c:pt idx="40">
                  <c:v>0.55</c:v>
                </c:pt>
                <c:pt idx="41">
                  <c:v>0.6</c:v>
                </c:pt>
                <c:pt idx="42">
                  <c:v>0.65</c:v>
                </c:pt>
                <c:pt idx="43">
                  <c:v>0.7</c:v>
                </c:pt>
                <c:pt idx="44">
                  <c:v>0.75</c:v>
                </c:pt>
                <c:pt idx="45">
                  <c:v>0.8</c:v>
                </c:pt>
                <c:pt idx="46">
                  <c:v>0.85</c:v>
                </c:pt>
                <c:pt idx="47">
                  <c:v>0.9</c:v>
                </c:pt>
                <c:pt idx="48">
                  <c:v>0.95</c:v>
                </c:pt>
                <c:pt idx="49">
                  <c:v>1.0</c:v>
                </c:pt>
                <c:pt idx="50">
                  <c:v>1.1</c:v>
                </c:pt>
                <c:pt idx="51">
                  <c:v>1.2</c:v>
                </c:pt>
                <c:pt idx="52">
                  <c:v>1.3</c:v>
                </c:pt>
                <c:pt idx="53">
                  <c:v>1.4</c:v>
                </c:pt>
                <c:pt idx="54">
                  <c:v>1.5</c:v>
                </c:pt>
                <c:pt idx="55">
                  <c:v>1.6</c:v>
                </c:pt>
                <c:pt idx="56">
                  <c:v>1.7</c:v>
                </c:pt>
                <c:pt idx="57">
                  <c:v>1.8</c:v>
                </c:pt>
                <c:pt idx="58">
                  <c:v>1.9</c:v>
                </c:pt>
                <c:pt idx="59">
                  <c:v>2.0</c:v>
                </c:pt>
                <c:pt idx="60">
                  <c:v>2.25</c:v>
                </c:pt>
                <c:pt idx="61">
                  <c:v>2.5</c:v>
                </c:pt>
                <c:pt idx="62">
                  <c:v>2.75</c:v>
                </c:pt>
                <c:pt idx="63">
                  <c:v>3.0</c:v>
                </c:pt>
                <c:pt idx="64">
                  <c:v>3.25</c:v>
                </c:pt>
                <c:pt idx="65">
                  <c:v>3.5</c:v>
                </c:pt>
                <c:pt idx="66">
                  <c:v>3.75</c:v>
                </c:pt>
                <c:pt idx="67">
                  <c:v>4.0</c:v>
                </c:pt>
                <c:pt idx="68">
                  <c:v>4.25</c:v>
                </c:pt>
                <c:pt idx="69">
                  <c:v>4.5</c:v>
                </c:pt>
                <c:pt idx="70">
                  <c:v>4.75</c:v>
                </c:pt>
                <c:pt idx="71">
                  <c:v>5.0</c:v>
                </c:pt>
                <c:pt idx="72">
                  <c:v>5.5</c:v>
                </c:pt>
                <c:pt idx="73">
                  <c:v>6.0</c:v>
                </c:pt>
                <c:pt idx="74">
                  <c:v>6.5</c:v>
                </c:pt>
                <c:pt idx="75">
                  <c:v>7.0</c:v>
                </c:pt>
                <c:pt idx="76">
                  <c:v>7.5</c:v>
                </c:pt>
                <c:pt idx="77">
                  <c:v>8.0</c:v>
                </c:pt>
                <c:pt idx="78">
                  <c:v>8.5</c:v>
                </c:pt>
                <c:pt idx="79">
                  <c:v>9.0</c:v>
                </c:pt>
                <c:pt idx="80">
                  <c:v>9.5</c:v>
                </c:pt>
                <c:pt idx="81">
                  <c:v>10.0</c:v>
                </c:pt>
                <c:pt idx="82">
                  <c:v>15.0</c:v>
                </c:pt>
                <c:pt idx="83">
                  <c:v>20.0</c:v>
                </c:pt>
                <c:pt idx="84">
                  <c:v>25.0</c:v>
                </c:pt>
                <c:pt idx="85">
                  <c:v>30.0</c:v>
                </c:pt>
                <c:pt idx="86">
                  <c:v>35.0</c:v>
                </c:pt>
                <c:pt idx="87">
                  <c:v>40.0</c:v>
                </c:pt>
                <c:pt idx="88">
                  <c:v>45.0</c:v>
                </c:pt>
              </c:numCache>
            </c:numRef>
          </c:xVal>
          <c:yVal>
            <c:numRef>
              <c:f>'BC Analysis'!$AA$17:$AA$105</c:f>
              <c:numCache>
                <c:formatCode>General</c:formatCode>
                <c:ptCount val="89"/>
                <c:pt idx="0">
                  <c:v>0.0</c:v>
                </c:pt>
                <c:pt idx="1">
                  <c:v>0.00108319194599677</c:v>
                </c:pt>
                <c:pt idx="2">
                  <c:v>0.00215588496279256</c:v>
                </c:pt>
                <c:pt idx="3">
                  <c:v>0.00321823095683816</c:v>
                </c:pt>
                <c:pt idx="4">
                  <c:v>0.00427037891812027</c:v>
                </c:pt>
                <c:pt idx="5">
                  <c:v>0.00531247498981892</c:v>
                </c:pt>
                <c:pt idx="6">
                  <c:v>0.00634466253597806</c:v>
                </c:pt>
                <c:pt idx="7">
                  <c:v>0.00736708220725476</c:v>
                </c:pt>
                <c:pt idx="8">
                  <c:v>0.0083798720048108</c:v>
                </c:pt>
                <c:pt idx="9">
                  <c:v>0.00938316734240729</c:v>
                </c:pt>
                <c:pt idx="10">
                  <c:v>0.0103771011067611</c:v>
                </c:pt>
                <c:pt idx="11">
                  <c:v>0.0198290932175177</c:v>
                </c:pt>
                <c:pt idx="12">
                  <c:v>0.0284744062924587</c:v>
                </c:pt>
                <c:pt idx="13">
                  <c:v>0.0364120828232034</c:v>
                </c:pt>
                <c:pt idx="14">
                  <c:v>0.0437255891121154</c:v>
                </c:pt>
                <c:pt idx="15">
                  <c:v>0.0504857614767587</c:v>
                </c:pt>
                <c:pt idx="16">
                  <c:v>0.0567531081074513</c:v>
                </c:pt>
                <c:pt idx="17">
                  <c:v>0.0625796252040569</c:v>
                </c:pt>
                <c:pt idx="18">
                  <c:v>0.068010242904926</c:v>
                </c:pt>
                <c:pt idx="19">
                  <c:v>0.0730839861570518</c:v>
                </c:pt>
                <c:pt idx="20">
                  <c:v>0.0822928851283827</c:v>
                </c:pt>
                <c:pt idx="21">
                  <c:v>0.0904320495090706</c:v>
                </c:pt>
                <c:pt idx="22">
                  <c:v>0.0976776430221208</c:v>
                </c:pt>
                <c:pt idx="23">
                  <c:v>0.104169161398246</c:v>
                </c:pt>
                <c:pt idx="24">
                  <c:v>0.110018500905161</c:v>
                </c:pt>
                <c:pt idx="25">
                  <c:v>0.115316462388487</c:v>
                </c:pt>
                <c:pt idx="26">
                  <c:v>0.120137498821944</c:v>
                </c:pt>
                <c:pt idx="27">
                  <c:v>0.124543235950648</c:v>
                </c:pt>
                <c:pt idx="28">
                  <c:v>0.128585120666368</c:v>
                </c:pt>
                <c:pt idx="29">
                  <c:v>0.132306439246483</c:v>
                </c:pt>
                <c:pt idx="30">
                  <c:v>0.135743873703441</c:v>
                </c:pt>
                <c:pt idx="31">
                  <c:v>0.138928715038364</c:v>
                </c:pt>
                <c:pt idx="32">
                  <c:v>0.141887818512624</c:v>
                </c:pt>
                <c:pt idx="33">
                  <c:v>0.144644362746069</c:v>
                </c:pt>
                <c:pt idx="34">
                  <c:v>0.147218458086702</c:v>
                </c:pt>
                <c:pt idx="35">
                  <c:v>0.149627638050531</c:v>
                </c:pt>
                <c:pt idx="36">
                  <c:v>0.15188725923756</c:v>
                </c:pt>
                <c:pt idx="37">
                  <c:v>0.154010829011164</c:v>
                </c:pt>
                <c:pt idx="38">
                  <c:v>0.156010275718687</c:v>
                </c:pt>
                <c:pt idx="39">
                  <c:v>0.157896172874166</c:v>
                </c:pt>
                <c:pt idx="40">
                  <c:v>0.162173406747913</c:v>
                </c:pt>
                <c:pt idx="41">
                  <c:v>0.16591887343029</c:v>
                </c:pt>
                <c:pt idx="42">
                  <c:v>0.169225937119247</c:v>
                </c:pt>
                <c:pt idx="43">
                  <c:v>0.172167314058347</c:v>
                </c:pt>
                <c:pt idx="44">
                  <c:v>0.174800481479752</c:v>
                </c:pt>
                <c:pt idx="45">
                  <c:v>0.177171470881657</c:v>
                </c:pt>
                <c:pt idx="46">
                  <c:v>0.179317581976819</c:v>
                </c:pt>
                <c:pt idx="47">
                  <c:v>0.18126935938433</c:v>
                </c:pt>
                <c:pt idx="48">
                  <c:v>0.183052055602888</c:v>
                </c:pt>
                <c:pt idx="49">
                  <c:v>0.184686729559756</c:v>
                </c:pt>
                <c:pt idx="50">
                  <c:v>0.187580101164106</c:v>
                </c:pt>
                <c:pt idx="51">
                  <c:v>0.190061412331917</c:v>
                </c:pt>
                <c:pt idx="52">
                  <c:v>0.192212837211498</c:v>
                </c:pt>
                <c:pt idx="53">
                  <c:v>0.194096062030061</c:v>
                </c:pt>
                <c:pt idx="54">
                  <c:v>0.19575829559667</c:v>
                </c:pt>
                <c:pt idx="55">
                  <c:v>0.197236281126937</c:v>
                </c:pt>
                <c:pt idx="56">
                  <c:v>0.198559044065152</c:v>
                </c:pt>
                <c:pt idx="57">
                  <c:v>0.199749817346105</c:v>
                </c:pt>
                <c:pt idx="58">
                  <c:v>0.200827417717439</c:v>
                </c:pt>
                <c:pt idx="59">
                  <c:v>0.201807247440954</c:v>
                </c:pt>
                <c:pt idx="60">
                  <c:v>0.203907501831206</c:v>
                </c:pt>
                <c:pt idx="61">
                  <c:v>0.20561944487506</c:v>
                </c:pt>
                <c:pt idx="62">
                  <c:v>0.207041654658542</c:v>
                </c:pt>
                <c:pt idx="63">
                  <c:v>0.208241945371232</c:v>
                </c:pt>
                <c:pt idx="64">
                  <c:v>0.209268499630706</c:v>
                </c:pt>
                <c:pt idx="65">
                  <c:v>0.210156492994062</c:v>
                </c:pt>
                <c:pt idx="66">
                  <c:v>0.21093220559525</c:v>
                </c:pt>
                <c:pt idx="67">
                  <c:v>0.211615666857474</c:v>
                </c:pt>
                <c:pt idx="68">
                  <c:v>0.212222409598768</c:v>
                </c:pt>
                <c:pt idx="69">
                  <c:v>0.212764664833494</c:v>
                </c:pt>
                <c:pt idx="70">
                  <c:v>0.213252194830195</c:v>
                </c:pt>
                <c:pt idx="71">
                  <c:v>0.213692886064841</c:v>
                </c:pt>
                <c:pt idx="72">
                  <c:v>0.214458385457841</c:v>
                </c:pt>
                <c:pt idx="73">
                  <c:v>0.215100503639695</c:v>
                </c:pt>
                <c:pt idx="74">
                  <c:v>0.215646845374648</c:v>
                </c:pt>
                <c:pt idx="75">
                  <c:v>0.216117352059715</c:v>
                </c:pt>
                <c:pt idx="76">
                  <c:v>0.216526788428258</c:v>
                </c:pt>
                <c:pt idx="77">
                  <c:v>0.216886319965586</c:v>
                </c:pt>
                <c:pt idx="78">
                  <c:v>0.217204546659553</c:v>
                </c:pt>
                <c:pt idx="79">
                  <c:v>0.217488199817641</c:v>
                </c:pt>
                <c:pt idx="80">
                  <c:v>0.217742623470055</c:v>
                </c:pt>
                <c:pt idx="81">
                  <c:v>0.217972114243941</c:v>
                </c:pt>
                <c:pt idx="82">
                  <c:v>0.219436864948112</c:v>
                </c:pt>
                <c:pt idx="83">
                  <c:v>0.220176647420908</c:v>
                </c:pt>
                <c:pt idx="84">
                  <c:v>0.220622916008638</c:v>
                </c:pt>
                <c:pt idx="85">
                  <c:v>0.220921434789982</c:v>
                </c:pt>
                <c:pt idx="86">
                  <c:v>0.22113515756231</c:v>
                </c:pt>
                <c:pt idx="87">
                  <c:v>0.221295721209358</c:v>
                </c:pt>
                <c:pt idx="88">
                  <c:v>0.221420765338753</c:v>
                </c:pt>
              </c:numCache>
            </c:numRef>
          </c:yVal>
          <c:smooth val="0"/>
        </c:ser>
        <c:ser>
          <c:idx val="2"/>
          <c:order val="2"/>
          <c:spPr>
            <a:ln>
              <a:noFill/>
            </a:ln>
          </c:spPr>
          <c:trendline>
            <c:trendlineType val="linear"/>
            <c:intercept val="0.0"/>
            <c:dispRSqr val="0"/>
            <c:dispEq val="0"/>
          </c:trendline>
          <c:xVal>
            <c:numRef>
              <c:f>'Spurious FRET'!$L$10:$L$29</c:f>
              <c:numCache>
                <c:formatCode>0.00</c:formatCode>
                <c:ptCount val="20"/>
                <c:pt idx="0">
                  <c:v>3.071236469050448</c:v>
                </c:pt>
                <c:pt idx="1">
                  <c:v>5.504885733266788</c:v>
                </c:pt>
                <c:pt idx="2">
                  <c:v>5.041643467895716</c:v>
                </c:pt>
                <c:pt idx="3">
                  <c:v>3.762985769306971</c:v>
                </c:pt>
                <c:pt idx="4">
                  <c:v>2.137696710061004</c:v>
                </c:pt>
                <c:pt idx="5">
                  <c:v>10.13142476975641</c:v>
                </c:pt>
                <c:pt idx="6">
                  <c:v>3.46501689015369</c:v>
                </c:pt>
                <c:pt idx="7">
                  <c:v>3.466698411292438</c:v>
                </c:pt>
                <c:pt idx="8">
                  <c:v>5.472544591115699</c:v>
                </c:pt>
                <c:pt idx="9">
                  <c:v>1.533599420124294</c:v>
                </c:pt>
                <c:pt idx="10">
                  <c:v>0.733538799191033</c:v>
                </c:pt>
                <c:pt idx="11">
                  <c:v>1.77181400149182</c:v>
                </c:pt>
                <c:pt idx="12">
                  <c:v>3.94327235598537</c:v>
                </c:pt>
                <c:pt idx="13">
                  <c:v>7.399853507798908</c:v>
                </c:pt>
                <c:pt idx="14">
                  <c:v>6.845886333692915</c:v>
                </c:pt>
                <c:pt idx="15">
                  <c:v>1.212571056201069</c:v>
                </c:pt>
                <c:pt idx="16">
                  <c:v>2.977456045284883</c:v>
                </c:pt>
                <c:pt idx="17">
                  <c:v>0.964709070236611</c:v>
                </c:pt>
                <c:pt idx="18">
                  <c:v>5.007532552437093</c:v>
                </c:pt>
                <c:pt idx="19">
                  <c:v>0.264994929507203</c:v>
                </c:pt>
              </c:numCache>
            </c:numRef>
          </c:xVal>
          <c:yVal>
            <c:numRef>
              <c:f>'Spurious FRET'!$M$10:$M$29</c:f>
              <c:numCache>
                <c:formatCode>0.00000</c:formatCode>
                <c:ptCount val="20"/>
                <c:pt idx="0">
                  <c:v>0.0483867853432863</c:v>
                </c:pt>
                <c:pt idx="1">
                  <c:v>0.0552172405903425</c:v>
                </c:pt>
                <c:pt idx="2">
                  <c:v>0.0668960446917343</c:v>
                </c:pt>
                <c:pt idx="3">
                  <c:v>0.0503596548399903</c:v>
                </c:pt>
                <c:pt idx="4">
                  <c:v>0.0393573090732726</c:v>
                </c:pt>
                <c:pt idx="5">
                  <c:v>0.0980339187783466</c:v>
                </c:pt>
                <c:pt idx="6">
                  <c:v>0.0509925809590975</c:v>
                </c:pt>
                <c:pt idx="7">
                  <c:v>0.0491111528926665</c:v>
                </c:pt>
                <c:pt idx="8">
                  <c:v>0.0928726675936223</c:v>
                </c:pt>
                <c:pt idx="9">
                  <c:v>0.0289990047625632</c:v>
                </c:pt>
                <c:pt idx="10">
                  <c:v>0.0115779858732193</c:v>
                </c:pt>
                <c:pt idx="11">
                  <c:v>0.0262284420911987</c:v>
                </c:pt>
                <c:pt idx="12">
                  <c:v>0.0586369655911281</c:v>
                </c:pt>
                <c:pt idx="13">
                  <c:v>0.0882760535339599</c:v>
                </c:pt>
                <c:pt idx="14">
                  <c:v>0.0865129050311654</c:v>
                </c:pt>
                <c:pt idx="15">
                  <c:v>0.0142648180108284</c:v>
                </c:pt>
                <c:pt idx="16">
                  <c:v>0.0366074203893036</c:v>
                </c:pt>
                <c:pt idx="17">
                  <c:v>0.0148157467041464</c:v>
                </c:pt>
                <c:pt idx="18">
                  <c:v>0.0728162350034147</c:v>
                </c:pt>
                <c:pt idx="19">
                  <c:v>0.00456292288205096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619592"/>
        <c:axId val="2120549608"/>
      </c:scatterChart>
      <c:valAx>
        <c:axId val="2120619592"/>
        <c:scaling>
          <c:orientation val="minMax"/>
          <c:max val="6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</a:t>
                </a:r>
                <a:r>
                  <a:rPr lang="de-DE" baseline="-25000"/>
                  <a:t>free</a:t>
                </a:r>
              </a:p>
            </c:rich>
          </c:tx>
          <c:layout>
            <c:manualLayout>
              <c:xMode val="edge"/>
              <c:yMode val="edge"/>
              <c:x val="0.897047462817148"/>
              <c:y val="0.8971988918051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549608"/>
        <c:crosses val="autoZero"/>
        <c:crossBetween val="midCat"/>
      </c:valAx>
      <c:valAx>
        <c:axId val="2120549608"/>
        <c:scaling>
          <c:orientation val="minMax"/>
          <c:max val="0.35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E</a:t>
                </a:r>
                <a:r>
                  <a:rPr lang="de-DE" baseline="-25000"/>
                  <a:t>D</a:t>
                </a:r>
              </a:p>
            </c:rich>
          </c:tx>
          <c:layout>
            <c:manualLayout>
              <c:xMode val="edge"/>
              <c:yMode val="edge"/>
              <c:x val="0.0222222222222222"/>
              <c:y val="0.167002041411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619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5" l="0.7" r="0.7" t="0.7874015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50800</xdr:colOff>
      <xdr:row>7</xdr:row>
      <xdr:rowOff>12701</xdr:rowOff>
    </xdr:from>
    <xdr:to>
      <xdr:col>23</xdr:col>
      <xdr:colOff>177800</xdr:colOff>
      <xdr:row>22</xdr:row>
      <xdr:rowOff>65088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28575</xdr:colOff>
      <xdr:row>33</xdr:row>
      <xdr:rowOff>39687</xdr:rowOff>
    </xdr:from>
    <xdr:to>
      <xdr:col>23</xdr:col>
      <xdr:colOff>739774</xdr:colOff>
      <xdr:row>52</xdr:row>
      <xdr:rowOff>19050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9</xdr:row>
      <xdr:rowOff>4761</xdr:rowOff>
    </xdr:from>
    <xdr:to>
      <xdr:col>18</xdr:col>
      <xdr:colOff>457200</xdr:colOff>
      <xdr:row>23</xdr:row>
      <xdr:rowOff>85724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1577</xdr:colOff>
      <xdr:row>0</xdr:row>
      <xdr:rowOff>119635</xdr:rowOff>
    </xdr:from>
    <xdr:to>
      <xdr:col>17</xdr:col>
      <xdr:colOff>677407</xdr:colOff>
      <xdr:row>13</xdr:row>
      <xdr:rowOff>33910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2974</xdr:colOff>
      <xdr:row>0</xdr:row>
      <xdr:rowOff>122037</xdr:rowOff>
    </xdr:from>
    <xdr:to>
      <xdr:col>23</xdr:col>
      <xdr:colOff>479223</xdr:colOff>
      <xdr:row>13</xdr:row>
      <xdr:rowOff>36312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Y%20Dimere%20CFP_YFP%20FRET%20Rohdat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01/Documents/FRET%20Auswertung%20Rohdaten/PhotometrySetUpNEW%20BC%20CFP_YFP%20FRET%20Rohdate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0401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01/Documents/FRET%20Auswertung%20Rohdaten/PMT%20Setup/20150504_Auswertu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325%20Analog%20Data%20(Automatisch%20gespeichert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intergrund HG"/>
      <sheetName val="Ra (YFP Cit)"/>
      <sheetName val="Rd (CFP Cer)"/>
      <sheetName val="Konstrukte"/>
      <sheetName val="Auswertung"/>
      <sheetName val="BC"/>
    </sheetNames>
    <sheetDataSet>
      <sheetData sheetId="0"/>
      <sheetData sheetId="1"/>
      <sheetData sheetId="2"/>
      <sheetData sheetId="3">
        <row r="2">
          <cell r="I2" t="str">
            <v>RA1</v>
          </cell>
          <cell r="J2">
            <v>5.2136620920726628E-2</v>
          </cell>
        </row>
        <row r="3">
          <cell r="J3">
            <v>0.36683405705673644</v>
          </cell>
        </row>
        <row r="4">
          <cell r="J4">
            <v>3.3359932492380272E-4</v>
          </cell>
        </row>
      </sheetData>
      <sheetData sheetId="4">
        <row r="12">
          <cell r="B12" t="str">
            <v>YG4C</v>
          </cell>
        </row>
      </sheetData>
      <sheetData sheetId="5">
        <row r="4">
          <cell r="H4">
            <v>3.4500000000000003E-2</v>
          </cell>
          <cell r="J4">
            <v>500</v>
          </cell>
        </row>
        <row r="5">
          <cell r="H5">
            <v>3.1521242400000004E-3</v>
          </cell>
          <cell r="J5">
            <v>1</v>
          </cell>
        </row>
        <row r="6">
          <cell r="H6">
            <v>6.4126280563420949E-4</v>
          </cell>
          <cell r="J6">
            <v>0.15</v>
          </cell>
        </row>
        <row r="7">
          <cell r="J7">
            <v>0.15</v>
          </cell>
        </row>
        <row r="8">
          <cell r="E8">
            <v>1.5075226595001202E-4</v>
          </cell>
        </row>
        <row r="9">
          <cell r="E9">
            <v>2.2679094872278001E-4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intergrund HG"/>
      <sheetName val="Ra (YFP Cit)"/>
      <sheetName val="Rd (CFP Cer)"/>
      <sheetName val="Spurious FRET"/>
      <sheetName val="Konstrukte"/>
      <sheetName val="Auswertung"/>
    </sheetNames>
    <sheetDataSet>
      <sheetData sheetId="0"/>
      <sheetData sheetId="1"/>
      <sheetData sheetId="2"/>
      <sheetData sheetId="3"/>
      <sheetData sheetId="4">
        <row r="3">
          <cell r="J3">
            <v>0.39338135348695102</v>
          </cell>
        </row>
        <row r="4">
          <cell r="J4">
            <v>-7.6123346478706338E-5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G"/>
      <sheetName val="RD (CFP)"/>
      <sheetName val="RA (yfp)"/>
      <sheetName val="plotFR"/>
      <sheetName val="Constructs"/>
      <sheetName val="Cell2"/>
      <sheetName val="CAMTAkey"/>
      <sheetName val="xxx"/>
    </sheetNames>
    <sheetDataSet>
      <sheetData sheetId="0" refreshError="1">
        <row r="3">
          <cell r="G3" t="str">
            <v>backgnd</v>
          </cell>
          <cell r="H3" t="str">
            <v>CFP</v>
          </cell>
          <cell r="I3" t="str">
            <v>YFP</v>
          </cell>
          <cell r="J3" t="str">
            <v>FRET</v>
          </cell>
        </row>
        <row r="4">
          <cell r="G4" t="str">
            <v>HV</v>
          </cell>
          <cell r="H4" t="str">
            <v>S(DA,440,480)</v>
          </cell>
          <cell r="I4" t="str">
            <v>S(DA,500,530LP)</v>
          </cell>
          <cell r="J4" t="str">
            <v>S(DA,440,535)</v>
          </cell>
        </row>
        <row r="5">
          <cell r="G5">
            <v>2.5</v>
          </cell>
          <cell r="H5">
            <v>5.8877899999999999</v>
          </cell>
          <cell r="I5">
            <v>8.3838899999999992</v>
          </cell>
          <cell r="J5">
            <v>6.0643999999999991</v>
          </cell>
        </row>
        <row r="6">
          <cell r="G6">
            <v>3</v>
          </cell>
          <cell r="H6">
            <v>9.1581366666666657</v>
          </cell>
          <cell r="I6">
            <v>13.089776666666667</v>
          </cell>
          <cell r="J6">
            <v>9.416246666666666</v>
          </cell>
        </row>
        <row r="7">
          <cell r="G7">
            <v>3.5</v>
          </cell>
          <cell r="H7">
            <v>14.600583333333333</v>
          </cell>
          <cell r="I7">
            <v>21.129556666666666</v>
          </cell>
          <cell r="J7">
            <v>15.133180000000001</v>
          </cell>
        </row>
        <row r="8">
          <cell r="G8">
            <v>4</v>
          </cell>
          <cell r="H8">
            <v>22.690259999999999</v>
          </cell>
          <cell r="I8">
            <v>32.998203333333336</v>
          </cell>
          <cell r="J8">
            <v>23.333166666666671</v>
          </cell>
        </row>
        <row r="9">
          <cell r="G9">
            <v>4.5</v>
          </cell>
          <cell r="H9">
            <v>34.004406666666661</v>
          </cell>
          <cell r="I9">
            <v>50.368896666599994</v>
          </cell>
          <cell r="J9">
            <v>36.160473333366667</v>
          </cell>
        </row>
        <row r="10">
          <cell r="G10">
            <v>5</v>
          </cell>
          <cell r="H10">
            <v>51.735916666633337</v>
          </cell>
          <cell r="I10">
            <v>75.798173333366663</v>
          </cell>
          <cell r="J10">
            <v>53.767310000033326</v>
          </cell>
        </row>
        <row r="11">
          <cell r="G11">
            <v>5.5</v>
          </cell>
          <cell r="H11">
            <v>76.130989999999997</v>
          </cell>
          <cell r="I11">
            <v>111.98106666659999</v>
          </cell>
          <cell r="J11">
            <v>78.560313333400003</v>
          </cell>
        </row>
        <row r="18">
          <cell r="I18">
            <v>1.9723637043350492E-2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FP cells"/>
      <sheetName val="YFP cells"/>
      <sheetName val="Background"/>
      <sheetName val="Dimere"/>
      <sheetName val="Dimere Auswertung"/>
      <sheetName val="CaM Myo"/>
      <sheetName val="136+266"/>
      <sheetName val="HV lookup"/>
    </sheetNames>
    <sheetDataSet>
      <sheetData sheetId="0"/>
      <sheetData sheetId="1"/>
      <sheetData sheetId="2">
        <row r="7">
          <cell r="J7">
            <v>0</v>
          </cell>
          <cell r="K7" t="str">
            <v>CFP</v>
          </cell>
          <cell r="L7" t="str">
            <v>FRET</v>
          </cell>
          <cell r="M7" t="str">
            <v>YFP</v>
          </cell>
        </row>
        <row r="8">
          <cell r="J8">
            <v>600</v>
          </cell>
          <cell r="K8">
            <v>5.7499999999999999E-3</v>
          </cell>
          <cell r="L8">
            <v>5.7499999999999999E-3</v>
          </cell>
          <cell r="M8">
            <v>5.474999999999999E-3</v>
          </cell>
        </row>
        <row r="9">
          <cell r="J9">
            <v>650</v>
          </cell>
          <cell r="K9">
            <v>6.1999999999999998E-3</v>
          </cell>
          <cell r="L9">
            <v>6.1749999999999999E-3</v>
          </cell>
          <cell r="M9">
            <v>5.7999999999999996E-3</v>
          </cell>
        </row>
        <row r="10">
          <cell r="J10">
            <v>700</v>
          </cell>
          <cell r="K10">
            <v>6.9499999999999996E-3</v>
          </cell>
          <cell r="L10">
            <v>6.9749999999999994E-3</v>
          </cell>
          <cell r="M10">
            <v>6.3499999999999997E-3</v>
          </cell>
        </row>
        <row r="11">
          <cell r="J11">
            <v>750</v>
          </cell>
          <cell r="K11">
            <v>8.0750000000000006E-3</v>
          </cell>
          <cell r="L11">
            <v>8.2000000000000007E-3</v>
          </cell>
          <cell r="M11">
            <v>7.1749999999999991E-3</v>
          </cell>
        </row>
        <row r="12">
          <cell r="J12">
            <v>800</v>
          </cell>
          <cell r="K12">
            <v>9.8500000000000011E-3</v>
          </cell>
          <cell r="L12">
            <v>9.8750000000000001E-3</v>
          </cell>
          <cell r="M12">
            <v>8.3250000000000008E-3</v>
          </cell>
        </row>
        <row r="13">
          <cell r="J13">
            <v>850</v>
          </cell>
          <cell r="K13">
            <v>1.24E-2</v>
          </cell>
          <cell r="L13">
            <v>1.2400000000000001E-2</v>
          </cell>
          <cell r="M13">
            <v>1.005E-2</v>
          </cell>
        </row>
        <row r="14">
          <cell r="J14">
            <v>900</v>
          </cell>
          <cell r="K14">
            <v>1.6150000000000001E-2</v>
          </cell>
          <cell r="L14">
            <v>1.6024999999999998E-2</v>
          </cell>
          <cell r="M14">
            <v>1.2375000000000001E-2</v>
          </cell>
        </row>
        <row r="15">
          <cell r="J15">
            <v>950</v>
          </cell>
          <cell r="K15">
            <v>2.1524999999999999E-2</v>
          </cell>
          <cell r="L15">
            <v>2.1399999999999995E-2</v>
          </cell>
          <cell r="M15">
            <v>1.5800000000000002E-2</v>
          </cell>
        </row>
        <row r="16">
          <cell r="J16">
            <v>1000</v>
          </cell>
          <cell r="K16">
            <v>2.895E-2</v>
          </cell>
          <cell r="L16">
            <v>2.87E-2</v>
          </cell>
          <cell r="M16">
            <v>2.0575E-2</v>
          </cell>
        </row>
        <row r="17">
          <cell r="J17">
            <v>1050</v>
          </cell>
          <cell r="K17">
            <v>3.9350000000000003E-2</v>
          </cell>
          <cell r="L17">
            <v>3.9649999999999998E-2</v>
          </cell>
          <cell r="M17">
            <v>2.7900000000000001E-2</v>
          </cell>
        </row>
        <row r="18">
          <cell r="J18">
            <v>1100</v>
          </cell>
          <cell r="K18">
            <v>5.4324999999999998E-2</v>
          </cell>
          <cell r="L18">
            <v>5.3574999999999998E-2</v>
          </cell>
          <cell r="M18">
            <v>3.7250000000000005E-2</v>
          </cell>
        </row>
        <row r="19">
          <cell r="J19">
            <v>1150</v>
          </cell>
          <cell r="K19">
            <v>7.3949999999999988E-2</v>
          </cell>
          <cell r="L19">
            <v>7.4175000000000005E-2</v>
          </cell>
          <cell r="M19">
            <v>5.0025E-2</v>
          </cell>
        </row>
      </sheetData>
      <sheetData sheetId="3"/>
      <sheetData sheetId="4">
        <row r="64">
          <cell r="W64">
            <v>4.2883485569707107E-2</v>
          </cell>
        </row>
      </sheetData>
      <sheetData sheetId="5"/>
      <sheetData sheetId="6"/>
      <sheetData sheetId="7">
        <row r="6">
          <cell r="C6" t="str">
            <v>HV_lookup</v>
          </cell>
          <cell r="D6">
            <v>0</v>
          </cell>
        </row>
        <row r="7">
          <cell r="C7" t="str">
            <v>Gain</v>
          </cell>
          <cell r="D7">
            <v>0</v>
          </cell>
        </row>
        <row r="8">
          <cell r="C8">
            <v>600</v>
          </cell>
          <cell r="D8">
            <v>0.11799999999999999</v>
          </cell>
        </row>
        <row r="9">
          <cell r="C9">
            <v>650</v>
          </cell>
          <cell r="D9">
            <v>0.214</v>
          </cell>
        </row>
        <row r="10">
          <cell r="C10">
            <v>700</v>
          </cell>
          <cell r="D10">
            <v>0.371</v>
          </cell>
        </row>
        <row r="11">
          <cell r="C11">
            <v>750</v>
          </cell>
          <cell r="D11">
            <v>0.61699999999999999</v>
          </cell>
        </row>
        <row r="12">
          <cell r="C12">
            <v>800</v>
          </cell>
          <cell r="D12">
            <v>1</v>
          </cell>
        </row>
        <row r="13">
          <cell r="C13">
            <v>850</v>
          </cell>
          <cell r="D13">
            <v>1.579</v>
          </cell>
        </row>
        <row r="14">
          <cell r="C14">
            <v>900</v>
          </cell>
          <cell r="D14">
            <v>2.42</v>
          </cell>
        </row>
        <row r="15">
          <cell r="C15">
            <v>950</v>
          </cell>
          <cell r="D15">
            <v>3.6469999999999998</v>
          </cell>
        </row>
        <row r="16">
          <cell r="C16">
            <v>1000</v>
          </cell>
          <cell r="D16">
            <v>5.4269999999999996</v>
          </cell>
        </row>
        <row r="17">
          <cell r="C17">
            <v>1050</v>
          </cell>
          <cell r="D17">
            <v>7.9610000000000003</v>
          </cell>
        </row>
        <row r="18">
          <cell r="C18">
            <v>1100</v>
          </cell>
          <cell r="D18">
            <v>11.03</v>
          </cell>
        </row>
        <row r="19">
          <cell r="C19">
            <v>1150</v>
          </cell>
          <cell r="D19">
            <v>16.231000000000002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yoIQ analysis"/>
      <sheetName val="Template"/>
      <sheetName val="MyosinIQ"/>
      <sheetName val="Fluorescent Dye Alexa"/>
      <sheetName val="Data"/>
      <sheetName val="Fluorescent Dye Proflavin"/>
      <sheetName val="Background"/>
      <sheetName val="CFP"/>
      <sheetName val="YFP"/>
      <sheetName val="Dimers"/>
    </sheetNames>
    <sheetDataSet>
      <sheetData sheetId="0" refreshError="1"/>
      <sheetData sheetId="1">
        <row r="18">
          <cell r="G18" t="e">
            <v>#N/A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3">
          <cell r="G3">
            <v>550</v>
          </cell>
        </row>
      </sheetData>
      <sheetData sheetId="7">
        <row r="26">
          <cell r="I26">
            <v>0.29190620617015339</v>
          </cell>
          <cell r="J26">
            <v>9.4280509153805221E-4</v>
          </cell>
        </row>
      </sheetData>
      <sheetData sheetId="8">
        <row r="22">
          <cell r="I22">
            <v>3.4648141237064077E-2</v>
          </cell>
        </row>
      </sheetData>
      <sheetData sheetId="9">
        <row r="2">
          <cell r="O2">
            <v>8.2819383259911898</v>
          </cell>
        </row>
        <row r="3">
          <cell r="O3">
            <v>18.8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P110"/>
  <sheetViews>
    <sheetView workbookViewId="0">
      <selection activeCell="L32" sqref="L32"/>
    </sheetView>
  </sheetViews>
  <sheetFormatPr baseColWidth="10" defaultColWidth="11.5" defaultRowHeight="14" x14ac:dyDescent="0"/>
  <cols>
    <col min="3" max="3" width="11.5" style="109"/>
    <col min="14" max="14" width="12" bestFit="1" customWidth="1"/>
  </cols>
  <sheetData>
    <row r="5" spans="3:16">
      <c r="C5" s="1" t="s">
        <v>11</v>
      </c>
    </row>
    <row r="6" spans="3:16">
      <c r="J6" s="12"/>
      <c r="K6" s="187" t="s">
        <v>17</v>
      </c>
      <c r="L6" s="188"/>
      <c r="M6" s="189"/>
      <c r="N6" s="19"/>
      <c r="O6" s="83" t="s">
        <v>19</v>
      </c>
      <c r="P6" s="20"/>
    </row>
    <row r="7" spans="3:16">
      <c r="D7" s="8" t="s">
        <v>15</v>
      </c>
      <c r="E7" s="8" t="s">
        <v>0</v>
      </c>
      <c r="F7" s="8" t="s">
        <v>1</v>
      </c>
      <c r="G7" s="8" t="s">
        <v>2</v>
      </c>
      <c r="J7" s="13"/>
      <c r="K7" s="21" t="s">
        <v>0</v>
      </c>
      <c r="L7" s="14" t="s">
        <v>1</v>
      </c>
      <c r="M7" s="15" t="s">
        <v>2</v>
      </c>
      <c r="N7" s="21" t="s">
        <v>0</v>
      </c>
      <c r="O7" s="14" t="s">
        <v>1</v>
      </c>
      <c r="P7" s="15" t="s">
        <v>2</v>
      </c>
    </row>
    <row r="8" spans="3:16">
      <c r="C8" s="109" t="s">
        <v>7</v>
      </c>
      <c r="D8" s="61">
        <v>600</v>
      </c>
      <c r="E8" s="61">
        <v>5.7000000000000002E-3</v>
      </c>
      <c r="F8" s="61">
        <v>5.7000000000000002E-3</v>
      </c>
      <c r="G8" s="61">
        <v>5.4000000000000003E-3</v>
      </c>
      <c r="H8" s="61"/>
      <c r="J8" s="13">
        <v>600</v>
      </c>
      <c r="K8" s="22">
        <f>AVERAGE(E8,E21,E34,E47,E60,E73,E86,E99)</f>
        <v>5.7499999999999999E-3</v>
      </c>
      <c r="L8" s="23">
        <f t="shared" ref="L8:M8" si="0">AVERAGE(F8,F21,F34,F47,F60,F73,F86,F99)</f>
        <v>5.7499999999999999E-3</v>
      </c>
      <c r="M8" s="23">
        <f t="shared" si="0"/>
        <v>5.474999999999999E-3</v>
      </c>
      <c r="N8" s="26">
        <f>STDEV(E8,E21,E34,E47,E60,E73,E86,E99)/(SQRT(COUNT(E8,E21,E34,E47,E60,E73,E86,E99)))</f>
        <v>2.8867513459481116E-5</v>
      </c>
      <c r="O8" s="27">
        <f t="shared" ref="O8:P8" si="1">STDEV(F8,F21,F34,F47,F60,F73,F86,F99)/(SQRT(COUNT(F8,F21,F34,F47,F60,F73,F86,F99)))</f>
        <v>2.8867513459481116E-5</v>
      </c>
      <c r="P8" s="28">
        <f t="shared" si="1"/>
        <v>2.4999999999999849E-5</v>
      </c>
    </row>
    <row r="9" spans="3:16">
      <c r="D9" s="61">
        <v>650</v>
      </c>
      <c r="E9" s="61">
        <v>6.1999999999999998E-3</v>
      </c>
      <c r="F9" s="61">
        <v>6.1999999999999998E-3</v>
      </c>
      <c r="G9" s="61">
        <v>5.7999999999999996E-3</v>
      </c>
      <c r="H9" s="61"/>
      <c r="J9" s="13">
        <v>650</v>
      </c>
      <c r="K9" s="24">
        <f t="shared" ref="K9:K19" si="2">AVERAGE(E9,E22,E35,E48,E61,E74,E87,E100)</f>
        <v>6.1999999999999998E-3</v>
      </c>
      <c r="L9" s="16">
        <f t="shared" ref="L9:L19" si="3">AVERAGE(F9,F22,F35,F48,F61,F74,F87,F100)</f>
        <v>6.1749999999999999E-3</v>
      </c>
      <c r="M9" s="16">
        <f t="shared" ref="M9:M19" si="4">AVERAGE(G9,G22,G35,G48,G61,G74,G87,G100)</f>
        <v>5.7999999999999996E-3</v>
      </c>
      <c r="N9" s="29">
        <f t="shared" ref="N9:N19" si="5">STDEV(E9,E22,E35,E48,E61,E74,E87,E100)/(SQRT(COUNT(E9,E22,E35,E48,E61,E74,E87,E100)))</f>
        <v>0</v>
      </c>
      <c r="O9" s="30">
        <f t="shared" ref="O9:O19" si="6">STDEV(F9,F22,F35,F48,F61,F74,F87,F100)/(SQRT(COUNT(F9,F22,F35,F48,F61,F74,F87,F100)))</f>
        <v>2.4999999999999849E-5</v>
      </c>
      <c r="P9" s="31">
        <f t="shared" ref="P9:P19" si="7">STDEV(G9,G22,G35,G48,G61,G74,G87,G100)/(SQRT(COUNT(G9,G22,G35,G48,G61,G74,G87,G100)))</f>
        <v>0</v>
      </c>
    </row>
    <row r="10" spans="3:16">
      <c r="D10" s="61">
        <v>700</v>
      </c>
      <c r="E10" s="61">
        <v>6.8999999999999999E-3</v>
      </c>
      <c r="F10" s="61">
        <v>7.0000000000000001E-3</v>
      </c>
      <c r="G10" s="61">
        <v>6.3E-3</v>
      </c>
      <c r="H10" s="61"/>
      <c r="J10" s="13">
        <v>700</v>
      </c>
      <c r="K10" s="24">
        <f t="shared" si="2"/>
        <v>6.9499999999999996E-3</v>
      </c>
      <c r="L10" s="16">
        <f t="shared" si="3"/>
        <v>6.9749999999999994E-3</v>
      </c>
      <c r="M10" s="16">
        <f t="shared" si="4"/>
        <v>6.3499999999999997E-3</v>
      </c>
      <c r="N10" s="29">
        <f t="shared" si="5"/>
        <v>2.8867513459481367E-5</v>
      </c>
      <c r="O10" s="30">
        <f t="shared" si="6"/>
        <v>2.5000000000000066E-5</v>
      </c>
      <c r="P10" s="31">
        <f t="shared" si="7"/>
        <v>2.8867513459481367E-5</v>
      </c>
    </row>
    <row r="11" spans="3:16">
      <c r="D11" s="61">
        <v>750</v>
      </c>
      <c r="E11" s="61">
        <v>8.0000000000000002E-3</v>
      </c>
      <c r="F11" s="61">
        <v>8.2000000000000007E-3</v>
      </c>
      <c r="G11" s="61">
        <v>7.1999999999999998E-3</v>
      </c>
      <c r="H11" s="61"/>
      <c r="J11" s="13">
        <v>750</v>
      </c>
      <c r="K11" s="24">
        <f t="shared" si="2"/>
        <v>8.0750000000000006E-3</v>
      </c>
      <c r="L11" s="16">
        <f t="shared" si="3"/>
        <v>8.2000000000000007E-3</v>
      </c>
      <c r="M11" s="16">
        <f t="shared" si="4"/>
        <v>7.1749999999999991E-3</v>
      </c>
      <c r="N11" s="29">
        <f t="shared" si="5"/>
        <v>8.5391256382996521E-5</v>
      </c>
      <c r="O11" s="30">
        <f t="shared" si="6"/>
        <v>7.071067811865474E-5</v>
      </c>
      <c r="P11" s="31">
        <f t="shared" si="7"/>
        <v>2.4999999999999849E-5</v>
      </c>
    </row>
    <row r="12" spans="3:16">
      <c r="D12" s="61">
        <v>800</v>
      </c>
      <c r="E12" s="61">
        <v>9.9000000000000008E-3</v>
      </c>
      <c r="F12" s="61">
        <v>9.9000000000000008E-3</v>
      </c>
      <c r="G12" s="61">
        <v>8.3999999999999995E-3</v>
      </c>
      <c r="H12" s="61"/>
      <c r="J12" s="13">
        <v>800</v>
      </c>
      <c r="K12" s="24">
        <f t="shared" si="2"/>
        <v>9.8500000000000011E-3</v>
      </c>
      <c r="L12" s="16">
        <f t="shared" si="3"/>
        <v>9.8750000000000001E-3</v>
      </c>
      <c r="M12" s="16">
        <f t="shared" si="4"/>
        <v>8.3250000000000008E-3</v>
      </c>
      <c r="N12" s="29">
        <f t="shared" si="5"/>
        <v>8.6602540378444189E-5</v>
      </c>
      <c r="O12" s="30">
        <f t="shared" si="6"/>
        <v>6.2915286960589598E-5</v>
      </c>
      <c r="P12" s="31">
        <f t="shared" si="7"/>
        <v>2.4999999999999849E-5</v>
      </c>
    </row>
    <row r="13" spans="3:16">
      <c r="D13" s="61">
        <v>850</v>
      </c>
      <c r="E13" s="61">
        <v>1.2500000000000001E-2</v>
      </c>
      <c r="F13" s="61">
        <v>1.26E-2</v>
      </c>
      <c r="G13" s="61">
        <v>0.01</v>
      </c>
      <c r="H13" s="61"/>
      <c r="J13" s="13">
        <v>850</v>
      </c>
      <c r="K13" s="24">
        <f t="shared" si="2"/>
        <v>1.24E-2</v>
      </c>
      <c r="L13" s="16">
        <f t="shared" si="3"/>
        <v>1.2400000000000001E-2</v>
      </c>
      <c r="M13" s="16">
        <f t="shared" si="4"/>
        <v>1.005E-2</v>
      </c>
      <c r="N13" s="29">
        <f t="shared" si="5"/>
        <v>7.071067811865474E-5</v>
      </c>
      <c r="O13" s="30">
        <f t="shared" si="6"/>
        <v>1.0801234497346449E-4</v>
      </c>
      <c r="P13" s="31">
        <f t="shared" si="7"/>
        <v>2.8867513459481116E-5</v>
      </c>
    </row>
    <row r="14" spans="3:16">
      <c r="D14" s="61">
        <v>900</v>
      </c>
      <c r="E14" s="61">
        <v>1.6500000000000001E-2</v>
      </c>
      <c r="F14" s="61">
        <v>1.6199999999999999E-2</v>
      </c>
      <c r="G14" s="61">
        <v>1.23E-2</v>
      </c>
      <c r="H14" s="61"/>
      <c r="J14" s="13">
        <v>900</v>
      </c>
      <c r="K14" s="24">
        <f t="shared" si="2"/>
        <v>1.6150000000000001E-2</v>
      </c>
      <c r="L14" s="16">
        <f t="shared" si="3"/>
        <v>1.6024999999999998E-2</v>
      </c>
      <c r="M14" s="16">
        <f t="shared" si="4"/>
        <v>1.2375000000000001E-2</v>
      </c>
      <c r="N14" s="29">
        <f t="shared" si="5"/>
        <v>2.0207259421636944E-4</v>
      </c>
      <c r="O14" s="30">
        <f t="shared" si="6"/>
        <v>1.6520189667999197E-4</v>
      </c>
      <c r="P14" s="31">
        <f t="shared" si="7"/>
        <v>4.7871355387816997E-5</v>
      </c>
    </row>
    <row r="15" spans="3:16">
      <c r="D15" s="61">
        <v>950</v>
      </c>
      <c r="E15" s="61">
        <v>2.1700000000000001E-2</v>
      </c>
      <c r="F15" s="61">
        <v>2.1499999999999998E-2</v>
      </c>
      <c r="G15" s="61">
        <v>1.5900000000000001E-2</v>
      </c>
      <c r="H15" s="61"/>
      <c r="J15" s="13">
        <v>950</v>
      </c>
      <c r="K15" s="24">
        <f t="shared" si="2"/>
        <v>2.1524999999999999E-2</v>
      </c>
      <c r="L15" s="16">
        <f t="shared" si="3"/>
        <v>2.1399999999999995E-2</v>
      </c>
      <c r="M15" s="16">
        <f t="shared" si="4"/>
        <v>1.5800000000000002E-2</v>
      </c>
      <c r="N15" s="29">
        <f t="shared" si="5"/>
        <v>2.4622144504490281E-4</v>
      </c>
      <c r="O15" s="30">
        <f t="shared" si="6"/>
        <v>2.1213203435596433E-4</v>
      </c>
      <c r="P15" s="31">
        <f t="shared" si="7"/>
        <v>1.3540064007726605E-4</v>
      </c>
    </row>
    <row r="16" spans="3:16">
      <c r="D16" s="61">
        <v>1000</v>
      </c>
      <c r="E16" s="61">
        <v>2.87E-2</v>
      </c>
      <c r="F16" s="61">
        <v>2.9100000000000001E-2</v>
      </c>
      <c r="G16" s="61">
        <v>2.0400000000000001E-2</v>
      </c>
      <c r="H16" s="61"/>
      <c r="J16" s="13">
        <v>1000</v>
      </c>
      <c r="K16" s="24">
        <f t="shared" si="2"/>
        <v>2.895E-2</v>
      </c>
      <c r="L16" s="16">
        <f t="shared" si="3"/>
        <v>2.87E-2</v>
      </c>
      <c r="M16" s="16">
        <f t="shared" si="4"/>
        <v>2.0575E-2</v>
      </c>
      <c r="N16" s="29">
        <f t="shared" si="5"/>
        <v>3.4034296427770189E-4</v>
      </c>
      <c r="O16" s="30">
        <f t="shared" si="6"/>
        <v>3.0276503540974976E-4</v>
      </c>
      <c r="P16" s="31">
        <f t="shared" si="7"/>
        <v>1.652018966799914E-4</v>
      </c>
    </row>
    <row r="17" spans="3:16">
      <c r="D17" s="61">
        <v>1050</v>
      </c>
      <c r="E17" s="61">
        <v>3.8600000000000002E-2</v>
      </c>
      <c r="F17" s="61">
        <v>4.02E-2</v>
      </c>
      <c r="G17" s="61">
        <v>2.7400000000000001E-2</v>
      </c>
      <c r="H17" s="61"/>
      <c r="J17" s="13">
        <v>1050</v>
      </c>
      <c r="K17" s="24">
        <f t="shared" si="2"/>
        <v>3.9350000000000003E-2</v>
      </c>
      <c r="L17" s="16">
        <f t="shared" si="3"/>
        <v>3.9649999999999998E-2</v>
      </c>
      <c r="M17" s="16">
        <f t="shared" si="4"/>
        <v>2.7900000000000001E-2</v>
      </c>
      <c r="N17" s="29">
        <f t="shared" si="5"/>
        <v>7.2399355429911684E-4</v>
      </c>
      <c r="O17" s="30">
        <f t="shared" si="6"/>
        <v>4.8562674281111586E-4</v>
      </c>
      <c r="P17" s="31">
        <f t="shared" si="7"/>
        <v>2.1213203435596392E-4</v>
      </c>
    </row>
    <row r="18" spans="3:16">
      <c r="D18" s="61">
        <v>1100</v>
      </c>
      <c r="E18" s="61">
        <v>5.4100000000000002E-2</v>
      </c>
      <c r="F18" s="61">
        <v>5.3400000000000003E-2</v>
      </c>
      <c r="G18" s="61">
        <v>3.6200000000000003E-2</v>
      </c>
      <c r="H18" s="61"/>
      <c r="J18" s="13">
        <v>1100</v>
      </c>
      <c r="K18" s="24">
        <f t="shared" si="2"/>
        <v>5.4324999999999998E-2</v>
      </c>
      <c r="L18" s="16">
        <f t="shared" si="3"/>
        <v>5.3574999999999998E-2</v>
      </c>
      <c r="M18" s="16">
        <f t="shared" si="4"/>
        <v>3.7250000000000005E-2</v>
      </c>
      <c r="N18" s="29">
        <f t="shared" si="5"/>
        <v>6.5239941753499368E-4</v>
      </c>
      <c r="O18" s="30">
        <f t="shared" si="6"/>
        <v>4.956056900399749E-4</v>
      </c>
      <c r="P18" s="31">
        <f t="shared" si="7"/>
        <v>4.6636895265444019E-4</v>
      </c>
    </row>
    <row r="19" spans="3:16">
      <c r="D19" s="61">
        <v>1150</v>
      </c>
      <c r="E19" s="61">
        <v>7.2900000000000006E-2</v>
      </c>
      <c r="F19" s="61">
        <v>7.4200000000000002E-2</v>
      </c>
      <c r="G19" s="61">
        <v>4.8399999999999999E-2</v>
      </c>
      <c r="H19" s="61"/>
      <c r="J19" s="17">
        <v>1150</v>
      </c>
      <c r="K19" s="25">
        <f t="shared" si="2"/>
        <v>7.3949999999999988E-2</v>
      </c>
      <c r="L19" s="18">
        <f t="shared" si="3"/>
        <v>7.4175000000000005E-2</v>
      </c>
      <c r="M19" s="18">
        <f t="shared" si="4"/>
        <v>5.0025E-2</v>
      </c>
      <c r="N19" s="32">
        <f t="shared" si="5"/>
        <v>1.0988630487917938E-3</v>
      </c>
      <c r="O19" s="33">
        <f t="shared" si="6"/>
        <v>1.1440971695329599E-3</v>
      </c>
      <c r="P19" s="34">
        <f t="shared" si="7"/>
        <v>6.1964371483404386E-4</v>
      </c>
    </row>
    <row r="20" spans="3:16">
      <c r="D20" s="61"/>
      <c r="E20" s="61"/>
      <c r="F20" s="61"/>
      <c r="G20" s="61"/>
      <c r="H20" s="61"/>
    </row>
    <row r="21" spans="3:16">
      <c r="C21" s="109" t="s">
        <v>8</v>
      </c>
      <c r="D21" s="61">
        <v>600</v>
      </c>
      <c r="E21" s="61">
        <v>5.7000000000000002E-3</v>
      </c>
      <c r="F21" s="61">
        <v>5.7000000000000002E-3</v>
      </c>
      <c r="G21" s="61">
        <v>5.4999999999999997E-3</v>
      </c>
      <c r="H21" s="61"/>
    </row>
    <row r="22" spans="3:16">
      <c r="D22" s="61">
        <v>650</v>
      </c>
      <c r="E22" s="61">
        <v>6.1999999999999998E-3</v>
      </c>
      <c r="F22" s="61">
        <v>6.1000000000000004E-3</v>
      </c>
      <c r="G22" s="61">
        <v>5.7999999999999996E-3</v>
      </c>
      <c r="H22" s="61"/>
    </row>
    <row r="23" spans="3:16">
      <c r="D23" s="61">
        <v>700</v>
      </c>
      <c r="E23" s="61">
        <v>6.8999999999999999E-3</v>
      </c>
      <c r="F23" s="61">
        <v>6.8999999999999999E-3</v>
      </c>
      <c r="G23" s="61">
        <v>6.3E-3</v>
      </c>
      <c r="H23" s="61"/>
    </row>
    <row r="24" spans="3:16">
      <c r="D24" s="61">
        <v>750</v>
      </c>
      <c r="E24" s="61">
        <v>7.9000000000000008E-3</v>
      </c>
      <c r="F24" s="61">
        <v>8.0000000000000002E-3</v>
      </c>
      <c r="G24" s="61">
        <v>7.1000000000000004E-3</v>
      </c>
      <c r="H24" s="61"/>
    </row>
    <row r="25" spans="3:16">
      <c r="D25" s="61">
        <v>800</v>
      </c>
      <c r="E25" s="61">
        <v>9.5999999999999992E-3</v>
      </c>
      <c r="F25" s="61">
        <v>9.7000000000000003E-3</v>
      </c>
      <c r="G25" s="61">
        <v>8.3000000000000001E-3</v>
      </c>
      <c r="H25" s="61"/>
    </row>
    <row r="26" spans="3:16">
      <c r="D26" s="61">
        <v>850</v>
      </c>
      <c r="E26" s="61">
        <v>1.2200000000000001E-2</v>
      </c>
      <c r="F26" s="61">
        <v>1.21E-2</v>
      </c>
      <c r="G26" s="61">
        <v>0.01</v>
      </c>
      <c r="H26" s="61"/>
    </row>
    <row r="27" spans="3:16">
      <c r="D27" s="61">
        <v>900</v>
      </c>
      <c r="E27" s="61">
        <v>1.5599999999999999E-2</v>
      </c>
      <c r="F27" s="61">
        <v>1.5699999999999999E-2</v>
      </c>
      <c r="G27" s="61">
        <v>1.2500000000000001E-2</v>
      </c>
      <c r="H27" s="61"/>
    </row>
    <row r="28" spans="3:16">
      <c r="D28" s="61">
        <v>950</v>
      </c>
      <c r="E28" s="61">
        <v>2.0799999999999999E-2</v>
      </c>
      <c r="F28" s="61">
        <v>2.0799999999999999E-2</v>
      </c>
      <c r="G28" s="61">
        <v>1.54E-2</v>
      </c>
      <c r="H28" s="61"/>
    </row>
    <row r="29" spans="3:16">
      <c r="D29" s="61">
        <v>1000</v>
      </c>
      <c r="E29" s="61">
        <v>2.81E-2</v>
      </c>
      <c r="F29" s="61">
        <v>2.7799999999999998E-2</v>
      </c>
      <c r="G29" s="61">
        <v>2.0199999999999999E-2</v>
      </c>
      <c r="H29" s="61"/>
    </row>
    <row r="30" spans="3:16">
      <c r="D30" s="61">
        <v>1050</v>
      </c>
      <c r="E30" s="61">
        <v>3.7699999999999997E-2</v>
      </c>
      <c r="F30" s="61">
        <v>3.8399999999999997E-2</v>
      </c>
      <c r="G30" s="61">
        <v>2.7699999999999999E-2</v>
      </c>
      <c r="H30" s="61"/>
    </row>
    <row r="31" spans="3:16">
      <c r="D31" s="61">
        <v>1100</v>
      </c>
      <c r="E31" s="61">
        <v>5.2600000000000001E-2</v>
      </c>
      <c r="F31" s="61">
        <v>5.2499999999999998E-2</v>
      </c>
      <c r="G31" s="61">
        <v>3.6799999999999999E-2</v>
      </c>
      <c r="H31" s="61"/>
    </row>
    <row r="32" spans="3:16">
      <c r="D32" s="61">
        <v>1150</v>
      </c>
      <c r="E32" s="61">
        <v>7.1800000000000003E-2</v>
      </c>
      <c r="F32" s="61">
        <v>7.1300000000000002E-2</v>
      </c>
      <c r="G32" s="61">
        <v>0.05</v>
      </c>
      <c r="H32" s="61"/>
    </row>
    <row r="33" spans="3:8">
      <c r="D33" s="61"/>
      <c r="E33" s="61"/>
      <c r="F33" s="61"/>
      <c r="G33" s="61"/>
      <c r="H33" s="61"/>
    </row>
    <row r="34" spans="3:8">
      <c r="C34" s="109" t="s">
        <v>3</v>
      </c>
      <c r="D34" s="61">
        <v>600</v>
      </c>
      <c r="E34" s="61">
        <v>5.7999999999999996E-3</v>
      </c>
      <c r="F34" s="61">
        <v>5.7999999999999996E-3</v>
      </c>
      <c r="G34" s="61">
        <v>5.4999999999999997E-3</v>
      </c>
      <c r="H34" s="61"/>
    </row>
    <row r="35" spans="3:8">
      <c r="D35" s="61">
        <v>650</v>
      </c>
      <c r="E35" s="61">
        <v>6.1999999999999998E-3</v>
      </c>
      <c r="F35" s="61">
        <v>6.1999999999999998E-3</v>
      </c>
      <c r="G35" s="61">
        <v>5.7999999999999996E-3</v>
      </c>
      <c r="H35" s="61"/>
    </row>
    <row r="36" spans="3:8">
      <c r="D36" s="61">
        <v>700</v>
      </c>
      <c r="E36" s="61">
        <v>7.0000000000000001E-3</v>
      </c>
      <c r="F36" s="61">
        <v>7.0000000000000001E-3</v>
      </c>
      <c r="G36" s="61">
        <v>6.4000000000000003E-3</v>
      </c>
      <c r="H36" s="61"/>
    </row>
    <row r="37" spans="3:8">
      <c r="D37" s="61">
        <v>750</v>
      </c>
      <c r="E37" s="61">
        <v>8.0999999999999996E-3</v>
      </c>
      <c r="F37" s="61">
        <v>8.3000000000000001E-3</v>
      </c>
      <c r="G37" s="61">
        <v>7.1999999999999998E-3</v>
      </c>
      <c r="H37" s="61"/>
    </row>
    <row r="38" spans="3:8">
      <c r="D38" s="61">
        <v>800</v>
      </c>
      <c r="E38" s="61">
        <v>9.9000000000000008E-3</v>
      </c>
      <c r="F38" s="61">
        <v>9.9000000000000008E-3</v>
      </c>
      <c r="G38" s="61">
        <v>8.3000000000000001E-3</v>
      </c>
      <c r="H38" s="61"/>
    </row>
    <row r="39" spans="3:8">
      <c r="D39" s="61">
        <v>850</v>
      </c>
      <c r="E39" s="61">
        <v>1.2500000000000001E-2</v>
      </c>
      <c r="F39" s="61">
        <v>1.24E-2</v>
      </c>
      <c r="G39" s="61">
        <v>1.01E-2</v>
      </c>
      <c r="H39" s="61"/>
    </row>
    <row r="40" spans="3:8">
      <c r="D40" s="61">
        <v>900</v>
      </c>
      <c r="E40" s="61">
        <v>1.61E-2</v>
      </c>
      <c r="F40" s="61">
        <v>1.6400000000000001E-2</v>
      </c>
      <c r="G40" s="61">
        <v>1.23E-2</v>
      </c>
      <c r="H40" s="61"/>
    </row>
    <row r="41" spans="3:8">
      <c r="D41" s="61">
        <v>950</v>
      </c>
      <c r="E41" s="61">
        <v>2.1700000000000001E-2</v>
      </c>
      <c r="F41" s="61">
        <v>2.18E-2</v>
      </c>
      <c r="G41" s="61">
        <v>1.6E-2</v>
      </c>
      <c r="H41" s="61"/>
    </row>
    <row r="42" spans="3:8">
      <c r="D42" s="61">
        <v>1000</v>
      </c>
      <c r="E42" s="61">
        <v>2.9499999999999998E-2</v>
      </c>
      <c r="F42" s="61">
        <v>2.8899999999999999E-2</v>
      </c>
      <c r="G42" s="61">
        <v>2.0799999999999999E-2</v>
      </c>
      <c r="H42" s="61"/>
    </row>
    <row r="43" spans="3:8">
      <c r="D43" s="61">
        <v>1050</v>
      </c>
      <c r="E43" s="61">
        <v>4.0300000000000002E-2</v>
      </c>
      <c r="F43" s="61">
        <v>4.0599999999999997E-2</v>
      </c>
      <c r="G43" s="61">
        <v>2.8199999999999999E-2</v>
      </c>
      <c r="H43" s="61"/>
    </row>
    <row r="44" spans="3:8">
      <c r="D44" s="61">
        <v>1100</v>
      </c>
      <c r="E44" s="61">
        <v>5.5599999999999997E-2</v>
      </c>
      <c r="F44" s="61">
        <v>5.3499999999999999E-2</v>
      </c>
      <c r="G44" s="61">
        <v>3.7699999999999997E-2</v>
      </c>
      <c r="H44" s="61"/>
    </row>
    <row r="45" spans="3:8">
      <c r="D45" s="61">
        <v>1150</v>
      </c>
      <c r="E45" s="61">
        <v>7.4200000000000002E-2</v>
      </c>
      <c r="F45" s="61">
        <v>7.4300000000000005E-2</v>
      </c>
      <c r="G45" s="61">
        <v>5.0299999999999997E-2</v>
      </c>
      <c r="H45" s="61"/>
    </row>
    <row r="46" spans="3:8">
      <c r="D46" s="61"/>
      <c r="E46" s="61"/>
      <c r="F46" s="61"/>
      <c r="G46" s="61"/>
      <c r="H46" s="61"/>
    </row>
    <row r="47" spans="3:8">
      <c r="C47" s="109" t="s">
        <v>16</v>
      </c>
      <c r="D47" s="61">
        <v>600</v>
      </c>
      <c r="E47" s="61">
        <v>5.7999999999999996E-3</v>
      </c>
      <c r="F47" s="61">
        <v>5.7999999999999996E-3</v>
      </c>
      <c r="G47" s="61">
        <v>5.4999999999999997E-3</v>
      </c>
      <c r="H47" s="61"/>
    </row>
    <row r="48" spans="3:8">
      <c r="D48" s="61">
        <v>650</v>
      </c>
      <c r="E48" s="61">
        <v>6.1999999999999998E-3</v>
      </c>
      <c r="F48" s="61">
        <v>6.1999999999999998E-3</v>
      </c>
      <c r="G48" s="61">
        <v>5.7999999999999996E-3</v>
      </c>
      <c r="H48" s="61"/>
    </row>
    <row r="49" spans="3:8">
      <c r="D49" s="61">
        <v>700</v>
      </c>
      <c r="E49" s="61">
        <v>7.0000000000000001E-3</v>
      </c>
      <c r="F49" s="61">
        <v>7.0000000000000001E-3</v>
      </c>
      <c r="G49" s="61">
        <v>6.4000000000000003E-3</v>
      </c>
      <c r="H49" s="61"/>
    </row>
    <row r="50" spans="3:8">
      <c r="D50" s="61">
        <v>750</v>
      </c>
      <c r="E50" s="61">
        <v>8.3000000000000001E-3</v>
      </c>
      <c r="F50" s="61">
        <v>8.3000000000000001E-3</v>
      </c>
      <c r="G50" s="61">
        <v>7.1999999999999998E-3</v>
      </c>
      <c r="H50" s="61"/>
    </row>
    <row r="51" spans="3:8">
      <c r="D51" s="61">
        <v>800</v>
      </c>
      <c r="E51" s="61">
        <v>0.01</v>
      </c>
      <c r="F51" s="61">
        <v>0.01</v>
      </c>
      <c r="G51" s="61">
        <v>8.3000000000000001E-3</v>
      </c>
      <c r="H51" s="61"/>
    </row>
    <row r="52" spans="3:8">
      <c r="D52" s="61">
        <v>850</v>
      </c>
      <c r="E52" s="61">
        <v>1.24E-2</v>
      </c>
      <c r="F52" s="61">
        <v>1.2500000000000001E-2</v>
      </c>
      <c r="G52" s="61">
        <v>1.01E-2</v>
      </c>
      <c r="H52" s="61"/>
    </row>
    <row r="53" spans="3:8">
      <c r="D53" s="61">
        <v>900</v>
      </c>
      <c r="E53" s="61">
        <v>1.6400000000000001E-2</v>
      </c>
      <c r="F53" s="61">
        <v>1.5800000000000002E-2</v>
      </c>
      <c r="G53" s="61">
        <v>1.24E-2</v>
      </c>
      <c r="H53" s="61"/>
    </row>
    <row r="54" spans="3:8">
      <c r="D54" s="61">
        <v>950</v>
      </c>
      <c r="E54" s="61">
        <v>2.1899999999999999E-2</v>
      </c>
      <c r="F54" s="61">
        <v>2.1499999999999998E-2</v>
      </c>
      <c r="G54" s="61">
        <v>1.5900000000000001E-2</v>
      </c>
      <c r="H54" s="61"/>
    </row>
    <row r="55" spans="3:8">
      <c r="D55" s="61">
        <v>1000</v>
      </c>
      <c r="E55" s="61">
        <v>2.9499999999999998E-2</v>
      </c>
      <c r="F55" s="61">
        <v>2.9000000000000001E-2</v>
      </c>
      <c r="G55" s="61">
        <v>2.0899999999999998E-2</v>
      </c>
      <c r="H55" s="61"/>
    </row>
    <row r="56" spans="3:8">
      <c r="D56" s="61">
        <v>1050</v>
      </c>
      <c r="E56" s="61">
        <v>4.0800000000000003E-2</v>
      </c>
      <c r="F56" s="61">
        <v>3.9399999999999998E-2</v>
      </c>
      <c r="G56" s="61">
        <v>2.8299999999999999E-2</v>
      </c>
      <c r="H56" s="61"/>
    </row>
    <row r="57" spans="3:8">
      <c r="D57" s="61">
        <v>1100</v>
      </c>
      <c r="E57" s="61">
        <v>5.5E-2</v>
      </c>
      <c r="F57" s="61">
        <v>5.4899999999999997E-2</v>
      </c>
      <c r="G57" s="61">
        <v>3.8300000000000001E-2</v>
      </c>
      <c r="H57" s="61"/>
    </row>
    <row r="58" spans="3:8">
      <c r="D58" s="61">
        <v>1150</v>
      </c>
      <c r="E58" s="61">
        <v>7.6899999999999996E-2</v>
      </c>
      <c r="F58" s="61">
        <v>7.6899999999999996E-2</v>
      </c>
      <c r="G58" s="61">
        <v>5.1400000000000001E-2</v>
      </c>
      <c r="H58" s="61"/>
    </row>
    <row r="59" spans="3:8">
      <c r="D59" s="61"/>
      <c r="E59" s="61"/>
      <c r="F59" s="61"/>
      <c r="G59" s="61"/>
      <c r="H59" s="61"/>
    </row>
    <row r="60" spans="3:8">
      <c r="C60" s="109" t="s">
        <v>4</v>
      </c>
      <c r="D60" s="61">
        <v>600</v>
      </c>
      <c r="E60" s="61"/>
      <c r="F60" s="61"/>
      <c r="G60" s="61"/>
      <c r="H60" s="61"/>
    </row>
    <row r="61" spans="3:8">
      <c r="D61" s="61">
        <v>650</v>
      </c>
      <c r="E61" s="61"/>
      <c r="F61" s="61"/>
      <c r="G61" s="61"/>
      <c r="H61" s="61"/>
    </row>
    <row r="62" spans="3:8">
      <c r="D62" s="61">
        <v>700</v>
      </c>
      <c r="E62" s="61"/>
      <c r="F62" s="61"/>
      <c r="G62" s="61"/>
      <c r="H62" s="61"/>
    </row>
    <row r="63" spans="3:8">
      <c r="D63" s="61">
        <v>750</v>
      </c>
      <c r="E63" s="61"/>
      <c r="F63" s="61"/>
      <c r="G63" s="61"/>
      <c r="H63" s="61"/>
    </row>
    <row r="64" spans="3:8">
      <c r="D64" s="61">
        <v>800</v>
      </c>
      <c r="E64" s="61"/>
      <c r="F64" s="61"/>
      <c r="G64" s="61"/>
      <c r="H64" s="61"/>
    </row>
    <row r="65" spans="3:8">
      <c r="D65" s="61">
        <v>850</v>
      </c>
      <c r="E65" s="61"/>
      <c r="F65" s="61"/>
      <c r="G65" s="61"/>
      <c r="H65" s="61"/>
    </row>
    <row r="66" spans="3:8">
      <c r="D66" s="61">
        <v>900</v>
      </c>
      <c r="E66" s="61"/>
      <c r="F66" s="61"/>
      <c r="G66" s="61"/>
      <c r="H66" s="61"/>
    </row>
    <row r="67" spans="3:8">
      <c r="D67" s="61">
        <v>950</v>
      </c>
      <c r="E67" s="61"/>
      <c r="F67" s="61"/>
      <c r="G67" s="61"/>
      <c r="H67" s="61"/>
    </row>
    <row r="68" spans="3:8">
      <c r="D68" s="61">
        <v>1000</v>
      </c>
      <c r="E68" s="61"/>
      <c r="F68" s="61"/>
      <c r="G68" s="61"/>
      <c r="H68" s="61"/>
    </row>
    <row r="69" spans="3:8">
      <c r="D69" s="61">
        <v>1050</v>
      </c>
      <c r="E69" s="61"/>
      <c r="F69" s="61"/>
      <c r="G69" s="61"/>
      <c r="H69" s="61"/>
    </row>
    <row r="70" spans="3:8">
      <c r="D70" s="61">
        <v>1100</v>
      </c>
      <c r="E70" s="61"/>
      <c r="F70" s="61"/>
      <c r="G70" s="61"/>
      <c r="H70" s="61"/>
    </row>
    <row r="71" spans="3:8">
      <c r="D71" s="61">
        <v>1150</v>
      </c>
      <c r="E71" s="61"/>
      <c r="F71" s="61"/>
      <c r="G71" s="61"/>
      <c r="H71" s="61"/>
    </row>
    <row r="72" spans="3:8">
      <c r="D72" s="61"/>
      <c r="E72" s="61"/>
      <c r="F72" s="61"/>
      <c r="G72" s="61"/>
      <c r="H72" s="61"/>
    </row>
    <row r="73" spans="3:8">
      <c r="C73" s="109" t="s">
        <v>5</v>
      </c>
      <c r="D73" s="61">
        <v>600</v>
      </c>
      <c r="E73" s="61"/>
      <c r="F73" s="61"/>
      <c r="G73" s="61"/>
      <c r="H73" s="61"/>
    </row>
    <row r="74" spans="3:8">
      <c r="D74" s="61">
        <v>650</v>
      </c>
      <c r="E74" s="61"/>
      <c r="F74" s="61"/>
      <c r="G74" s="61"/>
      <c r="H74" s="61"/>
    </row>
    <row r="75" spans="3:8">
      <c r="D75" s="61">
        <v>700</v>
      </c>
      <c r="E75" s="61"/>
      <c r="F75" s="61"/>
      <c r="G75" s="61"/>
      <c r="H75" s="61"/>
    </row>
    <row r="76" spans="3:8">
      <c r="D76" s="61">
        <v>750</v>
      </c>
      <c r="E76" s="61"/>
      <c r="F76" s="61"/>
      <c r="G76" s="61"/>
      <c r="H76" s="61"/>
    </row>
    <row r="77" spans="3:8">
      <c r="D77" s="61">
        <v>800</v>
      </c>
      <c r="E77" s="61"/>
      <c r="F77" s="61"/>
      <c r="G77" s="61"/>
      <c r="H77" s="61"/>
    </row>
    <row r="78" spans="3:8">
      <c r="D78" s="61">
        <v>850</v>
      </c>
      <c r="E78" s="61"/>
      <c r="F78" s="61"/>
      <c r="G78" s="61"/>
      <c r="H78" s="61"/>
    </row>
    <row r="79" spans="3:8">
      <c r="D79" s="61">
        <v>900</v>
      </c>
      <c r="E79" s="61"/>
      <c r="F79" s="61"/>
      <c r="G79" s="61"/>
      <c r="H79" s="61"/>
    </row>
    <row r="80" spans="3:8">
      <c r="D80" s="61">
        <v>950</v>
      </c>
      <c r="E80" s="61"/>
      <c r="F80" s="61"/>
      <c r="G80" s="61"/>
      <c r="H80" s="61"/>
    </row>
    <row r="81" spans="3:8">
      <c r="D81" s="61">
        <v>1000</v>
      </c>
      <c r="E81" s="61"/>
      <c r="F81" s="61"/>
      <c r="G81" s="61"/>
      <c r="H81" s="61"/>
    </row>
    <row r="82" spans="3:8">
      <c r="D82" s="61">
        <v>1050</v>
      </c>
      <c r="E82" s="61"/>
      <c r="F82" s="61"/>
      <c r="G82" s="61"/>
      <c r="H82" s="61"/>
    </row>
    <row r="83" spans="3:8">
      <c r="D83" s="61">
        <v>1100</v>
      </c>
      <c r="E83" s="61"/>
      <c r="F83" s="61"/>
      <c r="G83" s="61"/>
      <c r="H83" s="61"/>
    </row>
    <row r="84" spans="3:8">
      <c r="D84" s="61">
        <v>1150</v>
      </c>
      <c r="E84" s="61"/>
      <c r="F84" s="61"/>
      <c r="G84" s="61"/>
      <c r="H84" s="61"/>
    </row>
    <row r="85" spans="3:8">
      <c r="D85" s="61"/>
      <c r="E85" s="61"/>
      <c r="F85" s="61"/>
      <c r="G85" s="61"/>
      <c r="H85" s="61"/>
    </row>
    <row r="86" spans="3:8">
      <c r="C86" s="109" t="s">
        <v>6</v>
      </c>
      <c r="D86" s="61">
        <v>600</v>
      </c>
      <c r="E86" s="61"/>
      <c r="F86" s="61"/>
      <c r="G86" s="61"/>
      <c r="H86" s="61"/>
    </row>
    <row r="87" spans="3:8">
      <c r="D87" s="61">
        <v>650</v>
      </c>
      <c r="E87" s="61"/>
      <c r="F87" s="61"/>
      <c r="G87" s="61"/>
      <c r="H87" s="61"/>
    </row>
    <row r="88" spans="3:8">
      <c r="D88" s="61">
        <v>700</v>
      </c>
      <c r="E88" s="61"/>
      <c r="F88" s="61"/>
      <c r="G88" s="61"/>
      <c r="H88" s="61"/>
    </row>
    <row r="89" spans="3:8">
      <c r="D89" s="61">
        <v>750</v>
      </c>
      <c r="E89" s="61"/>
      <c r="F89" s="61"/>
      <c r="G89" s="61"/>
      <c r="H89" s="61"/>
    </row>
    <row r="90" spans="3:8">
      <c r="D90" s="61">
        <v>800</v>
      </c>
      <c r="E90" s="61"/>
      <c r="F90" s="61"/>
      <c r="G90" s="61"/>
      <c r="H90" s="61"/>
    </row>
    <row r="91" spans="3:8">
      <c r="D91" s="61">
        <v>850</v>
      </c>
      <c r="E91" s="61"/>
      <c r="F91" s="61"/>
      <c r="G91" s="61"/>
      <c r="H91" s="61"/>
    </row>
    <row r="92" spans="3:8">
      <c r="D92" s="61">
        <v>900</v>
      </c>
      <c r="E92" s="61"/>
      <c r="F92" s="61"/>
      <c r="G92" s="61"/>
      <c r="H92" s="61"/>
    </row>
    <row r="93" spans="3:8">
      <c r="D93" s="61">
        <v>950</v>
      </c>
      <c r="E93" s="61"/>
      <c r="F93" s="61"/>
      <c r="G93" s="61"/>
      <c r="H93" s="61"/>
    </row>
    <row r="94" spans="3:8">
      <c r="D94" s="61">
        <v>1000</v>
      </c>
      <c r="E94" s="61"/>
      <c r="F94" s="61"/>
      <c r="G94" s="61"/>
      <c r="H94" s="61"/>
    </row>
    <row r="95" spans="3:8">
      <c r="D95" s="61">
        <v>1050</v>
      </c>
      <c r="E95" s="61"/>
      <c r="F95" s="61"/>
      <c r="G95" s="61"/>
      <c r="H95" s="61"/>
    </row>
    <row r="96" spans="3:8">
      <c r="D96" s="61">
        <v>1100</v>
      </c>
      <c r="E96" s="61"/>
      <c r="F96" s="61"/>
      <c r="G96" s="61"/>
      <c r="H96" s="61"/>
    </row>
    <row r="97" spans="3:8">
      <c r="D97" s="61">
        <v>1150</v>
      </c>
      <c r="E97" s="61"/>
      <c r="F97" s="61"/>
      <c r="G97" s="61"/>
      <c r="H97" s="61"/>
    </row>
    <row r="98" spans="3:8">
      <c r="D98" s="61"/>
      <c r="E98" s="61"/>
      <c r="F98" s="61"/>
      <c r="G98" s="61"/>
      <c r="H98" s="61"/>
    </row>
    <row r="99" spans="3:8">
      <c r="C99" s="109" t="s">
        <v>12</v>
      </c>
      <c r="D99" s="61">
        <v>600</v>
      </c>
      <c r="E99" s="61"/>
      <c r="F99" s="61"/>
      <c r="G99" s="61"/>
      <c r="H99" s="61"/>
    </row>
    <row r="100" spans="3:8">
      <c r="D100" s="61">
        <v>650</v>
      </c>
      <c r="E100" s="61"/>
      <c r="F100" s="61"/>
      <c r="G100" s="61"/>
      <c r="H100" s="61"/>
    </row>
    <row r="101" spans="3:8">
      <c r="D101" s="61">
        <v>700</v>
      </c>
      <c r="E101" s="61"/>
      <c r="F101" s="61"/>
      <c r="G101" s="61"/>
      <c r="H101" s="61"/>
    </row>
    <row r="102" spans="3:8">
      <c r="D102" s="61">
        <v>750</v>
      </c>
      <c r="E102" s="61"/>
      <c r="F102" s="61"/>
      <c r="G102" s="61"/>
      <c r="H102" s="61"/>
    </row>
    <row r="103" spans="3:8">
      <c r="D103" s="61">
        <v>800</v>
      </c>
      <c r="E103" s="61"/>
      <c r="F103" s="61"/>
      <c r="G103" s="61"/>
      <c r="H103" s="61"/>
    </row>
    <row r="104" spans="3:8">
      <c r="D104" s="61">
        <v>850</v>
      </c>
      <c r="E104" s="61"/>
      <c r="F104" s="61"/>
      <c r="G104" s="61"/>
      <c r="H104" s="61"/>
    </row>
    <row r="105" spans="3:8">
      <c r="D105" s="61">
        <v>900</v>
      </c>
      <c r="E105" s="61"/>
      <c r="F105" s="61"/>
      <c r="G105" s="61"/>
      <c r="H105" s="61"/>
    </row>
    <row r="106" spans="3:8">
      <c r="D106" s="61">
        <v>950</v>
      </c>
      <c r="E106" s="61"/>
      <c r="F106" s="61"/>
      <c r="G106" s="61"/>
      <c r="H106" s="61"/>
    </row>
    <row r="107" spans="3:8">
      <c r="D107" s="61">
        <v>1000</v>
      </c>
      <c r="E107" s="61"/>
      <c r="F107" s="61"/>
      <c r="G107" s="61"/>
      <c r="H107" s="61"/>
    </row>
    <row r="108" spans="3:8">
      <c r="D108" s="61">
        <v>1050</v>
      </c>
      <c r="E108" s="61"/>
      <c r="F108" s="61"/>
      <c r="G108" s="61"/>
      <c r="H108" s="61"/>
    </row>
    <row r="109" spans="3:8">
      <c r="D109" s="61">
        <v>1100</v>
      </c>
      <c r="E109" s="61"/>
      <c r="F109" s="61"/>
      <c r="G109" s="61"/>
      <c r="H109" s="61"/>
    </row>
    <row r="110" spans="3:8">
      <c r="D110" s="61">
        <v>1150</v>
      </c>
      <c r="E110" s="61"/>
      <c r="F110" s="61"/>
      <c r="G110" s="61"/>
      <c r="H110" s="61"/>
    </row>
  </sheetData>
  <mergeCells count="1">
    <mergeCell ref="K6:M6"/>
  </mergeCells>
  <pageMargins left="0.7" right="0.7" top="0.78740157499999996" bottom="0.78740157499999996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C6:Q43"/>
  <sheetViews>
    <sheetView topLeftCell="A4" workbookViewId="0">
      <selection activeCell="G41" sqref="G41"/>
    </sheetView>
  </sheetViews>
  <sheetFormatPr baseColWidth="10" defaultColWidth="11.5" defaultRowHeight="14" x14ac:dyDescent="0"/>
  <sheetData>
    <row r="6" spans="3:17">
      <c r="D6" s="1" t="s">
        <v>9</v>
      </c>
      <c r="I6" s="1" t="s">
        <v>81</v>
      </c>
    </row>
    <row r="8" spans="3:17" ht="16">
      <c r="D8" s="106" t="s">
        <v>15</v>
      </c>
      <c r="E8" s="106" t="s">
        <v>0</v>
      </c>
      <c r="F8" s="106" t="s">
        <v>1</v>
      </c>
      <c r="G8" s="106" t="s">
        <v>2</v>
      </c>
      <c r="I8" s="106" t="s">
        <v>0</v>
      </c>
      <c r="J8" s="106" t="s">
        <v>1</v>
      </c>
      <c r="K8" s="106" t="s">
        <v>2</v>
      </c>
      <c r="M8" s="106" t="s">
        <v>124</v>
      </c>
      <c r="N8" s="106" t="s">
        <v>125</v>
      </c>
      <c r="P8" s="106" t="s">
        <v>126</v>
      </c>
      <c r="Q8" s="106" t="s">
        <v>128</v>
      </c>
    </row>
    <row r="9" spans="3:17">
      <c r="C9" s="2"/>
      <c r="D9" s="61">
        <v>700</v>
      </c>
      <c r="E9" s="154">
        <v>1.1117999999999999</v>
      </c>
      <c r="F9" s="154">
        <v>0.2979</v>
      </c>
      <c r="G9" s="154">
        <v>7.1000000000000004E-3</v>
      </c>
      <c r="I9">
        <v>1.1048499999999999</v>
      </c>
      <c r="J9">
        <v>0.29092499999999999</v>
      </c>
      <c r="K9">
        <v>7.5000000000000067E-4</v>
      </c>
      <c r="M9" s="9">
        <f>J9/I9</f>
        <v>0.26331628727881612</v>
      </c>
      <c r="N9" s="9">
        <f>K9/I9</f>
        <v>6.7882517988867338E-4</v>
      </c>
      <c r="O9" s="117" t="s">
        <v>18</v>
      </c>
      <c r="P9" s="118">
        <f>AVERAGE(M9:M64)</f>
        <v>0.26331802956531603</v>
      </c>
      <c r="Q9" s="118">
        <f>AVERAGE(N9:N64)</f>
        <v>8.4237655732894801E-4</v>
      </c>
    </row>
    <row r="10" spans="3:17">
      <c r="D10" s="61">
        <v>750</v>
      </c>
      <c r="E10" s="154">
        <v>1.8393999999999999</v>
      </c>
      <c r="F10" s="154">
        <v>0.4894</v>
      </c>
      <c r="G10" s="154">
        <v>8.3000000000000001E-3</v>
      </c>
      <c r="I10">
        <v>1.8313249999999999</v>
      </c>
      <c r="J10">
        <v>0.48120000000000002</v>
      </c>
      <c r="K10">
        <v>1.125000000000001E-3</v>
      </c>
      <c r="M10" s="9">
        <f t="shared" ref="M10:M32" si="0">J10/I10</f>
        <v>0.26276056953298843</v>
      </c>
      <c r="N10" s="9">
        <f t="shared" ref="N10:N34" si="1">K10/I10</f>
        <v>6.1430931156403212E-4</v>
      </c>
      <c r="O10" s="117" t="s">
        <v>19</v>
      </c>
      <c r="P10" s="118">
        <f>STDEV(M9:M100)/SQRT(COUNT(M9:M100))</f>
        <v>8.068331312190459E-4</v>
      </c>
      <c r="Q10" s="118">
        <f>STDEV(N9:N100)/SQRT(COUNT(N9:N100))</f>
        <v>3.8480900650645417E-5</v>
      </c>
    </row>
    <row r="11" spans="3:17">
      <c r="D11" s="38">
        <v>650</v>
      </c>
      <c r="E11" s="155">
        <v>0.6341</v>
      </c>
      <c r="F11" s="155">
        <v>0.1726</v>
      </c>
      <c r="G11" s="155">
        <v>6.4000000000000003E-3</v>
      </c>
      <c r="I11">
        <v>0.62790000000000001</v>
      </c>
      <c r="J11">
        <v>0.16642499999999999</v>
      </c>
      <c r="K11">
        <v>6.0000000000000071E-4</v>
      </c>
      <c r="M11" s="9">
        <f t="shared" si="0"/>
        <v>0.26505016722408026</v>
      </c>
      <c r="N11" s="9">
        <f t="shared" si="1"/>
        <v>9.5556617295747845E-4</v>
      </c>
      <c r="O11" s="117" t="s">
        <v>75</v>
      </c>
      <c r="P11" s="118">
        <f>MIN(M9:M100)</f>
        <v>0.25388066528471193</v>
      </c>
      <c r="Q11" s="118">
        <f>MIN(N9:N100)</f>
        <v>5.1070096676880715E-4</v>
      </c>
    </row>
    <row r="12" spans="3:17">
      <c r="D12" s="38">
        <v>800</v>
      </c>
      <c r="E12" s="155">
        <v>2.6454</v>
      </c>
      <c r="F12" s="155">
        <v>0.7026</v>
      </c>
      <c r="G12" s="155">
        <v>9.9000000000000008E-3</v>
      </c>
      <c r="I12">
        <v>2.6355499999999998</v>
      </c>
      <c r="J12">
        <v>0.69272500000000004</v>
      </c>
      <c r="K12">
        <v>1.575E-3</v>
      </c>
      <c r="M12" s="9">
        <f t="shared" si="0"/>
        <v>0.26283887613591095</v>
      </c>
      <c r="N12" s="9">
        <f t="shared" si="1"/>
        <v>5.9759822427956223E-4</v>
      </c>
      <c r="O12" s="117" t="s">
        <v>76</v>
      </c>
      <c r="P12" s="118">
        <f>MAX(M9:M100)</f>
        <v>0.26979208895581169</v>
      </c>
      <c r="Q12" s="118">
        <f>MAX(N9:N100)</f>
        <v>1.074263860689462E-3</v>
      </c>
    </row>
    <row r="13" spans="3:17">
      <c r="C13" s="2"/>
      <c r="D13" s="38">
        <v>850</v>
      </c>
      <c r="E13" s="155">
        <v>4.2222999999999997</v>
      </c>
      <c r="F13" s="155">
        <v>1.1027</v>
      </c>
      <c r="G13" s="155">
        <v>1.2200000000000001E-2</v>
      </c>
      <c r="I13">
        <v>4.2098999999999993</v>
      </c>
      <c r="J13">
        <v>1.0903</v>
      </c>
      <c r="K13">
        <v>2.1500000000000009E-3</v>
      </c>
      <c r="M13" s="9">
        <f t="shared" si="0"/>
        <v>0.25898477398513037</v>
      </c>
      <c r="N13" s="9">
        <f t="shared" si="1"/>
        <v>5.1070096676880715E-4</v>
      </c>
    </row>
    <row r="14" spans="3:17">
      <c r="D14" s="38">
        <v>750</v>
      </c>
      <c r="E14" s="155">
        <v>1.6111</v>
      </c>
      <c r="F14" s="155">
        <v>0.43690000000000001</v>
      </c>
      <c r="G14" s="155">
        <v>8.0999999999999996E-3</v>
      </c>
      <c r="I14">
        <v>1.6030249999999999</v>
      </c>
      <c r="J14">
        <v>0.42870000000000003</v>
      </c>
      <c r="K14">
        <v>9.2500000000000047E-4</v>
      </c>
      <c r="M14" s="9">
        <f t="shared" si="0"/>
        <v>0.26743188658941691</v>
      </c>
      <c r="N14" s="9">
        <f t="shared" si="1"/>
        <v>5.770340450086558E-4</v>
      </c>
    </row>
    <row r="15" spans="3:17">
      <c r="D15" s="38">
        <v>700</v>
      </c>
      <c r="E15" s="155">
        <v>0.96509999999999996</v>
      </c>
      <c r="F15" s="155">
        <v>0.26500000000000001</v>
      </c>
      <c r="G15" s="155">
        <v>7.0000000000000001E-3</v>
      </c>
      <c r="I15">
        <v>0.95814999999999995</v>
      </c>
      <c r="J15">
        <v>0.258025</v>
      </c>
      <c r="K15">
        <v>6.500000000000004E-4</v>
      </c>
      <c r="M15" s="9">
        <f t="shared" si="0"/>
        <v>0.26929499556436887</v>
      </c>
      <c r="N15" s="9">
        <f t="shared" si="1"/>
        <v>6.7839064864582831E-4</v>
      </c>
    </row>
    <row r="16" spans="3:17">
      <c r="D16" s="38">
        <v>750</v>
      </c>
      <c r="E16" s="155">
        <v>1.0291999999999999</v>
      </c>
      <c r="F16" s="155">
        <v>0.28000000000000003</v>
      </c>
      <c r="G16" s="155">
        <v>7.9000000000000008E-3</v>
      </c>
      <c r="I16">
        <v>1.0211249999999998</v>
      </c>
      <c r="J16">
        <v>0.27180000000000004</v>
      </c>
      <c r="K16">
        <v>7.2500000000000168E-4</v>
      </c>
      <c r="M16" s="9">
        <f t="shared" si="0"/>
        <v>0.26617701065001842</v>
      </c>
      <c r="N16" s="9">
        <f t="shared" si="1"/>
        <v>7.1000122414004337E-4</v>
      </c>
    </row>
    <row r="17" spans="3:14">
      <c r="C17" s="2"/>
      <c r="D17" s="38">
        <v>800</v>
      </c>
      <c r="E17" s="155">
        <v>1.6586000000000001</v>
      </c>
      <c r="F17" s="155">
        <v>0.4486</v>
      </c>
      <c r="G17" s="155">
        <v>9.2999999999999992E-3</v>
      </c>
      <c r="I17">
        <v>1.6487500000000002</v>
      </c>
      <c r="J17">
        <v>0.43872499999999998</v>
      </c>
      <c r="K17">
        <v>9.7499999999999844E-4</v>
      </c>
      <c r="M17" s="9">
        <f t="shared" si="0"/>
        <v>0.26609552691432897</v>
      </c>
      <c r="N17" s="9">
        <f t="shared" si="1"/>
        <v>5.9135708870356233E-4</v>
      </c>
    </row>
    <row r="18" spans="3:14">
      <c r="D18" s="38">
        <v>850</v>
      </c>
      <c r="E18" s="155">
        <v>2.6309</v>
      </c>
      <c r="F18" s="155">
        <v>0.70269999999999999</v>
      </c>
      <c r="G18" s="155">
        <v>1.18E-2</v>
      </c>
      <c r="I18">
        <v>2.6185</v>
      </c>
      <c r="J18">
        <v>0.69030000000000002</v>
      </c>
      <c r="K18">
        <v>1.7499999999999998E-3</v>
      </c>
      <c r="M18" s="9">
        <f t="shared" si="0"/>
        <v>0.26362421233530647</v>
      </c>
      <c r="N18" s="9">
        <f t="shared" si="1"/>
        <v>6.6832155814397552E-4</v>
      </c>
    </row>
    <row r="19" spans="3:14">
      <c r="D19" s="38">
        <v>900</v>
      </c>
      <c r="E19" s="155">
        <v>4.1064999999999996</v>
      </c>
      <c r="F19" s="155">
        <v>1.0785</v>
      </c>
      <c r="G19" s="155">
        <v>1.4500000000000001E-2</v>
      </c>
      <c r="I19">
        <v>4.0903499999999999</v>
      </c>
      <c r="J19">
        <v>1.0624750000000001</v>
      </c>
      <c r="K19">
        <v>2.1250000000000002E-3</v>
      </c>
      <c r="M19" s="9">
        <f t="shared" si="0"/>
        <v>0.25975161049787915</v>
      </c>
      <c r="N19" s="9">
        <f t="shared" si="1"/>
        <v>5.1951544488857923E-4</v>
      </c>
    </row>
    <row r="20" spans="3:14">
      <c r="C20" s="2"/>
      <c r="D20" s="38">
        <v>850</v>
      </c>
      <c r="E20" s="155">
        <v>1.3957999999999999</v>
      </c>
      <c r="F20" s="155">
        <v>0.38200000000000001</v>
      </c>
      <c r="G20" s="155">
        <v>1.14E-2</v>
      </c>
      <c r="I20">
        <v>1.3834</v>
      </c>
      <c r="J20">
        <v>0.36959999999999998</v>
      </c>
      <c r="K20">
        <v>1.3500000000000005E-3</v>
      </c>
      <c r="M20" s="9">
        <f t="shared" si="0"/>
        <v>0.26716784733265864</v>
      </c>
      <c r="N20" s="9">
        <f t="shared" si="1"/>
        <v>9.7585658522480882E-4</v>
      </c>
    </row>
    <row r="21" spans="3:14">
      <c r="D21" s="38">
        <v>900</v>
      </c>
      <c r="E21" s="155">
        <v>2.1345999999999998</v>
      </c>
      <c r="F21" s="155">
        <v>0.58009999999999995</v>
      </c>
      <c r="G21" s="155">
        <v>1.4500000000000001E-2</v>
      </c>
      <c r="I21">
        <v>2.1184499999999997</v>
      </c>
      <c r="J21">
        <v>0.56407499999999999</v>
      </c>
      <c r="K21">
        <v>2.1250000000000002E-3</v>
      </c>
      <c r="M21" s="9">
        <f t="shared" si="0"/>
        <v>0.26626779012957591</v>
      </c>
      <c r="N21" s="9">
        <f t="shared" si="1"/>
        <v>1.0030918832165028E-3</v>
      </c>
    </row>
    <row r="22" spans="3:14">
      <c r="D22" s="38">
        <v>950</v>
      </c>
      <c r="E22" s="155">
        <v>3.2519</v>
      </c>
      <c r="F22" s="155">
        <v>0.87339999999999995</v>
      </c>
      <c r="G22" s="155">
        <v>1.8599999999999998E-2</v>
      </c>
      <c r="I22">
        <v>3.230375</v>
      </c>
      <c r="J22">
        <v>0.85199999999999998</v>
      </c>
      <c r="K22">
        <v>2.7999999999999969E-3</v>
      </c>
      <c r="M22" s="9">
        <f t="shared" si="0"/>
        <v>0.26374646906318927</v>
      </c>
      <c r="N22" s="9">
        <f t="shared" si="1"/>
        <v>8.6677243354099664E-4</v>
      </c>
    </row>
    <row r="23" spans="3:14">
      <c r="D23" s="38">
        <v>1000</v>
      </c>
      <c r="E23" s="155">
        <v>4.8924000000000003</v>
      </c>
      <c r="F23" s="155">
        <v>1.2950999999999999</v>
      </c>
      <c r="G23" s="155">
        <v>2.53E-2</v>
      </c>
      <c r="I23">
        <v>4.8634500000000003</v>
      </c>
      <c r="J23">
        <v>1.2664</v>
      </c>
      <c r="K23">
        <v>4.725E-3</v>
      </c>
      <c r="M23" s="9">
        <f t="shared" si="0"/>
        <v>0.26039128602124006</v>
      </c>
      <c r="N23" s="9">
        <f t="shared" si="1"/>
        <v>9.7153255405113645E-4</v>
      </c>
    </row>
    <row r="24" spans="3:14">
      <c r="D24" s="38">
        <v>800</v>
      </c>
      <c r="E24" s="155">
        <v>0.87319999999999998</v>
      </c>
      <c r="F24" s="155">
        <v>0.24279999999999999</v>
      </c>
      <c r="G24" s="155">
        <v>9.1999999999999998E-3</v>
      </c>
      <c r="I24">
        <v>0.86334999999999995</v>
      </c>
      <c r="J24">
        <v>0.23292499999999999</v>
      </c>
      <c r="K24">
        <v>8.7499999999999904E-4</v>
      </c>
      <c r="M24" s="9">
        <f t="shared" si="0"/>
        <v>0.26979208895581169</v>
      </c>
      <c r="N24" s="9">
        <f t="shared" si="1"/>
        <v>1.013493947993281E-3</v>
      </c>
    </row>
    <row r="25" spans="3:14">
      <c r="C25" s="2"/>
      <c r="D25" s="38">
        <v>800</v>
      </c>
      <c r="E25" s="155">
        <v>1.6274999999999999</v>
      </c>
      <c r="F25" s="155">
        <v>0.43990000000000001</v>
      </c>
      <c r="G25" s="155">
        <v>0.01</v>
      </c>
      <c r="I25">
        <v>1.61765</v>
      </c>
      <c r="J25">
        <v>0.43002499999999999</v>
      </c>
      <c r="K25">
        <v>1.6749999999999994E-3</v>
      </c>
      <c r="M25" s="9">
        <f t="shared" si="0"/>
        <v>0.26583315303063082</v>
      </c>
      <c r="N25" s="9">
        <f t="shared" si="1"/>
        <v>1.0354526628133399E-3</v>
      </c>
    </row>
    <row r="26" spans="3:14">
      <c r="D26" s="38">
        <v>850</v>
      </c>
      <c r="E26" s="155">
        <v>2.5424000000000002</v>
      </c>
      <c r="F26" s="155">
        <v>0.6835</v>
      </c>
      <c r="G26" s="155">
        <v>1.26E-2</v>
      </c>
      <c r="I26">
        <v>2.5300000000000002</v>
      </c>
      <c r="J26">
        <v>0.67110000000000003</v>
      </c>
      <c r="K26">
        <v>2.5500000000000002E-3</v>
      </c>
      <c r="M26" s="9">
        <f t="shared" si="0"/>
        <v>0.26525691699604742</v>
      </c>
      <c r="N26" s="9">
        <f t="shared" si="1"/>
        <v>1.007905138339921E-3</v>
      </c>
    </row>
    <row r="27" spans="3:14">
      <c r="D27" s="38">
        <v>900</v>
      </c>
      <c r="E27" s="155">
        <v>3.9466999999999999</v>
      </c>
      <c r="F27" s="155">
        <v>1.0465</v>
      </c>
      <c r="G27" s="155">
        <v>1.6400000000000001E-2</v>
      </c>
      <c r="I27">
        <v>3.9305499999999998</v>
      </c>
      <c r="J27">
        <v>1.030475</v>
      </c>
      <c r="K27">
        <v>4.0250000000000008E-3</v>
      </c>
      <c r="M27" s="9">
        <f t="shared" si="0"/>
        <v>0.26217068858047859</v>
      </c>
      <c r="N27" s="9">
        <f t="shared" si="1"/>
        <v>1.0240297159430616E-3</v>
      </c>
    </row>
    <row r="28" spans="3:14">
      <c r="D28" s="38">
        <v>950</v>
      </c>
      <c r="E28" s="155">
        <v>6.0692000000000004</v>
      </c>
      <c r="F28" s="155">
        <v>1.5762</v>
      </c>
      <c r="G28" s="155">
        <v>2.1299999999999999E-2</v>
      </c>
      <c r="I28">
        <v>6.0476750000000008</v>
      </c>
      <c r="J28">
        <v>1.5548</v>
      </c>
      <c r="K28">
        <v>5.4999999999999979E-3</v>
      </c>
      <c r="M28" s="9">
        <f t="shared" si="0"/>
        <v>0.25709053479229615</v>
      </c>
      <c r="N28" s="9">
        <f t="shared" si="1"/>
        <v>9.094404047836561E-4</v>
      </c>
    </row>
    <row r="29" spans="3:14">
      <c r="C29" s="2"/>
      <c r="D29" s="38">
        <v>750</v>
      </c>
      <c r="E29" s="155">
        <v>0.98009999999999997</v>
      </c>
      <c r="F29" s="155">
        <v>0.26979999999999998</v>
      </c>
      <c r="G29" s="155">
        <v>8.2000000000000007E-3</v>
      </c>
      <c r="I29">
        <v>0.97202499999999992</v>
      </c>
      <c r="J29">
        <v>0.2616</v>
      </c>
      <c r="K29">
        <v>1.0250000000000016E-3</v>
      </c>
      <c r="M29" s="9">
        <f t="shared" si="0"/>
        <v>0.26912888043003014</v>
      </c>
      <c r="N29" s="9">
        <f t="shared" si="1"/>
        <v>1.0544996270672067E-3</v>
      </c>
    </row>
    <row r="30" spans="3:14">
      <c r="D30" s="38">
        <v>850</v>
      </c>
      <c r="E30" s="155">
        <v>1.0138</v>
      </c>
      <c r="F30" s="155">
        <v>0.2747</v>
      </c>
      <c r="G30" s="155">
        <v>1.0999999999999999E-2</v>
      </c>
      <c r="I30">
        <v>1.0014000000000001</v>
      </c>
      <c r="J30">
        <v>0.26229999999999998</v>
      </c>
      <c r="K30">
        <v>9.4999999999999946E-4</v>
      </c>
      <c r="M30" s="9">
        <f t="shared" si="0"/>
        <v>0.26193329338925503</v>
      </c>
      <c r="N30" s="9">
        <f t="shared" si="1"/>
        <v>9.4867185939684383E-4</v>
      </c>
    </row>
    <row r="31" spans="3:14">
      <c r="D31" s="61">
        <v>900</v>
      </c>
      <c r="E31" s="154">
        <v>1.5468</v>
      </c>
      <c r="F31" s="154">
        <v>0.41839999999999999</v>
      </c>
      <c r="G31" s="154">
        <v>1.4E-2</v>
      </c>
      <c r="I31">
        <v>1.5306499999999998</v>
      </c>
      <c r="J31">
        <v>0.40237499999999998</v>
      </c>
      <c r="K31">
        <v>1.6249999999999997E-3</v>
      </c>
      <c r="M31" s="9">
        <f t="shared" si="0"/>
        <v>0.2628785156632803</v>
      </c>
      <c r="N31" s="9">
        <f t="shared" si="1"/>
        <v>1.061640479534838E-3</v>
      </c>
    </row>
    <row r="32" spans="3:14">
      <c r="D32" s="61">
        <v>950</v>
      </c>
      <c r="E32" s="154">
        <v>2.3487</v>
      </c>
      <c r="F32" s="154">
        <v>0.62549999999999994</v>
      </c>
      <c r="G32" s="154">
        <v>1.83E-2</v>
      </c>
      <c r="I32">
        <v>2.327175</v>
      </c>
      <c r="J32">
        <v>0.60409999999999997</v>
      </c>
      <c r="K32">
        <v>2.4999999999999988E-3</v>
      </c>
      <c r="M32" s="9">
        <f t="shared" si="0"/>
        <v>0.25958511929700173</v>
      </c>
      <c r="N32" s="9">
        <f t="shared" si="1"/>
        <v>1.074263860689462E-3</v>
      </c>
    </row>
    <row r="33" spans="4:14">
      <c r="D33" s="61">
        <v>1000</v>
      </c>
      <c r="E33" s="154">
        <v>3.5278999999999998</v>
      </c>
      <c r="F33" s="154">
        <v>0.92379999999999995</v>
      </c>
      <c r="G33" s="154">
        <v>2.4199999999999999E-2</v>
      </c>
      <c r="I33">
        <v>3.4989499999999998</v>
      </c>
      <c r="J33">
        <v>0.89510000000000001</v>
      </c>
      <c r="K33">
        <v>3.6249999999999998E-3</v>
      </c>
      <c r="M33" s="9">
        <f t="shared" ref="M33:M34" si="2">J33/I33</f>
        <v>0.25581960302376427</v>
      </c>
      <c r="N33" s="9">
        <f t="shared" si="1"/>
        <v>1.0360250932422584E-3</v>
      </c>
    </row>
    <row r="34" spans="4:14">
      <c r="D34" s="61">
        <v>1050</v>
      </c>
      <c r="E34" s="154">
        <v>5.1769999999999996</v>
      </c>
      <c r="F34" s="154">
        <v>1.3440000000000001</v>
      </c>
      <c r="G34" s="154">
        <v>3.2099999999999997E-2</v>
      </c>
      <c r="I34">
        <v>5.1376499999999998</v>
      </c>
      <c r="J34">
        <v>1.3043500000000001</v>
      </c>
      <c r="K34">
        <v>4.1999999999999954E-3</v>
      </c>
      <c r="M34" s="9">
        <f t="shared" si="2"/>
        <v>0.25388066528471193</v>
      </c>
      <c r="N34" s="9">
        <f t="shared" si="1"/>
        <v>8.1749437972613854E-4</v>
      </c>
    </row>
    <row r="35" spans="4:14">
      <c r="D35" s="61"/>
      <c r="E35" s="61"/>
      <c r="F35" s="61"/>
      <c r="G35" s="61"/>
      <c r="M35" s="9"/>
    </row>
    <row r="36" spans="4:14">
      <c r="D36" s="61"/>
      <c r="E36" s="61"/>
      <c r="F36" s="61"/>
      <c r="G36" s="61"/>
      <c r="M36" s="9"/>
    </row>
    <row r="37" spans="4:14">
      <c r="D37" s="61"/>
      <c r="E37" s="61"/>
      <c r="F37" s="61"/>
      <c r="G37" s="61"/>
      <c r="M37" s="9"/>
    </row>
    <row r="38" spans="4:14">
      <c r="D38" s="61"/>
      <c r="E38" s="61"/>
      <c r="F38" s="61"/>
      <c r="G38" s="61"/>
      <c r="M38" s="9"/>
    </row>
    <row r="39" spans="4:14">
      <c r="D39" s="61"/>
      <c r="E39" s="61"/>
      <c r="F39" s="61"/>
      <c r="G39" s="61"/>
      <c r="M39" s="9"/>
    </row>
    <row r="40" spans="4:14">
      <c r="M40" s="9"/>
    </row>
    <row r="41" spans="4:14">
      <c r="M41" s="9"/>
    </row>
    <row r="42" spans="4:14">
      <c r="M42" s="9"/>
    </row>
    <row r="43" spans="4:14">
      <c r="M43" s="9"/>
    </row>
  </sheetData>
  <pageMargins left="0.7" right="0.7" top="0.78740157499999996" bottom="0.78740157499999996" header="0.3" footer="0.3"/>
  <pageSetup scale="52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  <pageSetUpPr fitToPage="1"/>
  </sheetPr>
  <dimension ref="C6:P48"/>
  <sheetViews>
    <sheetView topLeftCell="A4" workbookViewId="0">
      <selection activeCell="Q20" sqref="Q20"/>
    </sheetView>
  </sheetViews>
  <sheetFormatPr baseColWidth="10" defaultColWidth="11.5" defaultRowHeight="14" x14ac:dyDescent="0"/>
  <cols>
    <col min="3" max="3" width="11.5" style="2"/>
  </cols>
  <sheetData>
    <row r="6" spans="3:16">
      <c r="D6" s="1" t="s">
        <v>10</v>
      </c>
      <c r="I6" s="1" t="s">
        <v>81</v>
      </c>
    </row>
    <row r="8" spans="3:16" ht="16">
      <c r="D8" s="107" t="s">
        <v>15</v>
      </c>
      <c r="E8" s="107" t="s">
        <v>0</v>
      </c>
      <c r="F8" s="107" t="s">
        <v>1</v>
      </c>
      <c r="G8" s="107" t="s">
        <v>2</v>
      </c>
      <c r="H8" s="8"/>
      <c r="I8" s="107" t="s">
        <v>0</v>
      </c>
      <c r="J8" s="107" t="s">
        <v>1</v>
      </c>
      <c r="K8" s="107" t="s">
        <v>2</v>
      </c>
      <c r="L8" s="8"/>
      <c r="M8" s="107" t="s">
        <v>77</v>
      </c>
      <c r="P8" s="107" t="s">
        <v>127</v>
      </c>
    </row>
    <row r="9" spans="3:16">
      <c r="C9" s="108"/>
      <c r="D9" s="61">
        <v>750</v>
      </c>
      <c r="E9" s="61">
        <v>1.09E-2</v>
      </c>
      <c r="F9" s="61">
        <v>0.12130000000000001</v>
      </c>
      <c r="G9" s="61">
        <v>3.4683999999999999</v>
      </c>
      <c r="I9">
        <v>2.8249999999999994E-3</v>
      </c>
      <c r="J9">
        <v>0.11310000000000001</v>
      </c>
      <c r="K9">
        <v>3.4612249999999998</v>
      </c>
      <c r="M9" s="9">
        <f>J9/K9</f>
        <v>3.2676292353140873E-2</v>
      </c>
      <c r="O9" s="117" t="s">
        <v>18</v>
      </c>
      <c r="P9" s="118">
        <f>AVERAGE(M9:M100)</f>
        <v>3.4755410728791937E-2</v>
      </c>
    </row>
    <row r="10" spans="3:16">
      <c r="C10" s="108"/>
      <c r="D10" s="61">
        <v>650</v>
      </c>
      <c r="E10" s="61">
        <v>7.3000000000000001E-3</v>
      </c>
      <c r="F10" s="61">
        <v>4.58E-2</v>
      </c>
      <c r="G10" s="61">
        <v>1.1718</v>
      </c>
      <c r="I10">
        <v>1.1000000000000003E-3</v>
      </c>
      <c r="J10">
        <v>3.9625E-2</v>
      </c>
      <c r="K10">
        <v>1.1659999999999999</v>
      </c>
      <c r="M10" s="9">
        <f t="shared" ref="M10:M37" si="0">J10/K10</f>
        <v>3.3983704974271015E-2</v>
      </c>
      <c r="O10" s="117" t="s">
        <v>19</v>
      </c>
      <c r="P10" s="118">
        <f>STDEV(M9:M100)/SQRT(COUNT(M9:M100))</f>
        <v>1.5797967640800129E-4</v>
      </c>
    </row>
    <row r="11" spans="3:16">
      <c r="C11" s="108"/>
      <c r="D11" s="61">
        <v>700</v>
      </c>
      <c r="E11" s="61">
        <v>8.6999999999999994E-3</v>
      </c>
      <c r="F11" s="61">
        <v>7.4800000000000005E-2</v>
      </c>
      <c r="G11" s="61">
        <v>2.0251999999999999</v>
      </c>
      <c r="I11">
        <v>1.7499999999999998E-3</v>
      </c>
      <c r="J11">
        <v>6.782500000000001E-2</v>
      </c>
      <c r="K11">
        <v>2.01885</v>
      </c>
      <c r="M11" s="9">
        <f t="shared" si="0"/>
        <v>3.3595859028654931E-2</v>
      </c>
      <c r="O11" s="117" t="s">
        <v>75</v>
      </c>
      <c r="P11" s="118">
        <f>MIN(M9:M100)</f>
        <v>3.2676292353140873E-2</v>
      </c>
    </row>
    <row r="12" spans="3:16">
      <c r="C12" s="108"/>
      <c r="D12" s="38">
        <v>600</v>
      </c>
      <c r="E12" s="38">
        <v>6.4000000000000003E-3</v>
      </c>
      <c r="F12" s="38">
        <v>2.75E-2</v>
      </c>
      <c r="G12" s="38">
        <v>0.64119999999999999</v>
      </c>
      <c r="I12">
        <v>6.500000000000004E-4</v>
      </c>
      <c r="J12">
        <v>2.1749999999999999E-2</v>
      </c>
      <c r="K12">
        <v>0.63572499999999998</v>
      </c>
      <c r="M12" s="9">
        <f t="shared" si="0"/>
        <v>3.4212906524047348E-2</v>
      </c>
      <c r="O12" s="117" t="s">
        <v>76</v>
      </c>
      <c r="P12" s="118">
        <f>MAX(M9:M100)</f>
        <v>3.6215763664633416E-2</v>
      </c>
    </row>
    <row r="13" spans="3:16">
      <c r="C13" s="108"/>
      <c r="D13" s="38">
        <v>900</v>
      </c>
      <c r="E13" s="38">
        <v>1.7999999999999999E-2</v>
      </c>
      <c r="F13" s="38">
        <v>9.1700000000000004E-2</v>
      </c>
      <c r="G13" s="38">
        <v>2.1947000000000001</v>
      </c>
      <c r="I13">
        <v>1.8499999999999975E-3</v>
      </c>
      <c r="J13">
        <v>7.5675000000000006E-2</v>
      </c>
      <c r="K13">
        <v>2.1823250000000001</v>
      </c>
      <c r="M13" s="9">
        <f t="shared" si="0"/>
        <v>3.467631997983802E-2</v>
      </c>
    </row>
    <row r="14" spans="3:16">
      <c r="C14" s="108"/>
      <c r="D14" s="38">
        <v>850</v>
      </c>
      <c r="E14" s="38">
        <v>1.3599999999999999E-2</v>
      </c>
      <c r="F14" s="38">
        <v>6.1400000000000003E-2</v>
      </c>
      <c r="G14" s="38">
        <v>1.4119999999999999</v>
      </c>
      <c r="I14">
        <v>1.1999999999999997E-3</v>
      </c>
      <c r="J14">
        <v>4.9000000000000002E-2</v>
      </c>
      <c r="K14">
        <v>1.40195</v>
      </c>
      <c r="M14" s="9">
        <f t="shared" si="0"/>
        <v>3.4951317807339774E-2</v>
      </c>
    </row>
    <row r="15" spans="3:16">
      <c r="C15" s="108"/>
      <c r="D15" s="38">
        <v>950</v>
      </c>
      <c r="E15" s="38">
        <v>2.4E-2</v>
      </c>
      <c r="F15" s="38">
        <v>0.1333</v>
      </c>
      <c r="G15" s="38">
        <v>3.2995999999999999</v>
      </c>
      <c r="I15">
        <v>2.4750000000000015E-3</v>
      </c>
      <c r="J15">
        <v>0.1119</v>
      </c>
      <c r="K15">
        <v>3.2837999999999998</v>
      </c>
      <c r="M15" s="9">
        <f t="shared" si="0"/>
        <v>3.4076374931481822E-2</v>
      </c>
    </row>
    <row r="16" spans="3:16">
      <c r="C16" s="108"/>
      <c r="D16" s="38">
        <v>800</v>
      </c>
      <c r="E16" s="38">
        <v>5.7999999999999996E-3</v>
      </c>
      <c r="F16" s="38">
        <v>9.0700000000000003E-2</v>
      </c>
      <c r="G16" s="38">
        <v>2.355</v>
      </c>
      <c r="I16">
        <v>-4.0500000000000015E-3</v>
      </c>
      <c r="J16">
        <v>8.0825000000000008E-2</v>
      </c>
      <c r="K16">
        <v>2.3466749999999998</v>
      </c>
      <c r="M16" s="9">
        <f t="shared" si="0"/>
        <v>3.4442349281430112E-2</v>
      </c>
    </row>
    <row r="17" spans="3:13">
      <c r="C17" s="108"/>
      <c r="D17" s="38">
        <v>750</v>
      </c>
      <c r="E17" s="38">
        <v>0.01</v>
      </c>
      <c r="F17" s="38">
        <v>5.74E-2</v>
      </c>
      <c r="G17" s="38">
        <v>1.4359999999999999</v>
      </c>
      <c r="I17">
        <v>1.9249999999999996E-3</v>
      </c>
      <c r="J17">
        <v>4.9200000000000001E-2</v>
      </c>
      <c r="K17">
        <v>1.428825</v>
      </c>
      <c r="M17" s="9">
        <f t="shared" si="0"/>
        <v>3.4433887984882686E-2</v>
      </c>
    </row>
    <row r="18" spans="3:13">
      <c r="C18" s="108"/>
      <c r="D18" s="38">
        <v>850</v>
      </c>
      <c r="E18" s="38">
        <v>1.66E-2</v>
      </c>
      <c r="F18" s="38">
        <v>0.1386</v>
      </c>
      <c r="G18" s="38">
        <v>3.7303999999999999</v>
      </c>
      <c r="I18">
        <v>4.2000000000000006E-3</v>
      </c>
      <c r="J18">
        <v>0.12620000000000001</v>
      </c>
      <c r="K18">
        <v>3.7203499999999998</v>
      </c>
      <c r="M18" s="9">
        <f t="shared" si="0"/>
        <v>3.3921539640087629E-2</v>
      </c>
    </row>
    <row r="19" spans="3:13">
      <c r="C19" s="108"/>
      <c r="D19" s="38">
        <v>750</v>
      </c>
      <c r="E19" s="38">
        <v>8.6999999999999994E-3</v>
      </c>
      <c r="F19" s="38">
        <v>4.4699999999999997E-2</v>
      </c>
      <c r="G19" s="38">
        <v>1.0488999999999999</v>
      </c>
      <c r="I19">
        <v>6.2499999999999882E-4</v>
      </c>
      <c r="J19">
        <v>3.6499999999999998E-2</v>
      </c>
      <c r="K19">
        <v>1.041725</v>
      </c>
      <c r="M19" s="9">
        <f t="shared" si="0"/>
        <v>3.5038037869879281E-2</v>
      </c>
    </row>
    <row r="20" spans="3:13">
      <c r="C20" s="108"/>
      <c r="D20" s="38">
        <v>800</v>
      </c>
      <c r="E20" s="38">
        <v>1.0500000000000001E-2</v>
      </c>
      <c r="F20" s="38">
        <v>6.83E-2</v>
      </c>
      <c r="G20" s="38">
        <v>1.6964999999999999</v>
      </c>
      <c r="I20">
        <v>6.4999999999999954E-4</v>
      </c>
      <c r="J20">
        <v>5.8424999999999998E-2</v>
      </c>
      <c r="K20">
        <v>1.688175</v>
      </c>
      <c r="M20" s="9">
        <f t="shared" si="0"/>
        <v>3.4608378870673952E-2</v>
      </c>
    </row>
    <row r="21" spans="3:13">
      <c r="C21" s="108"/>
      <c r="D21" s="38">
        <v>850</v>
      </c>
      <c r="E21" s="38">
        <v>1.32E-2</v>
      </c>
      <c r="F21" s="38">
        <v>0.10349999999999999</v>
      </c>
      <c r="G21" s="38">
        <v>2.6877</v>
      </c>
      <c r="I21">
        <v>8.0000000000000036E-4</v>
      </c>
      <c r="J21">
        <v>9.1099999999999987E-2</v>
      </c>
      <c r="K21">
        <v>2.6776499999999999</v>
      </c>
      <c r="M21" s="9">
        <f t="shared" si="0"/>
        <v>3.4022370362071216E-2</v>
      </c>
    </row>
    <row r="22" spans="3:13">
      <c r="C22" s="108"/>
      <c r="D22" s="38">
        <v>900</v>
      </c>
      <c r="E22" s="38">
        <v>1.77E-2</v>
      </c>
      <c r="F22" s="38">
        <v>0.1555</v>
      </c>
      <c r="G22" s="38">
        <v>4.1817000000000002</v>
      </c>
      <c r="I22">
        <v>1.5499999999999993E-3</v>
      </c>
      <c r="J22">
        <v>0.13947500000000002</v>
      </c>
      <c r="K22">
        <v>4.1693250000000006</v>
      </c>
      <c r="M22" s="9">
        <f t="shared" si="0"/>
        <v>3.3452657204703397E-2</v>
      </c>
    </row>
    <row r="23" spans="3:13">
      <c r="C23" s="108"/>
      <c r="D23" s="38">
        <v>650</v>
      </c>
      <c r="E23" s="38">
        <v>6.7999999999999996E-3</v>
      </c>
      <c r="F23" s="38">
        <v>2.9700000000000001E-2</v>
      </c>
      <c r="G23" s="38">
        <v>0.67220000000000002</v>
      </c>
      <c r="I23">
        <v>5.9999999999999984E-4</v>
      </c>
      <c r="J23">
        <v>2.3525000000000001E-2</v>
      </c>
      <c r="K23">
        <v>0.66639999999999999</v>
      </c>
      <c r="M23" s="9">
        <f t="shared" si="0"/>
        <v>3.5301620648259306E-2</v>
      </c>
    </row>
    <row r="24" spans="3:13">
      <c r="C24" s="108"/>
      <c r="D24" s="38">
        <v>700</v>
      </c>
      <c r="E24" s="38">
        <v>7.7999999999999996E-3</v>
      </c>
      <c r="F24" s="38">
        <v>4.7300000000000002E-2</v>
      </c>
      <c r="G24" s="38">
        <v>1.1525000000000001</v>
      </c>
      <c r="I24">
        <v>8.5000000000000006E-4</v>
      </c>
      <c r="J24">
        <v>4.0325E-2</v>
      </c>
      <c r="K24">
        <v>1.14615</v>
      </c>
      <c r="M24" s="9">
        <f t="shared" si="0"/>
        <v>3.5183003969811978E-2</v>
      </c>
    </row>
    <row r="25" spans="3:13">
      <c r="C25" s="108"/>
      <c r="D25" s="38">
        <v>750</v>
      </c>
      <c r="E25" s="38">
        <v>9.4000000000000004E-3</v>
      </c>
      <c r="F25" s="38">
        <v>7.4899999999999994E-2</v>
      </c>
      <c r="G25" s="38">
        <v>1.9242999999999999</v>
      </c>
      <c r="I25">
        <v>1.3249999999999998E-3</v>
      </c>
      <c r="J25">
        <v>6.6699999999999995E-2</v>
      </c>
      <c r="K25">
        <v>1.917125</v>
      </c>
      <c r="M25" s="9">
        <f t="shared" si="0"/>
        <v>3.4791680250374907E-2</v>
      </c>
    </row>
    <row r="26" spans="3:13">
      <c r="C26" s="108"/>
      <c r="D26" s="38">
        <v>800</v>
      </c>
      <c r="E26" s="38">
        <v>1.17E-2</v>
      </c>
      <c r="F26" s="38">
        <v>0.1164</v>
      </c>
      <c r="G26" s="38">
        <v>3.1408</v>
      </c>
      <c r="I26">
        <v>1.8499999999999992E-3</v>
      </c>
      <c r="J26">
        <v>0.10652500000000001</v>
      </c>
      <c r="K26">
        <v>3.1324749999999999</v>
      </c>
      <c r="M26" s="9">
        <f t="shared" si="0"/>
        <v>3.4006656078659853E-2</v>
      </c>
    </row>
    <row r="27" spans="3:13">
      <c r="C27" s="108"/>
      <c r="D27" s="38">
        <v>700</v>
      </c>
      <c r="E27" s="38">
        <v>1.03E-2</v>
      </c>
      <c r="F27" s="38">
        <v>4.0399999999999998E-2</v>
      </c>
      <c r="G27" s="38">
        <v>0.9304</v>
      </c>
      <c r="I27">
        <v>3.3500000000000005E-3</v>
      </c>
      <c r="J27">
        <v>3.3424999999999996E-2</v>
      </c>
      <c r="K27">
        <v>0.92405000000000004</v>
      </c>
      <c r="M27" s="9">
        <f t="shared" si="0"/>
        <v>3.6172285049510304E-2</v>
      </c>
    </row>
    <row r="28" spans="3:13">
      <c r="C28" s="108"/>
      <c r="D28" s="38">
        <v>750</v>
      </c>
      <c r="E28" s="38">
        <v>1.3299999999999999E-2</v>
      </c>
      <c r="F28" s="38">
        <v>6.3700000000000007E-2</v>
      </c>
      <c r="G28" s="38">
        <v>1.5537000000000001</v>
      </c>
      <c r="I28">
        <v>5.2249999999999987E-3</v>
      </c>
      <c r="J28">
        <v>5.5500000000000008E-2</v>
      </c>
      <c r="K28">
        <v>1.5465250000000001</v>
      </c>
      <c r="M28" s="9">
        <f t="shared" si="0"/>
        <v>3.5886907744782662E-2</v>
      </c>
    </row>
    <row r="29" spans="3:13">
      <c r="C29" s="108"/>
      <c r="D29" s="38">
        <v>800</v>
      </c>
      <c r="E29" s="38">
        <v>1.8200000000000001E-2</v>
      </c>
      <c r="F29" s="38">
        <v>9.8900000000000002E-2</v>
      </c>
      <c r="G29" s="38">
        <v>2.5274999999999999</v>
      </c>
      <c r="I29">
        <v>8.3499999999999998E-3</v>
      </c>
      <c r="J29">
        <v>8.9025000000000007E-2</v>
      </c>
      <c r="K29">
        <v>2.5191749999999997</v>
      </c>
      <c r="M29" s="9">
        <f t="shared" si="0"/>
        <v>3.533895025157046E-2</v>
      </c>
    </row>
    <row r="30" spans="3:13">
      <c r="C30" s="108"/>
      <c r="D30" s="38">
        <v>850</v>
      </c>
      <c r="E30" s="38">
        <v>2.53E-2</v>
      </c>
      <c r="F30" s="38">
        <v>0.15190000000000001</v>
      </c>
      <c r="G30" s="38">
        <v>4.0277000000000003</v>
      </c>
      <c r="I30">
        <v>1.29E-2</v>
      </c>
      <c r="J30">
        <v>0.13950000000000001</v>
      </c>
      <c r="K30">
        <v>4.0176500000000006</v>
      </c>
      <c r="M30" s="9">
        <f t="shared" si="0"/>
        <v>3.4721790101178547E-2</v>
      </c>
    </row>
    <row r="31" spans="3:13">
      <c r="C31" s="108"/>
      <c r="D31" s="38">
        <v>850</v>
      </c>
      <c r="E31" s="38">
        <v>1.38E-2</v>
      </c>
      <c r="F31" s="38">
        <v>4.53E-2</v>
      </c>
      <c r="G31" s="38">
        <v>0.92210000000000003</v>
      </c>
      <c r="I31">
        <v>1.4000000000000002E-3</v>
      </c>
      <c r="J31">
        <v>3.2899999999999999E-2</v>
      </c>
      <c r="K31">
        <v>0.91205000000000003</v>
      </c>
      <c r="M31" s="9">
        <f t="shared" si="0"/>
        <v>3.6072583739926535E-2</v>
      </c>
    </row>
    <row r="32" spans="3:13">
      <c r="C32" s="108"/>
      <c r="D32" s="38">
        <v>900</v>
      </c>
      <c r="E32" s="38">
        <v>1.83E-2</v>
      </c>
      <c r="F32" s="38">
        <v>6.5500000000000003E-2</v>
      </c>
      <c r="G32" s="38">
        <v>1.4154</v>
      </c>
      <c r="I32">
        <v>2.1499999999999991E-3</v>
      </c>
      <c r="J32">
        <v>4.9475000000000005E-2</v>
      </c>
      <c r="K32">
        <v>1.403025</v>
      </c>
      <c r="M32" s="9">
        <f t="shared" si="0"/>
        <v>3.5263092247108926E-2</v>
      </c>
    </row>
    <row r="33" spans="3:13">
      <c r="C33" s="108"/>
      <c r="D33" s="38">
        <v>950</v>
      </c>
      <c r="E33" s="38">
        <v>2.4E-2</v>
      </c>
      <c r="F33" s="38">
        <v>9.5899999999999999E-2</v>
      </c>
      <c r="G33" s="38">
        <v>2.1316000000000002</v>
      </c>
      <c r="I33">
        <v>2.4750000000000015E-3</v>
      </c>
      <c r="J33">
        <v>7.4500000000000011E-2</v>
      </c>
      <c r="K33">
        <v>2.1158000000000001</v>
      </c>
      <c r="M33" s="9">
        <f t="shared" si="0"/>
        <v>3.5211267605633804E-2</v>
      </c>
    </row>
    <row r="34" spans="3:13">
      <c r="C34" s="108"/>
      <c r="D34" s="38">
        <v>1000</v>
      </c>
      <c r="E34" s="38">
        <v>3.3300000000000003E-2</v>
      </c>
      <c r="F34" s="38">
        <v>0.14000000000000001</v>
      </c>
      <c r="G34" s="38">
        <v>3.1913</v>
      </c>
      <c r="I34">
        <v>4.3500000000000032E-3</v>
      </c>
      <c r="J34">
        <v>0.11130000000000001</v>
      </c>
      <c r="K34">
        <v>3.170725</v>
      </c>
      <c r="M34" s="9">
        <f t="shared" si="0"/>
        <v>3.5102381947346432E-2</v>
      </c>
    </row>
    <row r="35" spans="3:13">
      <c r="C35" s="108"/>
      <c r="D35" s="38">
        <v>600</v>
      </c>
      <c r="E35" s="38">
        <v>7.6E-3</v>
      </c>
      <c r="F35" s="38">
        <v>4.36E-2</v>
      </c>
      <c r="G35" s="38">
        <v>1.0506</v>
      </c>
      <c r="I35">
        <v>1.8500000000000001E-3</v>
      </c>
      <c r="J35">
        <v>3.7850000000000002E-2</v>
      </c>
      <c r="K35">
        <v>1.0451250000000001</v>
      </c>
      <c r="M35" s="9">
        <f t="shared" si="0"/>
        <v>3.6215763664633416E-2</v>
      </c>
    </row>
    <row r="36" spans="3:13">
      <c r="C36" s="108"/>
      <c r="D36" s="38">
        <v>650</v>
      </c>
      <c r="E36" s="38">
        <v>9.4999999999999998E-3</v>
      </c>
      <c r="F36" s="38">
        <v>7.3800000000000004E-2</v>
      </c>
      <c r="G36" s="38">
        <v>1.9018999999999999</v>
      </c>
      <c r="I36">
        <v>3.3E-3</v>
      </c>
      <c r="J36">
        <v>6.7625000000000005E-2</v>
      </c>
      <c r="K36">
        <v>1.8960999999999999</v>
      </c>
      <c r="M36" s="9">
        <f t="shared" si="0"/>
        <v>3.5665313010917153E-2</v>
      </c>
    </row>
    <row r="37" spans="3:13">
      <c r="C37" s="108"/>
      <c r="D37" s="38">
        <v>700</v>
      </c>
      <c r="E37" s="38">
        <v>1.2500000000000001E-2</v>
      </c>
      <c r="F37" s="38">
        <v>0.1227</v>
      </c>
      <c r="G37" s="38">
        <v>3.3239999999999998</v>
      </c>
      <c r="I37">
        <v>5.5500000000000011E-3</v>
      </c>
      <c r="J37">
        <v>0.11572500000000001</v>
      </c>
      <c r="K37">
        <v>3.31765</v>
      </c>
      <c r="M37" s="9">
        <f t="shared" si="0"/>
        <v>3.4881618012749992E-2</v>
      </c>
    </row>
    <row r="38" spans="3:13">
      <c r="C38" s="108"/>
      <c r="D38" s="38"/>
      <c r="E38" s="38"/>
      <c r="F38" s="38"/>
      <c r="G38" s="38"/>
      <c r="M38" s="9"/>
    </row>
    <row r="39" spans="3:13">
      <c r="C39" s="108"/>
      <c r="D39" s="38"/>
      <c r="E39" s="38"/>
      <c r="F39" s="38"/>
      <c r="G39" s="38"/>
      <c r="M39" s="9"/>
    </row>
    <row r="40" spans="3:13">
      <c r="C40" s="108"/>
      <c r="D40" s="38"/>
      <c r="E40" s="38"/>
      <c r="F40" s="38"/>
      <c r="G40" s="38"/>
      <c r="M40" s="9"/>
    </row>
    <row r="41" spans="3:13">
      <c r="C41" s="108"/>
      <c r="D41" s="38"/>
      <c r="E41" s="38"/>
      <c r="F41" s="38"/>
      <c r="G41" s="38"/>
      <c r="M41" s="9"/>
    </row>
    <row r="42" spans="3:13">
      <c r="C42" s="108"/>
      <c r="D42" s="38"/>
      <c r="E42" s="38"/>
      <c r="F42" s="38"/>
      <c r="G42" s="38"/>
      <c r="M42" s="9"/>
    </row>
    <row r="43" spans="3:13">
      <c r="C43" s="108"/>
      <c r="D43" s="7"/>
      <c r="E43" s="7"/>
      <c r="F43" s="7"/>
      <c r="G43" s="7"/>
      <c r="M43" s="9"/>
    </row>
    <row r="44" spans="3:13">
      <c r="C44" s="108"/>
      <c r="D44" s="7"/>
      <c r="E44" s="7"/>
      <c r="F44" s="7"/>
      <c r="G44" s="7"/>
      <c r="M44" s="9"/>
    </row>
    <row r="45" spans="3:13">
      <c r="C45" s="108"/>
      <c r="D45" s="7"/>
      <c r="E45" s="7"/>
      <c r="F45" s="7"/>
      <c r="G45" s="7"/>
      <c r="M45" s="9"/>
    </row>
    <row r="46" spans="3:13">
      <c r="C46" s="108"/>
      <c r="D46" s="7"/>
      <c r="E46" s="7"/>
      <c r="F46" s="7"/>
      <c r="G46" s="7"/>
      <c r="M46" s="9"/>
    </row>
    <row r="47" spans="3:13">
      <c r="C47" s="108"/>
      <c r="D47" s="7"/>
      <c r="E47" s="7"/>
      <c r="F47" s="7"/>
      <c r="G47" s="7"/>
      <c r="M47" s="9"/>
    </row>
    <row r="48" spans="3:13">
      <c r="C48" s="108"/>
      <c r="D48" s="7"/>
      <c r="E48" s="7"/>
      <c r="F48" s="7"/>
      <c r="G48" s="7"/>
    </row>
  </sheetData>
  <pageMargins left="0.7" right="0.7" top="0.78740157499999996" bottom="0.78740157499999996" header="0.3" footer="0.3"/>
  <pageSetup paperSize="9" scale="6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5"/>
  <sheetViews>
    <sheetView workbookViewId="0">
      <selection activeCell="P35" sqref="P35"/>
    </sheetView>
  </sheetViews>
  <sheetFormatPr baseColWidth="10" defaultColWidth="11.5" defaultRowHeight="14" x14ac:dyDescent="0"/>
  <cols>
    <col min="2" max="3" width="11.5" style="3"/>
    <col min="13" max="13" width="11.5" style="1"/>
    <col min="14" max="14" width="11.5" style="3"/>
  </cols>
  <sheetData>
    <row r="2" spans="1:17" ht="16">
      <c r="E2" s="120" t="s">
        <v>139</v>
      </c>
      <c r="F2" s="144">
        <f>'RA-value (YFP) '!P9</f>
        <v>3.4755410728791937E-2</v>
      </c>
      <c r="H2" s="9"/>
      <c r="L2" s="61"/>
      <c r="M2" s="63"/>
      <c r="N2" s="121"/>
      <c r="O2" s="61"/>
      <c r="P2" s="61"/>
      <c r="Q2" s="61"/>
    </row>
    <row r="3" spans="1:17" ht="16">
      <c r="E3" s="120" t="s">
        <v>140</v>
      </c>
      <c r="F3" s="144">
        <f>' RD-value (CFP)'!P9</f>
        <v>0.26331802956531603</v>
      </c>
      <c r="H3" s="9"/>
    </row>
    <row r="5" spans="1:17" ht="15">
      <c r="J5" s="190" t="s">
        <v>13</v>
      </c>
      <c r="K5" s="190"/>
      <c r="L5" s="190"/>
      <c r="M5" s="119"/>
    </row>
    <row r="6" spans="1:17" ht="16">
      <c r="A6" s="115" t="s">
        <v>78</v>
      </c>
      <c r="B6" s="115" t="s">
        <v>87</v>
      </c>
      <c r="C6" s="115" t="s">
        <v>86</v>
      </c>
      <c r="D6" s="115" t="s">
        <v>15</v>
      </c>
      <c r="E6" s="8" t="s">
        <v>0</v>
      </c>
      <c r="F6" s="8" t="s">
        <v>1</v>
      </c>
      <c r="G6" s="8" t="s">
        <v>2</v>
      </c>
      <c r="H6" s="115"/>
      <c r="J6" s="117" t="s">
        <v>0</v>
      </c>
      <c r="K6" s="117" t="s">
        <v>1</v>
      </c>
      <c r="L6" s="117" t="s">
        <v>2</v>
      </c>
      <c r="M6" s="117" t="s">
        <v>141</v>
      </c>
    </row>
    <row r="7" spans="1:17">
      <c r="A7" s="7"/>
      <c r="B7" s="115" t="s">
        <v>82</v>
      </c>
      <c r="C7" s="3">
        <v>1</v>
      </c>
      <c r="D7" s="61">
        <v>900</v>
      </c>
      <c r="E7" s="61">
        <v>0.4234</v>
      </c>
      <c r="F7" s="61">
        <v>0.58030000000000004</v>
      </c>
      <c r="G7" s="61">
        <v>2.1061000000000001</v>
      </c>
      <c r="J7" s="61">
        <f t="shared" ref="J7:J19" si="0">E7-VLOOKUP(D7,Background,2)</f>
        <v>0.40725</v>
      </c>
      <c r="K7" s="61">
        <f t="shared" ref="K7:K19" si="1">F7-VLOOKUP(D7,Background,3)</f>
        <v>0.56427500000000008</v>
      </c>
      <c r="L7" s="61">
        <f t="shared" ref="L7:L19" si="2">G7-VLOOKUP(D7,Background,3)</f>
        <v>2.0900750000000001</v>
      </c>
      <c r="M7" s="111">
        <f>(K7-$F$3*J7)/($F$2*L7)</f>
        <v>6.2917102036435697</v>
      </c>
      <c r="N7" s="121" t="s">
        <v>18</v>
      </c>
      <c r="O7" s="10">
        <f>AVERAGE(M7:M22)</f>
        <v>6.2520134544785773</v>
      </c>
    </row>
    <row r="8" spans="1:17">
      <c r="A8" s="7"/>
      <c r="C8" s="65">
        <v>2</v>
      </c>
      <c r="D8" s="38">
        <v>900</v>
      </c>
      <c r="E8" s="38">
        <v>0.50919999999999999</v>
      </c>
      <c r="F8" s="38">
        <v>0.69840000000000002</v>
      </c>
      <c r="G8" s="38">
        <v>2.5499000000000001</v>
      </c>
      <c r="H8" s="7"/>
      <c r="I8" s="7"/>
      <c r="J8" s="61">
        <f t="shared" si="0"/>
        <v>0.49304999999999999</v>
      </c>
      <c r="K8" s="61">
        <f t="shared" si="1"/>
        <v>0.68237500000000006</v>
      </c>
      <c r="L8" s="61">
        <f t="shared" si="2"/>
        <v>2.5338750000000001</v>
      </c>
      <c r="M8" s="111">
        <f t="shared" ref="M8" si="3">(K8-$F$3*J8)/($F$2*L8)</f>
        <v>6.2742361866001</v>
      </c>
      <c r="N8" s="121" t="s">
        <v>19</v>
      </c>
      <c r="O8" s="11">
        <f>STDEV(M7:M22)/(SQRT(COUNT(M7:M22)))</f>
        <v>2.2530010615421387E-2</v>
      </c>
    </row>
    <row r="9" spans="1:17">
      <c r="A9" s="7"/>
      <c r="C9" s="65">
        <v>3</v>
      </c>
      <c r="D9" s="38">
        <v>800</v>
      </c>
      <c r="E9" s="38">
        <v>0.47849999999999998</v>
      </c>
      <c r="F9" s="38">
        <v>0.6734</v>
      </c>
      <c r="G9" s="38">
        <v>2.4699</v>
      </c>
      <c r="H9" s="7"/>
      <c r="I9" s="7"/>
      <c r="J9" s="61">
        <f t="shared" si="0"/>
        <v>0.46864999999999996</v>
      </c>
      <c r="K9" s="61">
        <f t="shared" si="1"/>
        <v>0.66352500000000003</v>
      </c>
      <c r="L9" s="61">
        <f t="shared" si="2"/>
        <v>2.4600249999999999</v>
      </c>
      <c r="M9" s="111">
        <f>(K9-$F$3*J9)/($F$2*L9)</f>
        <v>6.3172653820150249</v>
      </c>
      <c r="N9" s="121"/>
    </row>
    <row r="10" spans="1:17">
      <c r="A10" s="7"/>
      <c r="C10" s="65">
        <v>4</v>
      </c>
      <c r="D10" s="38">
        <v>850</v>
      </c>
      <c r="E10" s="38">
        <v>0.44069999999999998</v>
      </c>
      <c r="F10" s="38">
        <v>0.5675</v>
      </c>
      <c r="G10" s="38">
        <v>2.0550000000000002</v>
      </c>
      <c r="H10" s="7"/>
      <c r="I10" s="7"/>
      <c r="J10" s="61">
        <f t="shared" si="0"/>
        <v>0.42829999999999996</v>
      </c>
      <c r="K10" s="61">
        <f t="shared" si="1"/>
        <v>0.55510000000000004</v>
      </c>
      <c r="L10" s="61">
        <f t="shared" si="2"/>
        <v>2.0426000000000002</v>
      </c>
      <c r="M10" s="111">
        <f t="shared" ref="M10:M19" si="4">(K10-$F$3*J10)/($F$2*L10)</f>
        <v>6.2306261851238842</v>
      </c>
      <c r="N10" s="62"/>
      <c r="O10" s="7"/>
    </row>
    <row r="11" spans="1:17">
      <c r="A11" s="7"/>
      <c r="C11" s="65">
        <v>5</v>
      </c>
      <c r="D11" s="38">
        <v>800</v>
      </c>
      <c r="E11" s="38">
        <v>0.37390000000000001</v>
      </c>
      <c r="F11" s="38">
        <v>0.47989999999999999</v>
      </c>
      <c r="G11" s="38">
        <v>1.7177</v>
      </c>
      <c r="H11" s="7"/>
      <c r="I11" s="7"/>
      <c r="J11" s="61">
        <f t="shared" ref="J11:J18" si="5">E11-VLOOKUP(D11,Background,2)</f>
        <v>0.36404999999999998</v>
      </c>
      <c r="K11" s="61">
        <f t="shared" ref="K11:K18" si="6">F11-VLOOKUP(D11,Background,3)</f>
        <v>0.47002499999999997</v>
      </c>
      <c r="L11" s="61">
        <f t="shared" ref="L11:L18" si="7">G11-VLOOKUP(D11,Background,3)</f>
        <v>1.7078249999999999</v>
      </c>
      <c r="M11" s="111">
        <f t="shared" ref="M11:M18" si="8">(K11-$F$3*J11)/($F$2*L11)</f>
        <v>6.3037109471616182</v>
      </c>
      <c r="N11" s="62"/>
      <c r="O11" s="7"/>
    </row>
    <row r="12" spans="1:17">
      <c r="A12" s="7"/>
      <c r="C12" s="65">
        <v>6</v>
      </c>
      <c r="D12" s="38">
        <v>800</v>
      </c>
      <c r="E12" s="38">
        <v>0.55759999999999998</v>
      </c>
      <c r="F12" s="38">
        <v>0.75160000000000005</v>
      </c>
      <c r="G12" s="38">
        <v>2.7473000000000001</v>
      </c>
      <c r="H12" s="7"/>
      <c r="I12" s="7"/>
      <c r="J12" s="61">
        <f t="shared" si="5"/>
        <v>0.54774999999999996</v>
      </c>
      <c r="K12" s="61">
        <f t="shared" si="6"/>
        <v>0.74172500000000008</v>
      </c>
      <c r="L12" s="61">
        <f t="shared" si="7"/>
        <v>2.737425</v>
      </c>
      <c r="M12" s="111">
        <f t="shared" si="8"/>
        <v>6.2801185150398311</v>
      </c>
      <c r="N12" s="62"/>
      <c r="O12" s="7"/>
    </row>
    <row r="13" spans="1:17">
      <c r="A13" s="7"/>
      <c r="C13" s="65">
        <v>7</v>
      </c>
      <c r="D13" s="38">
        <v>650</v>
      </c>
      <c r="E13" s="38">
        <v>0.33989999999999998</v>
      </c>
      <c r="F13" s="38">
        <v>0.43919999999999998</v>
      </c>
      <c r="G13" s="38">
        <v>1.5951</v>
      </c>
      <c r="H13" s="7"/>
      <c r="I13" s="7"/>
      <c r="J13" s="61">
        <f t="shared" si="5"/>
        <v>0.3337</v>
      </c>
      <c r="K13" s="61">
        <f t="shared" si="6"/>
        <v>0.43302499999999999</v>
      </c>
      <c r="L13" s="61">
        <f t="shared" si="7"/>
        <v>1.5889249999999999</v>
      </c>
      <c r="M13" s="111">
        <f t="shared" si="8"/>
        <v>6.2501338614948105</v>
      </c>
      <c r="N13" s="62"/>
      <c r="O13" s="7"/>
    </row>
    <row r="14" spans="1:17">
      <c r="A14" s="7"/>
      <c r="C14" s="65">
        <v>8</v>
      </c>
      <c r="D14" s="38">
        <v>800</v>
      </c>
      <c r="E14" s="38">
        <v>0.36520000000000002</v>
      </c>
      <c r="F14" s="38">
        <v>0.48010000000000003</v>
      </c>
      <c r="G14" s="38">
        <v>1.7192000000000001</v>
      </c>
      <c r="H14" s="7"/>
      <c r="I14" s="7"/>
      <c r="J14" s="61">
        <f t="shared" si="5"/>
        <v>0.35535</v>
      </c>
      <c r="K14" s="61">
        <f t="shared" si="6"/>
        <v>0.470225</v>
      </c>
      <c r="L14" s="61">
        <f t="shared" si="7"/>
        <v>1.709325</v>
      </c>
      <c r="M14" s="111">
        <f t="shared" si="8"/>
        <v>6.3401071247597285</v>
      </c>
      <c r="N14" s="62"/>
      <c r="O14" s="7"/>
    </row>
    <row r="15" spans="1:17">
      <c r="A15" s="7"/>
      <c r="C15" s="65">
        <v>9</v>
      </c>
      <c r="D15" s="38">
        <v>850</v>
      </c>
      <c r="E15" s="38">
        <v>0.41060000000000002</v>
      </c>
      <c r="F15" s="38">
        <v>0.5363</v>
      </c>
      <c r="G15" s="38">
        <v>1.9020999999999999</v>
      </c>
      <c r="H15" s="7"/>
      <c r="I15" s="7"/>
      <c r="J15" s="61">
        <f t="shared" si="5"/>
        <v>0.3982</v>
      </c>
      <c r="K15" s="61">
        <f t="shared" si="6"/>
        <v>0.52390000000000003</v>
      </c>
      <c r="L15" s="61">
        <f t="shared" si="7"/>
        <v>1.8896999999999999</v>
      </c>
      <c r="M15" s="111">
        <f t="shared" si="8"/>
        <v>6.3803896145767549</v>
      </c>
      <c r="N15" s="62"/>
      <c r="O15" s="7"/>
    </row>
    <row r="16" spans="1:17">
      <c r="A16" s="7"/>
      <c r="C16" s="65">
        <v>10</v>
      </c>
      <c r="D16" s="38">
        <v>850</v>
      </c>
      <c r="E16" s="38">
        <v>0.36549999999999999</v>
      </c>
      <c r="F16" s="38">
        <v>0.46360000000000001</v>
      </c>
      <c r="G16" s="38">
        <v>1.6878</v>
      </c>
      <c r="H16" s="7"/>
      <c r="I16" s="7"/>
      <c r="J16" s="61">
        <f t="shared" si="5"/>
        <v>0.35309999999999997</v>
      </c>
      <c r="K16" s="61">
        <f t="shared" si="6"/>
        <v>0.45119999999999999</v>
      </c>
      <c r="L16" s="61">
        <f t="shared" si="7"/>
        <v>1.6754</v>
      </c>
      <c r="M16" s="111">
        <f t="shared" si="8"/>
        <v>6.1519359814461652</v>
      </c>
      <c r="N16" s="62"/>
      <c r="O16" s="7"/>
    </row>
    <row r="17" spans="1:16">
      <c r="A17" s="7"/>
      <c r="C17" s="65">
        <v>11</v>
      </c>
      <c r="D17" s="38">
        <v>900</v>
      </c>
      <c r="E17" s="38">
        <v>0.46079999999999999</v>
      </c>
      <c r="F17" s="38">
        <v>0.54149999999999998</v>
      </c>
      <c r="G17" s="38">
        <v>1.9381999999999999</v>
      </c>
      <c r="H17" s="7"/>
      <c r="I17" s="7"/>
      <c r="J17" s="61">
        <f t="shared" si="5"/>
        <v>0.44464999999999999</v>
      </c>
      <c r="K17" s="61">
        <f t="shared" si="6"/>
        <v>0.52547500000000003</v>
      </c>
      <c r="L17" s="61">
        <f t="shared" si="7"/>
        <v>1.922175</v>
      </c>
      <c r="M17" s="111">
        <f t="shared" si="8"/>
        <v>6.1130849104400609</v>
      </c>
      <c r="N17" s="62"/>
      <c r="O17" s="7"/>
    </row>
    <row r="18" spans="1:16">
      <c r="A18" s="7"/>
      <c r="C18" s="65">
        <v>12</v>
      </c>
      <c r="D18" s="38">
        <v>1000</v>
      </c>
      <c r="E18" s="38">
        <v>0.46439999999999998</v>
      </c>
      <c r="F18" s="38">
        <v>0.56340000000000001</v>
      </c>
      <c r="G18" s="38">
        <v>1.9761</v>
      </c>
      <c r="H18" s="7"/>
      <c r="I18" s="7"/>
      <c r="J18" s="61">
        <f t="shared" si="5"/>
        <v>0.43545</v>
      </c>
      <c r="K18" s="61">
        <f t="shared" si="6"/>
        <v>0.53470000000000006</v>
      </c>
      <c r="L18" s="61">
        <f t="shared" si="7"/>
        <v>1.9474</v>
      </c>
      <c r="M18" s="111">
        <f t="shared" si="8"/>
        <v>6.2059912742015699</v>
      </c>
      <c r="N18" s="62"/>
      <c r="O18" s="7"/>
    </row>
    <row r="19" spans="1:16">
      <c r="A19" s="7"/>
      <c r="C19" s="65">
        <v>13</v>
      </c>
      <c r="D19" s="38">
        <v>800</v>
      </c>
      <c r="E19" s="38">
        <v>0.433</v>
      </c>
      <c r="F19" s="38">
        <v>0.54400000000000004</v>
      </c>
      <c r="G19" s="38">
        <v>1.9917</v>
      </c>
      <c r="H19" s="7"/>
      <c r="I19" s="7"/>
      <c r="J19" s="61">
        <f t="shared" si="0"/>
        <v>0.42314999999999997</v>
      </c>
      <c r="K19" s="61">
        <f t="shared" si="1"/>
        <v>0.53412500000000007</v>
      </c>
      <c r="L19" s="61">
        <f t="shared" si="2"/>
        <v>1.9818249999999999</v>
      </c>
      <c r="M19" s="111">
        <f t="shared" si="4"/>
        <v>6.1368647217183785</v>
      </c>
      <c r="N19" s="62"/>
      <c r="O19" s="7"/>
    </row>
    <row r="20" spans="1:16">
      <c r="A20" s="7"/>
      <c r="C20" s="65"/>
      <c r="D20" s="38"/>
      <c r="E20" s="38"/>
      <c r="F20" s="38"/>
      <c r="G20" s="38"/>
      <c r="H20" s="7"/>
      <c r="I20" s="7"/>
      <c r="J20" s="61"/>
      <c r="K20" s="61"/>
      <c r="L20" s="61"/>
      <c r="M20" s="111"/>
      <c r="N20" s="62"/>
      <c r="O20" s="7"/>
    </row>
    <row r="21" spans="1:16">
      <c r="A21" s="7"/>
      <c r="C21" s="65"/>
      <c r="D21" s="38"/>
      <c r="E21" s="38"/>
      <c r="F21" s="38"/>
      <c r="G21" s="38"/>
      <c r="H21" s="7"/>
      <c r="I21" s="7"/>
      <c r="J21" s="61"/>
      <c r="K21" s="61"/>
      <c r="L21" s="61"/>
      <c r="M21" s="111"/>
      <c r="N21" s="62"/>
      <c r="O21" s="7"/>
    </row>
    <row r="22" spans="1:16">
      <c r="A22" s="7"/>
      <c r="C22" s="65"/>
      <c r="D22" s="38"/>
      <c r="E22" s="38"/>
      <c r="F22" s="38"/>
      <c r="G22" s="38"/>
      <c r="H22" s="110"/>
      <c r="I22" s="110"/>
      <c r="J22" s="61"/>
      <c r="K22" s="61"/>
      <c r="L22" s="61"/>
      <c r="M22" s="111"/>
      <c r="N22" s="62"/>
      <c r="O22" s="7"/>
    </row>
    <row r="23" spans="1:16">
      <c r="A23" s="7"/>
      <c r="C23" s="65"/>
      <c r="D23" s="38"/>
      <c r="E23" s="38"/>
      <c r="F23" s="38"/>
      <c r="G23" s="38"/>
      <c r="H23" s="110"/>
      <c r="I23" s="110"/>
      <c r="J23" s="61"/>
      <c r="K23" s="61"/>
      <c r="L23" s="61"/>
      <c r="M23" s="111"/>
      <c r="N23" s="62"/>
      <c r="O23" s="7"/>
    </row>
    <row r="24" spans="1:16">
      <c r="A24" s="7"/>
      <c r="D24" s="61"/>
      <c r="E24" s="61"/>
      <c r="F24" s="61"/>
      <c r="G24" s="61"/>
      <c r="H24" s="110"/>
      <c r="I24" s="110"/>
      <c r="J24" s="61"/>
      <c r="K24" s="61"/>
      <c r="L24" s="61"/>
      <c r="M24" s="111"/>
      <c r="N24" s="62"/>
      <c r="O24" s="7"/>
    </row>
    <row r="25" spans="1:16">
      <c r="A25" s="7"/>
      <c r="B25" s="115" t="s">
        <v>83</v>
      </c>
      <c r="C25" s="121">
        <v>1</v>
      </c>
      <c r="D25" s="61">
        <v>800</v>
      </c>
      <c r="E25" s="61">
        <v>0.63539999999999996</v>
      </c>
      <c r="F25" s="61">
        <v>0.4345</v>
      </c>
      <c r="G25" s="61">
        <v>2.4701</v>
      </c>
      <c r="H25" s="110"/>
      <c r="I25" s="110"/>
      <c r="J25" s="61">
        <f t="shared" ref="J25:J38" si="9">E25-VLOOKUP(D25,Background,2)</f>
        <v>0.62554999999999994</v>
      </c>
      <c r="K25" s="61">
        <f t="shared" ref="K25:K38" si="10">F25-VLOOKUP(D25,Background,3)</f>
        <v>0.42462499999999997</v>
      </c>
      <c r="L25" s="61">
        <f t="shared" ref="L25:L38" si="11">G25-VLOOKUP(D25,Background,3)</f>
        <v>2.4602249999999999</v>
      </c>
      <c r="M25" s="111">
        <f t="shared" ref="M25:M38" si="12">(K25-$F$3*J25)/($F$2*L25)</f>
        <v>3.0396230715904955</v>
      </c>
      <c r="N25" s="121" t="s">
        <v>18</v>
      </c>
      <c r="O25" s="10">
        <f>AVERAGE(M25:M40)</f>
        <v>3.0503835663184016</v>
      </c>
    </row>
    <row r="26" spans="1:16">
      <c r="A26" s="7"/>
      <c r="C26" s="3">
        <v>2</v>
      </c>
      <c r="D26" s="61">
        <v>900</v>
      </c>
      <c r="E26" s="61">
        <v>0.63639999999999997</v>
      </c>
      <c r="F26" s="61">
        <v>0.45750000000000002</v>
      </c>
      <c r="G26" s="61">
        <v>2.5398999999999998</v>
      </c>
      <c r="H26" s="110"/>
      <c r="I26" s="110"/>
      <c r="J26" s="61">
        <f t="shared" si="9"/>
        <v>0.62024999999999997</v>
      </c>
      <c r="K26" s="61">
        <f t="shared" si="10"/>
        <v>0.44147500000000001</v>
      </c>
      <c r="L26" s="61">
        <f t="shared" si="11"/>
        <v>2.5238749999999999</v>
      </c>
      <c r="M26" s="111">
        <f t="shared" si="12"/>
        <v>3.1709683533290782</v>
      </c>
      <c r="N26" s="121" t="s">
        <v>19</v>
      </c>
      <c r="O26" s="11">
        <f>STDEV(M25:M40)/(SQRT(COUNT(M25:M40)))</f>
        <v>2.227458332547063E-2</v>
      </c>
    </row>
    <row r="27" spans="1:16">
      <c r="A27" s="7"/>
      <c r="B27" s="65"/>
      <c r="C27" s="183">
        <v>3</v>
      </c>
      <c r="D27" s="38">
        <v>800</v>
      </c>
      <c r="E27" s="38">
        <v>0.61850000000000005</v>
      </c>
      <c r="F27" s="38">
        <v>0.39779999999999999</v>
      </c>
      <c r="G27" s="38">
        <v>2.1493000000000002</v>
      </c>
      <c r="H27" s="7"/>
      <c r="I27" s="7" t="s">
        <v>91</v>
      </c>
      <c r="J27" s="61">
        <f t="shared" si="9"/>
        <v>0.60865000000000002</v>
      </c>
      <c r="K27" s="61">
        <f t="shared" si="10"/>
        <v>0.38792499999999996</v>
      </c>
      <c r="L27" s="61">
        <f t="shared" si="11"/>
        <v>2.1394250000000001</v>
      </c>
      <c r="M27" s="111">
        <f t="shared" si="12"/>
        <v>3.0616851475582387</v>
      </c>
      <c r="N27" s="62"/>
      <c r="O27" s="7"/>
    </row>
    <row r="28" spans="1:16">
      <c r="A28" s="7"/>
      <c r="B28" s="65"/>
      <c r="C28" s="183">
        <v>4</v>
      </c>
      <c r="D28" s="38">
        <v>900</v>
      </c>
      <c r="E28" s="38">
        <v>0.48659999999999998</v>
      </c>
      <c r="F28" s="38">
        <v>0.33189999999999997</v>
      </c>
      <c r="G28" s="38">
        <v>1.8246</v>
      </c>
      <c r="H28" s="7"/>
      <c r="I28" s="7"/>
      <c r="J28" s="61">
        <f t="shared" si="9"/>
        <v>0.47044999999999998</v>
      </c>
      <c r="K28" s="61">
        <f t="shared" si="10"/>
        <v>0.31587499999999996</v>
      </c>
      <c r="L28" s="61">
        <f t="shared" si="11"/>
        <v>1.808575</v>
      </c>
      <c r="M28" s="111">
        <f t="shared" si="12"/>
        <v>3.0544679246522572</v>
      </c>
      <c r="N28" s="62"/>
      <c r="O28" s="7"/>
    </row>
    <row r="29" spans="1:16">
      <c r="A29" s="7"/>
      <c r="B29" s="65"/>
      <c r="C29" s="183">
        <v>5</v>
      </c>
      <c r="D29" s="38">
        <v>750</v>
      </c>
      <c r="E29" s="38">
        <v>0.68659999999999999</v>
      </c>
      <c r="F29" s="38">
        <v>0.4738</v>
      </c>
      <c r="G29" s="38">
        <v>2.6638000000000002</v>
      </c>
      <c r="H29" s="7"/>
      <c r="I29" s="7"/>
      <c r="J29" s="61">
        <f t="shared" si="9"/>
        <v>0.67852499999999993</v>
      </c>
      <c r="K29" s="61">
        <f t="shared" si="10"/>
        <v>0.46560000000000001</v>
      </c>
      <c r="L29" s="61">
        <f t="shared" si="11"/>
        <v>2.6556000000000002</v>
      </c>
      <c r="M29" s="111">
        <f t="shared" si="12"/>
        <v>3.1088094477837798</v>
      </c>
      <c r="N29" s="62"/>
      <c r="O29" s="7"/>
    </row>
    <row r="30" spans="1:16">
      <c r="A30" s="7"/>
      <c r="B30" s="65"/>
      <c r="C30" s="183">
        <v>6</v>
      </c>
      <c r="D30" s="38">
        <v>900</v>
      </c>
      <c r="E30" s="38">
        <v>0.48659999999999998</v>
      </c>
      <c r="F30" s="38">
        <v>0.32179999999999997</v>
      </c>
      <c r="G30" s="38">
        <v>1.7339</v>
      </c>
      <c r="H30" s="7"/>
      <c r="I30" s="7"/>
      <c r="J30" s="61">
        <f t="shared" si="9"/>
        <v>0.47044999999999998</v>
      </c>
      <c r="K30" s="61">
        <f t="shared" si="10"/>
        <v>0.30577499999999996</v>
      </c>
      <c r="L30" s="61">
        <f t="shared" si="11"/>
        <v>1.717875</v>
      </c>
      <c r="M30" s="111">
        <f t="shared" si="12"/>
        <v>3.0465732913439592</v>
      </c>
      <c r="N30" s="62"/>
      <c r="O30" s="7"/>
    </row>
    <row r="31" spans="1:16">
      <c r="A31" s="7"/>
      <c r="B31" s="65"/>
      <c r="C31" s="183">
        <v>7</v>
      </c>
      <c r="D31" s="38">
        <v>750</v>
      </c>
      <c r="E31" s="38">
        <v>0.68920000000000003</v>
      </c>
      <c r="F31" s="38">
        <v>0.49349999999999999</v>
      </c>
      <c r="G31" s="38">
        <v>2.7646999999999999</v>
      </c>
      <c r="H31" s="7"/>
      <c r="I31" s="7"/>
      <c r="J31" s="61">
        <f t="shared" si="9"/>
        <v>0.68112499999999998</v>
      </c>
      <c r="K31" s="61">
        <f t="shared" si="10"/>
        <v>0.48530000000000001</v>
      </c>
      <c r="L31" s="61">
        <f t="shared" si="11"/>
        <v>2.7565</v>
      </c>
      <c r="M31" s="111">
        <f t="shared" si="12"/>
        <v>3.1934968846443121</v>
      </c>
      <c r="N31" s="62"/>
      <c r="O31" s="7"/>
    </row>
    <row r="32" spans="1:16">
      <c r="A32" s="7"/>
      <c r="B32" s="65"/>
      <c r="C32" s="183">
        <v>8</v>
      </c>
      <c r="D32" s="38">
        <v>900</v>
      </c>
      <c r="E32" s="38">
        <v>0.59179999999999999</v>
      </c>
      <c r="F32" s="38">
        <v>0.38840000000000002</v>
      </c>
      <c r="G32" s="38">
        <v>2.1549</v>
      </c>
      <c r="H32" s="7"/>
      <c r="I32" s="7"/>
      <c r="J32" s="61">
        <f t="shared" si="9"/>
        <v>0.57565</v>
      </c>
      <c r="K32" s="61">
        <f t="shared" si="10"/>
        <v>0.37237500000000001</v>
      </c>
      <c r="L32" s="61">
        <f t="shared" si="11"/>
        <v>2.1388750000000001</v>
      </c>
      <c r="M32" s="111">
        <f t="shared" si="12"/>
        <v>2.9701838007816361</v>
      </c>
      <c r="N32" s="62"/>
      <c r="O32" s="7"/>
      <c r="P32" s="7"/>
    </row>
    <row r="33" spans="1:16">
      <c r="A33" s="7"/>
      <c r="B33" s="65"/>
      <c r="C33" s="183">
        <v>9</v>
      </c>
      <c r="D33" s="38">
        <v>850</v>
      </c>
      <c r="E33" s="38">
        <v>0.51239999999999997</v>
      </c>
      <c r="F33" s="38">
        <v>0.34160000000000001</v>
      </c>
      <c r="G33" s="38">
        <v>1.8953</v>
      </c>
      <c r="H33" s="7"/>
      <c r="I33" s="7"/>
      <c r="J33" s="61">
        <f t="shared" si="9"/>
        <v>0.49999999999999994</v>
      </c>
      <c r="K33" s="61">
        <f t="shared" si="10"/>
        <v>0.32919999999999999</v>
      </c>
      <c r="L33" s="61">
        <f t="shared" si="11"/>
        <v>1.8829</v>
      </c>
      <c r="M33" s="111">
        <f t="shared" si="12"/>
        <v>3.018613672237644</v>
      </c>
      <c r="N33" s="62"/>
      <c r="O33" s="112"/>
      <c r="P33" s="7"/>
    </row>
    <row r="34" spans="1:16">
      <c r="A34" s="7"/>
      <c r="B34" s="65"/>
      <c r="C34" s="183">
        <v>10</v>
      </c>
      <c r="D34" s="38">
        <v>1000</v>
      </c>
      <c r="E34" s="38">
        <v>0.627</v>
      </c>
      <c r="F34" s="38">
        <v>0.42230000000000001</v>
      </c>
      <c r="G34" s="38">
        <v>2.1960999999999999</v>
      </c>
      <c r="H34" s="7"/>
      <c r="I34" s="7"/>
      <c r="J34" s="61">
        <f t="shared" si="9"/>
        <v>0.59804999999999997</v>
      </c>
      <c r="K34" s="61">
        <f t="shared" si="10"/>
        <v>0.39360000000000001</v>
      </c>
      <c r="L34" s="61">
        <f t="shared" si="11"/>
        <v>2.1673999999999998</v>
      </c>
      <c r="M34" s="111">
        <f t="shared" si="12"/>
        <v>3.1345569076912256</v>
      </c>
      <c r="N34" s="62"/>
      <c r="O34" s="59"/>
      <c r="P34" s="7"/>
    </row>
    <row r="35" spans="1:16">
      <c r="A35" s="7"/>
      <c r="B35" s="65"/>
      <c r="C35" s="183">
        <v>11</v>
      </c>
      <c r="D35" s="38">
        <v>1150</v>
      </c>
      <c r="E35" s="38">
        <v>0.39829999999999999</v>
      </c>
      <c r="F35" s="38">
        <v>0.27650000000000002</v>
      </c>
      <c r="G35" s="38">
        <v>1.2424999999999999</v>
      </c>
      <c r="H35" s="7"/>
      <c r="I35" s="7"/>
      <c r="J35" s="61">
        <f t="shared" si="9"/>
        <v>0.32435000000000003</v>
      </c>
      <c r="K35" s="61">
        <f t="shared" si="10"/>
        <v>0.20232500000000003</v>
      </c>
      <c r="L35" s="61">
        <f t="shared" si="11"/>
        <v>1.1683249999999998</v>
      </c>
      <c r="M35" s="111">
        <f t="shared" si="12"/>
        <v>2.8793504647143964</v>
      </c>
      <c r="N35" s="62"/>
      <c r="O35" s="7"/>
      <c r="P35" s="7"/>
    </row>
    <row r="36" spans="1:16">
      <c r="A36" s="7"/>
      <c r="B36" s="65"/>
      <c r="C36" s="183">
        <v>12</v>
      </c>
      <c r="D36" s="38">
        <v>850</v>
      </c>
      <c r="E36" s="38">
        <v>0.55159999999999998</v>
      </c>
      <c r="F36" s="38">
        <v>0.37509999999999999</v>
      </c>
      <c r="G36" s="38">
        <v>2.1320999999999999</v>
      </c>
      <c r="H36" s="7"/>
      <c r="I36" s="7"/>
      <c r="J36" s="61">
        <f t="shared" si="9"/>
        <v>0.53920000000000001</v>
      </c>
      <c r="K36" s="61">
        <f t="shared" si="10"/>
        <v>0.36269999999999997</v>
      </c>
      <c r="L36" s="61">
        <f t="shared" si="11"/>
        <v>2.1196999999999999</v>
      </c>
      <c r="M36" s="111">
        <f t="shared" si="12"/>
        <v>2.996006383368305</v>
      </c>
      <c r="N36" s="62"/>
      <c r="O36" s="7"/>
      <c r="P36" s="7"/>
    </row>
    <row r="37" spans="1:16">
      <c r="A37" s="7"/>
      <c r="B37" s="65"/>
      <c r="C37" s="183">
        <v>13</v>
      </c>
      <c r="D37" s="38">
        <v>850</v>
      </c>
      <c r="E37" s="38">
        <v>0.53500000000000003</v>
      </c>
      <c r="F37" s="38">
        <v>0.35780000000000001</v>
      </c>
      <c r="G37" s="38">
        <v>1.9723999999999999</v>
      </c>
      <c r="H37" s="7"/>
      <c r="I37" s="7"/>
      <c r="J37" s="61">
        <f t="shared" si="9"/>
        <v>0.52260000000000006</v>
      </c>
      <c r="K37" s="61">
        <f t="shared" si="10"/>
        <v>0.34539999999999998</v>
      </c>
      <c r="L37" s="61">
        <f t="shared" si="11"/>
        <v>1.96</v>
      </c>
      <c r="M37" s="111">
        <f t="shared" si="12"/>
        <v>3.0503251940061067</v>
      </c>
      <c r="N37" s="62"/>
      <c r="O37" s="7"/>
      <c r="P37" s="7"/>
    </row>
    <row r="38" spans="1:16">
      <c r="A38" s="7"/>
      <c r="B38" s="65"/>
      <c r="C38" s="183">
        <v>14</v>
      </c>
      <c r="D38" s="38">
        <v>800</v>
      </c>
      <c r="E38" s="38">
        <v>0.65410000000000001</v>
      </c>
      <c r="F38" s="38">
        <v>0.44140000000000001</v>
      </c>
      <c r="G38" s="38">
        <v>2.5377999999999998</v>
      </c>
      <c r="H38" s="7"/>
      <c r="I38" s="7"/>
      <c r="J38" s="61">
        <f t="shared" si="9"/>
        <v>0.64424999999999999</v>
      </c>
      <c r="K38" s="61">
        <f t="shared" si="10"/>
        <v>0.43152499999999999</v>
      </c>
      <c r="L38" s="61">
        <f t="shared" si="11"/>
        <v>2.5279249999999998</v>
      </c>
      <c r="M38" s="111">
        <f t="shared" si="12"/>
        <v>2.9807093847561839</v>
      </c>
      <c r="N38" s="62"/>
      <c r="O38" s="7"/>
      <c r="P38" s="7"/>
    </row>
    <row r="39" spans="1:16">
      <c r="A39" s="7"/>
      <c r="B39" s="65"/>
      <c r="C39" s="183"/>
      <c r="D39" s="38"/>
      <c r="E39" s="38"/>
      <c r="F39" s="38"/>
      <c r="G39" s="38"/>
      <c r="H39" s="7"/>
      <c r="I39" s="7"/>
      <c r="J39" s="61"/>
      <c r="K39" s="61"/>
      <c r="L39" s="61"/>
      <c r="M39" s="111"/>
      <c r="N39" s="62"/>
      <c r="O39" s="7"/>
      <c r="P39" s="7"/>
    </row>
    <row r="40" spans="1:16">
      <c r="A40" s="7"/>
      <c r="B40" s="65"/>
      <c r="C40" s="183"/>
      <c r="D40" s="38"/>
      <c r="E40" s="38"/>
      <c r="F40" s="38"/>
      <c r="G40" s="38"/>
      <c r="H40" s="7"/>
      <c r="I40" s="7"/>
      <c r="J40" s="61"/>
      <c r="K40" s="61"/>
      <c r="L40" s="61"/>
      <c r="M40" s="111"/>
      <c r="N40" s="62"/>
      <c r="O40" s="7"/>
      <c r="P40" s="7"/>
    </row>
    <row r="41" spans="1:16">
      <c r="A41" s="7"/>
      <c r="C41" s="183"/>
      <c r="D41" s="38"/>
      <c r="E41" s="38"/>
      <c r="F41" s="38"/>
      <c r="G41" s="38"/>
      <c r="H41" s="7"/>
      <c r="I41" s="7"/>
      <c r="J41" s="61"/>
      <c r="K41" s="61"/>
      <c r="L41" s="61"/>
      <c r="M41" s="111"/>
      <c r="N41" s="62"/>
      <c r="O41" s="7"/>
      <c r="P41" s="7"/>
    </row>
    <row r="42" spans="1:16">
      <c r="A42" s="7"/>
      <c r="C42" s="183"/>
      <c r="D42" s="38"/>
      <c r="E42" s="38"/>
      <c r="F42" s="38"/>
      <c r="G42" s="38"/>
      <c r="H42" s="7"/>
      <c r="I42" s="7"/>
      <c r="J42" s="61"/>
      <c r="K42" s="61"/>
      <c r="L42" s="61"/>
      <c r="M42" s="111"/>
      <c r="N42" s="62"/>
      <c r="O42" s="7"/>
      <c r="P42" s="7"/>
    </row>
    <row r="43" spans="1:16">
      <c r="A43" s="7"/>
      <c r="B43" s="115" t="s">
        <v>84</v>
      </c>
      <c r="C43" s="183">
        <v>1</v>
      </c>
      <c r="D43" s="61">
        <v>800</v>
      </c>
      <c r="E43" s="61">
        <v>0.39439999999999997</v>
      </c>
      <c r="F43" s="61">
        <v>0.33460000000000001</v>
      </c>
      <c r="G43" s="61">
        <v>1.6917</v>
      </c>
      <c r="H43" s="7"/>
      <c r="I43" s="7"/>
      <c r="J43" s="61">
        <f t="shared" ref="J43:J56" si="13">E43-VLOOKUP(D43,Background,2)</f>
        <v>0.38454999999999995</v>
      </c>
      <c r="K43" s="61">
        <f t="shared" ref="K43:K56" si="14">F43-VLOOKUP(D43,Background,3)</f>
        <v>0.32472499999999999</v>
      </c>
      <c r="L43" s="61">
        <f t="shared" ref="L43:L56" si="15">G43-VLOOKUP(D43,Background,3)</f>
        <v>1.6818249999999999</v>
      </c>
      <c r="M43" s="111">
        <f t="shared" ref="M43" si="16">(K43-$F$3*J43)/($F$2*L43)</f>
        <v>3.8230354635825434</v>
      </c>
      <c r="N43" s="121" t="s">
        <v>18</v>
      </c>
      <c r="O43" s="10">
        <f>AVERAGE(M43:M57)</f>
        <v>3.7726135137140493</v>
      </c>
      <c r="P43" s="7"/>
    </row>
    <row r="44" spans="1:16">
      <c r="A44" s="7"/>
      <c r="C44" s="183">
        <v>2</v>
      </c>
      <c r="D44" s="61">
        <v>1050</v>
      </c>
      <c r="E44" s="61">
        <v>0.55759999999999998</v>
      </c>
      <c r="F44" s="61">
        <v>0.43109999999999998</v>
      </c>
      <c r="G44" s="61">
        <v>2.0722</v>
      </c>
      <c r="H44" s="7"/>
      <c r="I44" s="7"/>
      <c r="J44" s="61">
        <f t="shared" si="13"/>
        <v>0.51824999999999999</v>
      </c>
      <c r="K44" s="61">
        <f t="shared" si="14"/>
        <v>0.39144999999999996</v>
      </c>
      <c r="L44" s="61">
        <f t="shared" si="15"/>
        <v>2.0325500000000001</v>
      </c>
      <c r="M44" s="111">
        <f t="shared" ref="M44:M45" si="17">(K44-$F$3*J44)/($F$2*L44)</f>
        <v>3.6095387142391488</v>
      </c>
      <c r="N44" s="121" t="s">
        <v>19</v>
      </c>
      <c r="O44" s="11">
        <f>STDEV(M43:M57)/(SQRT(COUNT(M43:M57)))</f>
        <v>3.4507709825321552E-2</v>
      </c>
      <c r="P44" s="7"/>
    </row>
    <row r="45" spans="1:16">
      <c r="A45" s="7"/>
      <c r="C45" s="183">
        <v>3</v>
      </c>
      <c r="D45" s="61">
        <v>850</v>
      </c>
      <c r="E45" s="61">
        <v>0.4667</v>
      </c>
      <c r="F45" s="61">
        <v>0.39150000000000001</v>
      </c>
      <c r="G45" s="61">
        <v>1.9540999999999999</v>
      </c>
      <c r="H45" s="7"/>
      <c r="I45" s="7"/>
      <c r="J45" s="61">
        <f t="shared" si="13"/>
        <v>0.45429999999999998</v>
      </c>
      <c r="K45" s="61">
        <f t="shared" si="14"/>
        <v>0.37909999999999999</v>
      </c>
      <c r="L45" s="61">
        <f t="shared" si="15"/>
        <v>1.9417</v>
      </c>
      <c r="M45" s="111">
        <f t="shared" si="17"/>
        <v>3.8449467311943617</v>
      </c>
      <c r="N45" s="62"/>
      <c r="O45" s="7"/>
      <c r="P45" s="7"/>
    </row>
    <row r="46" spans="1:16">
      <c r="A46" s="7"/>
      <c r="C46" s="183">
        <v>4</v>
      </c>
      <c r="D46" s="61">
        <v>850</v>
      </c>
      <c r="E46" s="61">
        <v>0.55720000000000003</v>
      </c>
      <c r="F46" s="61">
        <v>0.43940000000000001</v>
      </c>
      <c r="G46" s="61">
        <v>2.1402999999999999</v>
      </c>
      <c r="H46" s="7"/>
      <c r="I46" s="7"/>
      <c r="J46" s="61">
        <f t="shared" si="13"/>
        <v>0.54480000000000006</v>
      </c>
      <c r="K46" s="61">
        <f t="shared" si="14"/>
        <v>0.42699999999999999</v>
      </c>
      <c r="L46" s="61">
        <f t="shared" si="15"/>
        <v>2.1278999999999999</v>
      </c>
      <c r="M46" s="111">
        <f t="shared" ref="M46:M56" si="18">(K46-$F$3*J46)/($F$2*L46)</f>
        <v>3.8339578928627467</v>
      </c>
      <c r="N46" s="62"/>
      <c r="O46" s="7"/>
      <c r="P46" s="7"/>
    </row>
    <row r="47" spans="1:16">
      <c r="A47" s="7"/>
      <c r="C47" s="183">
        <v>5</v>
      </c>
      <c r="D47" s="61">
        <v>1000</v>
      </c>
      <c r="E47" s="61">
        <v>0.53439999999999999</v>
      </c>
      <c r="F47" s="61">
        <v>0.42109999999999997</v>
      </c>
      <c r="G47" s="61">
        <v>2.0299</v>
      </c>
      <c r="H47" s="7"/>
      <c r="I47" s="7"/>
      <c r="J47" s="61">
        <f t="shared" si="13"/>
        <v>0.50544999999999995</v>
      </c>
      <c r="K47" s="61">
        <f t="shared" si="14"/>
        <v>0.39239999999999997</v>
      </c>
      <c r="L47" s="61">
        <f t="shared" si="15"/>
        <v>2.0011999999999999</v>
      </c>
      <c r="M47" s="111">
        <f t="shared" si="18"/>
        <v>3.7282024046762476</v>
      </c>
      <c r="N47" s="62"/>
      <c r="O47" s="7"/>
      <c r="P47" s="7"/>
    </row>
    <row r="48" spans="1:16">
      <c r="A48" s="7"/>
      <c r="C48" s="183">
        <v>6</v>
      </c>
      <c r="D48" s="61">
        <v>700</v>
      </c>
      <c r="E48" s="61">
        <v>0.72509999999999997</v>
      </c>
      <c r="F48" s="61">
        <v>0.58850000000000002</v>
      </c>
      <c r="G48" s="61">
        <v>2.8458999999999999</v>
      </c>
      <c r="H48" s="7"/>
      <c r="I48" s="7"/>
      <c r="J48" s="61">
        <f t="shared" si="13"/>
        <v>0.71814999999999996</v>
      </c>
      <c r="K48" s="61">
        <f t="shared" si="14"/>
        <v>0.58152500000000007</v>
      </c>
      <c r="L48" s="61">
        <f t="shared" si="15"/>
        <v>2.8389249999999997</v>
      </c>
      <c r="M48" s="111">
        <f t="shared" si="18"/>
        <v>3.9772078034933842</v>
      </c>
      <c r="N48" s="62"/>
      <c r="O48" s="7"/>
      <c r="P48" s="7"/>
    </row>
    <row r="49" spans="1:16">
      <c r="A49" s="7"/>
      <c r="C49" s="183">
        <v>7</v>
      </c>
      <c r="D49" s="61">
        <v>950</v>
      </c>
      <c r="E49" s="61">
        <v>0.67749999999999999</v>
      </c>
      <c r="F49" s="61">
        <v>0.53239999999999998</v>
      </c>
      <c r="G49" s="61">
        <v>2.6335000000000002</v>
      </c>
      <c r="H49" s="7"/>
      <c r="I49" s="7"/>
      <c r="J49" s="61">
        <f t="shared" si="13"/>
        <v>0.65597499999999997</v>
      </c>
      <c r="K49" s="61">
        <f t="shared" si="14"/>
        <v>0.51100000000000001</v>
      </c>
      <c r="L49" s="61">
        <f t="shared" si="15"/>
        <v>2.6121000000000003</v>
      </c>
      <c r="M49" s="111">
        <f t="shared" si="18"/>
        <v>3.7260716507921434</v>
      </c>
      <c r="N49" s="62"/>
      <c r="O49" s="7"/>
      <c r="P49" s="7"/>
    </row>
    <row r="50" spans="1:16">
      <c r="A50" s="7"/>
      <c r="C50" s="183">
        <v>8</v>
      </c>
      <c r="D50" s="61">
        <v>800</v>
      </c>
      <c r="E50" s="61">
        <v>0.54730000000000001</v>
      </c>
      <c r="F50" s="61">
        <v>0.436</v>
      </c>
      <c r="G50" s="61">
        <v>2.1932</v>
      </c>
      <c r="H50" s="7"/>
      <c r="I50" s="7"/>
      <c r="J50" s="61">
        <f t="shared" si="13"/>
        <v>0.53744999999999998</v>
      </c>
      <c r="K50" s="61">
        <f t="shared" si="14"/>
        <v>0.42612499999999998</v>
      </c>
      <c r="L50" s="61">
        <f t="shared" si="15"/>
        <v>2.183325</v>
      </c>
      <c r="M50" s="111">
        <f t="shared" si="18"/>
        <v>3.7506046962226534</v>
      </c>
      <c r="N50" s="62"/>
      <c r="O50" s="7"/>
      <c r="P50" s="7"/>
    </row>
    <row r="51" spans="1:16">
      <c r="A51" s="7"/>
      <c r="C51" s="183">
        <v>9</v>
      </c>
      <c r="D51" s="61">
        <v>1000</v>
      </c>
      <c r="E51" s="61">
        <v>0.5353</v>
      </c>
      <c r="F51" s="61">
        <v>0.40579999999999999</v>
      </c>
      <c r="G51" s="61">
        <v>1.9535</v>
      </c>
      <c r="H51" s="7"/>
      <c r="I51" s="7"/>
      <c r="J51" s="61">
        <f t="shared" si="13"/>
        <v>0.50634999999999997</v>
      </c>
      <c r="K51" s="61">
        <f t="shared" si="14"/>
        <v>0.37709999999999999</v>
      </c>
      <c r="L51" s="61">
        <f t="shared" si="15"/>
        <v>1.9248000000000001</v>
      </c>
      <c r="M51" s="111">
        <f t="shared" si="18"/>
        <v>3.6439322218967631</v>
      </c>
      <c r="N51" s="62"/>
      <c r="O51" s="7"/>
      <c r="P51" s="7"/>
    </row>
    <row r="52" spans="1:16">
      <c r="A52" s="7"/>
      <c r="C52" s="183">
        <v>10</v>
      </c>
      <c r="D52" s="61">
        <v>700</v>
      </c>
      <c r="E52" s="61">
        <v>0.69650000000000001</v>
      </c>
      <c r="F52" s="61">
        <v>0.51649999999999996</v>
      </c>
      <c r="G52" s="61">
        <v>2.6726000000000001</v>
      </c>
      <c r="H52" s="7"/>
      <c r="I52" s="7"/>
      <c r="J52" s="61">
        <f t="shared" si="13"/>
        <v>0.68955</v>
      </c>
      <c r="K52" s="61">
        <f t="shared" si="14"/>
        <v>0.50952500000000001</v>
      </c>
      <c r="L52" s="61">
        <f t="shared" si="15"/>
        <v>2.6656249999999999</v>
      </c>
      <c r="M52" s="111">
        <f t="shared" si="18"/>
        <v>3.5399043229547562</v>
      </c>
      <c r="N52" s="62"/>
      <c r="O52" s="7"/>
      <c r="P52" s="7"/>
    </row>
    <row r="53" spans="1:16">
      <c r="A53" s="7"/>
      <c r="C53" s="183">
        <v>11</v>
      </c>
      <c r="D53" s="38">
        <v>750</v>
      </c>
      <c r="E53" s="38">
        <v>0.50029999999999997</v>
      </c>
      <c r="F53" s="38">
        <v>0.39939999999999998</v>
      </c>
      <c r="G53" s="38">
        <v>1.8887</v>
      </c>
      <c r="H53" s="7"/>
      <c r="I53" s="7"/>
      <c r="J53" s="61">
        <f t="shared" si="13"/>
        <v>0.49222499999999997</v>
      </c>
      <c r="K53" s="61">
        <f t="shared" si="14"/>
        <v>0.39119999999999999</v>
      </c>
      <c r="L53" s="61">
        <f t="shared" si="15"/>
        <v>1.8805000000000001</v>
      </c>
      <c r="M53" s="111">
        <f t="shared" si="18"/>
        <v>4.0024187472685329</v>
      </c>
      <c r="N53" s="62"/>
      <c r="O53" s="7"/>
      <c r="P53" s="7"/>
    </row>
    <row r="54" spans="1:16">
      <c r="A54" s="7"/>
      <c r="C54" s="183">
        <v>12</v>
      </c>
      <c r="D54" s="38">
        <v>800</v>
      </c>
      <c r="E54" s="38">
        <v>0.61319999999999997</v>
      </c>
      <c r="F54" s="38">
        <v>0.49070000000000003</v>
      </c>
      <c r="G54" s="38">
        <v>2.4384000000000001</v>
      </c>
      <c r="H54" s="7"/>
      <c r="I54" s="7"/>
      <c r="J54" s="61">
        <f t="shared" si="13"/>
        <v>0.60334999999999994</v>
      </c>
      <c r="K54" s="61">
        <f t="shared" si="14"/>
        <v>0.480825</v>
      </c>
      <c r="L54" s="61">
        <f t="shared" si="15"/>
        <v>2.428525</v>
      </c>
      <c r="M54" s="111">
        <f t="shared" si="18"/>
        <v>3.814399823965763</v>
      </c>
      <c r="N54" s="62"/>
      <c r="O54" s="7"/>
      <c r="P54" s="7"/>
    </row>
    <row r="55" spans="1:16">
      <c r="A55" s="7"/>
      <c r="C55" s="183">
        <v>13</v>
      </c>
      <c r="D55" s="38">
        <v>1000</v>
      </c>
      <c r="E55" s="38">
        <v>0.51870000000000005</v>
      </c>
      <c r="F55" s="38">
        <v>0.41239999999999999</v>
      </c>
      <c r="G55" s="38">
        <v>2.0076000000000001</v>
      </c>
      <c r="H55" s="7"/>
      <c r="I55" s="7"/>
      <c r="J55" s="61">
        <f t="shared" si="13"/>
        <v>0.48975000000000007</v>
      </c>
      <c r="K55" s="61">
        <f t="shared" si="14"/>
        <v>0.38369999999999999</v>
      </c>
      <c r="L55" s="61">
        <f t="shared" si="15"/>
        <v>1.9789000000000001</v>
      </c>
      <c r="M55" s="111">
        <f t="shared" si="18"/>
        <v>3.7038284411431062</v>
      </c>
      <c r="N55" s="62"/>
      <c r="O55" s="7"/>
      <c r="P55" s="7"/>
    </row>
    <row r="56" spans="1:16">
      <c r="A56" s="7"/>
      <c r="C56" s="183">
        <v>14</v>
      </c>
      <c r="D56" s="38">
        <v>800</v>
      </c>
      <c r="E56" s="38">
        <v>0.621</v>
      </c>
      <c r="F56" s="38">
        <v>0.48809999999999998</v>
      </c>
      <c r="G56" s="38">
        <v>2.4007000000000001</v>
      </c>
      <c r="H56" s="7"/>
      <c r="I56" s="7"/>
      <c r="J56" s="61">
        <f t="shared" si="13"/>
        <v>0.61114999999999997</v>
      </c>
      <c r="K56" s="61">
        <f t="shared" si="14"/>
        <v>0.47822499999999996</v>
      </c>
      <c r="L56" s="61">
        <f t="shared" si="15"/>
        <v>2.390825</v>
      </c>
      <c r="M56" s="111">
        <f t="shared" si="18"/>
        <v>3.8185402777045372</v>
      </c>
      <c r="N56" s="62"/>
      <c r="O56" s="7"/>
      <c r="P56" s="7"/>
    </row>
    <row r="57" spans="1:16">
      <c r="A57" s="7"/>
      <c r="C57" s="183"/>
      <c r="D57" s="38"/>
      <c r="E57" s="38"/>
      <c r="F57" s="38"/>
      <c r="G57" s="38"/>
      <c r="H57" s="7"/>
      <c r="I57" s="7"/>
      <c r="J57" s="61"/>
      <c r="K57" s="61"/>
      <c r="L57" s="61"/>
      <c r="M57" s="111"/>
      <c r="N57" s="62"/>
      <c r="O57" s="7"/>
      <c r="P57" s="7"/>
    </row>
    <row r="58" spans="1:16">
      <c r="A58" s="7"/>
      <c r="C58" s="183"/>
      <c r="D58" s="38"/>
      <c r="E58" s="38"/>
      <c r="F58" s="38"/>
      <c r="G58" s="38"/>
      <c r="H58" s="7"/>
      <c r="I58" s="7"/>
      <c r="J58" s="61"/>
      <c r="K58" s="61"/>
      <c r="L58" s="61"/>
      <c r="M58" s="111"/>
      <c r="N58" s="62"/>
      <c r="O58" s="7"/>
      <c r="P58" s="7"/>
    </row>
    <row r="59" spans="1:16">
      <c r="A59" s="7"/>
      <c r="C59" s="183"/>
      <c r="D59" s="38"/>
      <c r="E59" s="38"/>
      <c r="F59" s="38"/>
      <c r="G59" s="38"/>
      <c r="H59" s="7"/>
      <c r="I59" s="7"/>
      <c r="J59" s="61"/>
      <c r="K59" s="61"/>
      <c r="L59" s="61"/>
      <c r="M59" s="111"/>
      <c r="N59" s="62"/>
      <c r="O59" s="7"/>
      <c r="P59" s="7"/>
    </row>
    <row r="60" spans="1:16">
      <c r="A60" s="7"/>
      <c r="B60" s="115" t="s">
        <v>85</v>
      </c>
      <c r="C60" s="183">
        <v>1</v>
      </c>
      <c r="D60" s="38">
        <v>800</v>
      </c>
      <c r="E60" s="38">
        <v>0.4446</v>
      </c>
      <c r="F60" s="38">
        <v>0.47770000000000001</v>
      </c>
      <c r="G60" s="38">
        <v>1.9781</v>
      </c>
      <c r="H60" s="7"/>
      <c r="I60" s="7"/>
      <c r="J60" s="61">
        <f t="shared" ref="J60:J71" si="19">E60-VLOOKUP(D60,Background,2)</f>
        <v>0.43474999999999997</v>
      </c>
      <c r="K60" s="61">
        <f t="shared" ref="K60:K71" si="20">F60-VLOOKUP(D60,Background,3)</f>
        <v>0.46782499999999999</v>
      </c>
      <c r="L60" s="61">
        <f t="shared" ref="L60:L71" si="21">G60-VLOOKUP(D60,Background,3)</f>
        <v>1.9682249999999999</v>
      </c>
      <c r="M60" s="111">
        <f t="shared" ref="M60:M71" si="22">(K60-$F$3*J60)/($F$2*L60)</f>
        <v>5.1654104578459474</v>
      </c>
      <c r="N60" s="121" t="s">
        <v>18</v>
      </c>
      <c r="O60" s="10">
        <f>AVERAGE(M60:M75)</f>
        <v>5.0457598347913768</v>
      </c>
      <c r="P60" s="7"/>
    </row>
    <row r="61" spans="1:16">
      <c r="A61" s="7"/>
      <c r="C61" s="183">
        <v>2</v>
      </c>
      <c r="D61" s="38">
        <v>950</v>
      </c>
      <c r="E61" s="38">
        <v>0.59340000000000004</v>
      </c>
      <c r="F61" s="38">
        <v>0.64139999999999997</v>
      </c>
      <c r="G61" s="38">
        <v>2.6604000000000001</v>
      </c>
      <c r="H61" s="7"/>
      <c r="I61" s="7"/>
      <c r="J61" s="61">
        <f t="shared" si="19"/>
        <v>0.57187500000000002</v>
      </c>
      <c r="K61" s="61">
        <f t="shared" si="20"/>
        <v>0.62</v>
      </c>
      <c r="L61" s="61">
        <f t="shared" si="21"/>
        <v>2.6390000000000002</v>
      </c>
      <c r="M61" s="111">
        <f t="shared" si="22"/>
        <v>5.1179395206679779</v>
      </c>
      <c r="N61" s="121" t="s">
        <v>19</v>
      </c>
      <c r="O61" s="11">
        <f>STDEV(M60:M75)/(SQRT(COUNT(M60:M75)))</f>
        <v>2.8763388459144685E-2</v>
      </c>
      <c r="P61" s="7"/>
    </row>
    <row r="62" spans="1:16">
      <c r="A62" s="7"/>
      <c r="C62" s="183">
        <v>3</v>
      </c>
      <c r="D62" s="38">
        <v>950</v>
      </c>
      <c r="E62" s="38">
        <v>0.58189999999999997</v>
      </c>
      <c r="F62" s="38">
        <v>0.58179999999999998</v>
      </c>
      <c r="G62" s="38">
        <v>2.3706999999999998</v>
      </c>
      <c r="H62" s="7"/>
      <c r="I62" s="7"/>
      <c r="J62" s="61">
        <f t="shared" si="19"/>
        <v>0.56037499999999996</v>
      </c>
      <c r="K62" s="61">
        <f t="shared" si="20"/>
        <v>0.56040000000000001</v>
      </c>
      <c r="L62" s="61">
        <f t="shared" si="21"/>
        <v>2.3492999999999999</v>
      </c>
      <c r="M62" s="111">
        <f t="shared" si="22"/>
        <v>5.0561993538280579</v>
      </c>
      <c r="N62" s="62"/>
      <c r="O62" s="7"/>
      <c r="P62" s="7"/>
    </row>
    <row r="63" spans="1:16">
      <c r="A63" s="7"/>
      <c r="C63" s="183">
        <v>4</v>
      </c>
      <c r="D63" s="38">
        <v>950</v>
      </c>
      <c r="E63" s="38">
        <v>0.56820000000000004</v>
      </c>
      <c r="F63" s="38">
        <v>0.5776</v>
      </c>
      <c r="G63" s="38">
        <v>2.3361999999999998</v>
      </c>
      <c r="H63" s="7"/>
      <c r="I63" s="7"/>
      <c r="J63" s="61">
        <f t="shared" si="19"/>
        <v>0.54667500000000002</v>
      </c>
      <c r="K63" s="61">
        <f t="shared" si="20"/>
        <v>0.55620000000000003</v>
      </c>
      <c r="L63" s="61">
        <f t="shared" si="21"/>
        <v>2.3148</v>
      </c>
      <c r="M63" s="111">
        <f t="shared" si="22"/>
        <v>5.1241922410432474</v>
      </c>
      <c r="N63" s="62"/>
      <c r="O63" s="7"/>
      <c r="P63" s="7"/>
    </row>
    <row r="64" spans="1:16">
      <c r="A64" s="7"/>
      <c r="C64" s="183">
        <v>5</v>
      </c>
      <c r="D64" s="38">
        <v>850</v>
      </c>
      <c r="E64" s="38">
        <v>0.45479999999999998</v>
      </c>
      <c r="F64" s="38">
        <v>0.46150000000000002</v>
      </c>
      <c r="G64" s="38">
        <v>1.883</v>
      </c>
      <c r="H64" s="7"/>
      <c r="I64" s="7"/>
      <c r="J64" s="61">
        <f t="shared" si="19"/>
        <v>0.44239999999999996</v>
      </c>
      <c r="K64" s="61">
        <f t="shared" si="20"/>
        <v>0.4491</v>
      </c>
      <c r="L64" s="61">
        <f t="shared" si="21"/>
        <v>1.8706</v>
      </c>
      <c r="M64" s="111">
        <f t="shared" si="22"/>
        <v>5.1159874564771473</v>
      </c>
      <c r="N64" s="62"/>
      <c r="O64" s="7"/>
      <c r="P64" s="7"/>
    </row>
    <row r="65" spans="1:16">
      <c r="A65" s="7"/>
      <c r="C65" s="183">
        <v>6</v>
      </c>
      <c r="D65" s="38">
        <v>750</v>
      </c>
      <c r="E65" s="38">
        <v>0.49409999999999998</v>
      </c>
      <c r="F65" s="38">
        <v>0.46700000000000003</v>
      </c>
      <c r="G65" s="38">
        <v>1.8933</v>
      </c>
      <c r="H65" s="7"/>
      <c r="I65" s="7"/>
      <c r="J65" s="61">
        <f t="shared" si="19"/>
        <v>0.48602499999999998</v>
      </c>
      <c r="K65" s="61">
        <f t="shared" si="20"/>
        <v>0.45880000000000004</v>
      </c>
      <c r="L65" s="61">
        <f t="shared" si="21"/>
        <v>1.8851</v>
      </c>
      <c r="M65" s="111">
        <f t="shared" si="22"/>
        <v>5.0493568064968279</v>
      </c>
      <c r="N65" s="62"/>
      <c r="O65" s="7"/>
      <c r="P65" s="7"/>
    </row>
    <row r="66" spans="1:16">
      <c r="A66" s="7"/>
      <c r="C66" s="183">
        <v>7</v>
      </c>
      <c r="D66" s="38">
        <v>900</v>
      </c>
      <c r="E66" s="38">
        <v>0.64890000000000003</v>
      </c>
      <c r="F66" s="38">
        <v>0.63700000000000001</v>
      </c>
      <c r="G66" s="38">
        <v>2.6496</v>
      </c>
      <c r="H66" s="7"/>
      <c r="I66" s="7"/>
      <c r="J66" s="61">
        <f t="shared" si="19"/>
        <v>0.63275000000000003</v>
      </c>
      <c r="K66" s="61">
        <f t="shared" si="20"/>
        <v>0.62097500000000005</v>
      </c>
      <c r="L66" s="61">
        <f t="shared" si="21"/>
        <v>2.633575</v>
      </c>
      <c r="M66" s="111">
        <f t="shared" si="22"/>
        <v>4.9640079541518247</v>
      </c>
      <c r="N66" s="62"/>
      <c r="O66" s="7"/>
      <c r="P66" s="7"/>
    </row>
    <row r="67" spans="1:16">
      <c r="A67" s="7"/>
      <c r="C67" s="183">
        <v>8</v>
      </c>
      <c r="D67" s="38">
        <v>1000</v>
      </c>
      <c r="E67" s="38">
        <v>0.53249999999999997</v>
      </c>
      <c r="F67" s="38">
        <v>0.52400000000000002</v>
      </c>
      <c r="G67" s="38">
        <v>2.1987000000000001</v>
      </c>
      <c r="H67" s="7"/>
      <c r="I67" s="7"/>
      <c r="J67" s="61">
        <f t="shared" si="19"/>
        <v>0.50354999999999994</v>
      </c>
      <c r="K67" s="61">
        <f t="shared" si="20"/>
        <v>0.49530000000000002</v>
      </c>
      <c r="L67" s="61">
        <f t="shared" si="21"/>
        <v>2.17</v>
      </c>
      <c r="M67" s="111">
        <f t="shared" si="22"/>
        <v>4.8091998812172978</v>
      </c>
      <c r="N67" s="62"/>
      <c r="O67" s="7"/>
      <c r="P67" s="7"/>
    </row>
    <row r="68" spans="1:16">
      <c r="A68" s="7"/>
      <c r="C68" s="183">
        <v>9</v>
      </c>
      <c r="D68" s="38">
        <v>900</v>
      </c>
      <c r="E68" s="38">
        <v>0.65090000000000003</v>
      </c>
      <c r="F68" s="38">
        <v>0.62739999999999996</v>
      </c>
      <c r="G68" s="38">
        <v>2.6015000000000001</v>
      </c>
      <c r="H68" s="7"/>
      <c r="I68" s="7"/>
      <c r="J68" s="61">
        <f t="shared" si="19"/>
        <v>0.63475000000000004</v>
      </c>
      <c r="K68" s="61">
        <f t="shared" si="20"/>
        <v>0.611375</v>
      </c>
      <c r="L68" s="61">
        <f t="shared" si="21"/>
        <v>2.5854750000000002</v>
      </c>
      <c r="M68" s="111">
        <f t="shared" si="22"/>
        <v>4.9436635929281465</v>
      </c>
      <c r="N68" s="62"/>
      <c r="O68" s="7"/>
      <c r="P68" s="7"/>
    </row>
    <row r="69" spans="1:16">
      <c r="A69" s="7"/>
      <c r="C69" s="183">
        <v>10</v>
      </c>
      <c r="D69" s="38">
        <v>1000</v>
      </c>
      <c r="E69" s="38">
        <v>0.55189999999999995</v>
      </c>
      <c r="F69" s="38">
        <v>0.55389999999999995</v>
      </c>
      <c r="G69" s="38">
        <v>2.2450999999999999</v>
      </c>
      <c r="H69" s="7"/>
      <c r="I69" s="7"/>
      <c r="J69" s="61">
        <f t="shared" si="19"/>
        <v>0.52294999999999991</v>
      </c>
      <c r="K69" s="61">
        <f t="shared" si="20"/>
        <v>0.5252</v>
      </c>
      <c r="L69" s="61">
        <f t="shared" si="21"/>
        <v>2.2163999999999997</v>
      </c>
      <c r="M69" s="111">
        <f t="shared" si="22"/>
        <v>5.0303559301392484</v>
      </c>
      <c r="N69" s="62"/>
      <c r="O69" s="7"/>
      <c r="P69" s="7"/>
    </row>
    <row r="70" spans="1:16">
      <c r="A70" s="7"/>
      <c r="C70" s="65">
        <v>12</v>
      </c>
      <c r="D70" s="38">
        <v>1050</v>
      </c>
      <c r="E70" s="38">
        <v>0.48759999999999998</v>
      </c>
      <c r="F70" s="38">
        <v>0.4647</v>
      </c>
      <c r="G70" s="38">
        <v>1.766</v>
      </c>
      <c r="H70" s="7"/>
      <c r="I70" s="7"/>
      <c r="J70" s="61">
        <f t="shared" si="19"/>
        <v>0.44824999999999998</v>
      </c>
      <c r="K70" s="61">
        <f t="shared" si="20"/>
        <v>0.42504999999999998</v>
      </c>
      <c r="L70" s="61">
        <f t="shared" si="21"/>
        <v>1.7263500000000001</v>
      </c>
      <c r="M70" s="111">
        <f t="shared" si="22"/>
        <v>5.1169612716960415</v>
      </c>
      <c r="N70" s="62"/>
      <c r="O70" s="7"/>
      <c r="P70" s="7"/>
    </row>
    <row r="71" spans="1:16">
      <c r="A71" s="7"/>
      <c r="C71" s="65">
        <v>13</v>
      </c>
      <c r="D71" s="38">
        <v>850</v>
      </c>
      <c r="E71" s="38">
        <v>0.48110000000000003</v>
      </c>
      <c r="F71" s="38">
        <v>0.48039999999999999</v>
      </c>
      <c r="G71" s="38">
        <v>1.9734</v>
      </c>
      <c r="H71" s="7"/>
      <c r="I71" s="7"/>
      <c r="J71" s="61">
        <f t="shared" si="19"/>
        <v>0.46870000000000001</v>
      </c>
      <c r="K71" s="61">
        <f t="shared" si="20"/>
        <v>0.46799999999999997</v>
      </c>
      <c r="L71" s="61">
        <f t="shared" si="21"/>
        <v>1.9610000000000001</v>
      </c>
      <c r="M71" s="111">
        <f t="shared" si="22"/>
        <v>5.0558435510047488</v>
      </c>
      <c r="N71" s="62"/>
      <c r="O71" s="7"/>
      <c r="P71" s="7"/>
    </row>
    <row r="72" spans="1:16">
      <c r="A72" s="7"/>
      <c r="C72" s="65"/>
      <c r="D72" s="38"/>
      <c r="E72" s="38"/>
      <c r="F72" s="38"/>
      <c r="G72" s="38"/>
      <c r="H72" s="7"/>
      <c r="I72" s="7"/>
      <c r="J72" s="61"/>
      <c r="K72" s="61"/>
      <c r="L72" s="61"/>
      <c r="M72" s="111"/>
      <c r="N72" s="62"/>
      <c r="O72" s="7"/>
      <c r="P72" s="7"/>
    </row>
    <row r="73" spans="1:16">
      <c r="A73" s="7"/>
      <c r="C73" s="183"/>
      <c r="D73" s="38"/>
      <c r="E73" s="38"/>
      <c r="F73" s="38"/>
      <c r="G73" s="38"/>
      <c r="H73" s="7"/>
      <c r="I73" s="7"/>
      <c r="J73" s="61"/>
      <c r="K73" s="61"/>
      <c r="L73" s="61"/>
      <c r="M73" s="111"/>
      <c r="N73" s="62"/>
      <c r="O73" s="7"/>
      <c r="P73" s="7"/>
    </row>
    <row r="74" spans="1:16">
      <c r="A74" s="7"/>
      <c r="C74" s="65"/>
      <c r="D74" s="38"/>
      <c r="E74" s="38"/>
      <c r="F74" s="38"/>
      <c r="G74" s="38"/>
      <c r="H74" s="7"/>
      <c r="I74" s="7"/>
      <c r="J74" s="61"/>
      <c r="K74" s="61"/>
      <c r="L74" s="61"/>
      <c r="M74" s="111"/>
      <c r="N74" s="62"/>
      <c r="O74" s="7"/>
      <c r="P74" s="7"/>
    </row>
    <row r="75" spans="1:16">
      <c r="D75" s="61"/>
      <c r="E75" s="61"/>
      <c r="F75" s="61"/>
      <c r="G75" s="61"/>
    </row>
  </sheetData>
  <mergeCells count="1">
    <mergeCell ref="J5:L5"/>
  </mergeCell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J96"/>
  <sheetViews>
    <sheetView topLeftCell="J1" zoomScale="85" zoomScaleNormal="85" zoomScalePageLayoutView="85" workbookViewId="0">
      <selection activeCell="AA65" sqref="AA65"/>
    </sheetView>
  </sheetViews>
  <sheetFormatPr baseColWidth="10" defaultColWidth="11.5" defaultRowHeight="14" x14ac:dyDescent="0"/>
  <cols>
    <col min="1" max="1" width="12.83203125" customWidth="1"/>
    <col min="3" max="3" width="3.83203125" style="3" customWidth="1"/>
    <col min="11" max="11" width="17.1640625" customWidth="1"/>
    <col min="12" max="12" width="15.6640625" customWidth="1"/>
    <col min="13" max="13" width="17.1640625" customWidth="1"/>
    <col min="14" max="16" width="15.6640625" customWidth="1"/>
    <col min="17" max="17" width="11.5" customWidth="1"/>
    <col min="18" max="18" width="18.6640625" customWidth="1"/>
    <col min="20" max="20" width="12.1640625" customWidth="1"/>
    <col min="21" max="21" width="12.5" customWidth="1"/>
    <col min="26" max="26" width="14.1640625" customWidth="1"/>
    <col min="27" max="27" width="15" customWidth="1"/>
  </cols>
  <sheetData>
    <row r="2" spans="1:36">
      <c r="A2" s="7"/>
      <c r="B2" s="7"/>
    </row>
    <row r="3" spans="1:36" ht="16">
      <c r="D3" s="128" t="s">
        <v>139</v>
      </c>
      <c r="E3" s="145">
        <f>'RA-value (YFP) '!P9</f>
        <v>3.4755410728791937E-2</v>
      </c>
    </row>
    <row r="4" spans="1:36" ht="16">
      <c r="D4" s="128" t="s">
        <v>140</v>
      </c>
      <c r="E4" s="145">
        <f>' RD-value (CFP)'!P9</f>
        <v>0.26331802956531603</v>
      </c>
      <c r="AF4" s="7"/>
      <c r="AG4" s="38"/>
      <c r="AH4" s="38"/>
      <c r="AI4" s="38"/>
      <c r="AJ4" s="7"/>
    </row>
    <row r="5" spans="1:36">
      <c r="A5" s="7"/>
      <c r="B5" s="7"/>
      <c r="D5" s="61"/>
      <c r="E5" s="61"/>
      <c r="F5" s="61"/>
      <c r="AF5" s="7"/>
      <c r="AG5" s="38"/>
      <c r="AH5" s="194"/>
      <c r="AI5" s="194"/>
      <c r="AJ5" s="7"/>
    </row>
    <row r="6" spans="1:36">
      <c r="C6" s="52"/>
      <c r="D6" s="70"/>
      <c r="E6" s="71"/>
      <c r="F6" s="71"/>
      <c r="G6" s="71"/>
      <c r="H6" s="72"/>
      <c r="I6" s="73"/>
      <c r="J6" s="74"/>
      <c r="K6" s="195" t="s">
        <v>21</v>
      </c>
      <c r="L6" s="196"/>
      <c r="M6" s="68"/>
      <c r="N6" s="69"/>
      <c r="O6" s="75"/>
      <c r="P6" s="75"/>
      <c r="AF6" s="7"/>
      <c r="AG6" s="38"/>
      <c r="AH6" s="43"/>
      <c r="AI6" s="125"/>
      <c r="AJ6" s="7"/>
    </row>
    <row r="7" spans="1:36" ht="15" thickBot="1">
      <c r="B7" s="36"/>
      <c r="C7" s="39"/>
      <c r="D7" s="191" t="s">
        <v>33</v>
      </c>
      <c r="E7" s="192"/>
      <c r="F7" s="192"/>
      <c r="G7" s="193"/>
      <c r="H7" s="197" t="s">
        <v>20</v>
      </c>
      <c r="I7" s="198"/>
      <c r="J7" s="199"/>
      <c r="K7" s="76" t="s">
        <v>144</v>
      </c>
      <c r="L7" s="77" t="s">
        <v>143</v>
      </c>
      <c r="M7" s="78" t="s">
        <v>18</v>
      </c>
      <c r="N7" s="79" t="s">
        <v>18</v>
      </c>
      <c r="O7" s="80"/>
      <c r="P7" s="80"/>
      <c r="AF7" s="7"/>
      <c r="AG7" s="38"/>
      <c r="AH7" s="126"/>
      <c r="AI7" s="126"/>
      <c r="AJ7" s="7"/>
    </row>
    <row r="8" spans="1:36" ht="19" thickBot="1">
      <c r="A8" s="44" t="s">
        <v>78</v>
      </c>
      <c r="B8" s="37" t="s">
        <v>87</v>
      </c>
      <c r="C8" s="45" t="s">
        <v>22</v>
      </c>
      <c r="D8" s="40" t="s">
        <v>23</v>
      </c>
      <c r="E8" s="40" t="s">
        <v>24</v>
      </c>
      <c r="F8" s="40" t="s">
        <v>25</v>
      </c>
      <c r="G8" s="152" t="s">
        <v>142</v>
      </c>
      <c r="H8" s="47" t="s">
        <v>26</v>
      </c>
      <c r="I8" s="48" t="s">
        <v>27</v>
      </c>
      <c r="J8" s="49" t="s">
        <v>28</v>
      </c>
      <c r="K8" s="50" t="s">
        <v>29</v>
      </c>
      <c r="L8" s="42" t="s">
        <v>30</v>
      </c>
      <c r="M8" s="41" t="s">
        <v>29</v>
      </c>
      <c r="N8" s="42" t="s">
        <v>30</v>
      </c>
      <c r="O8" s="80" t="s">
        <v>130</v>
      </c>
      <c r="P8" s="80" t="s">
        <v>131</v>
      </c>
      <c r="Q8" s="177"/>
      <c r="AF8" s="7"/>
      <c r="AG8" s="7"/>
      <c r="AH8" s="59"/>
      <c r="AI8" s="59"/>
      <c r="AJ8" s="7"/>
    </row>
    <row r="9" spans="1:36">
      <c r="A9" s="66"/>
      <c r="B9" s="51" t="s">
        <v>82</v>
      </c>
      <c r="C9" s="52">
        <v>1</v>
      </c>
      <c r="D9" s="3">
        <f>Dimer!J7</f>
        <v>0.40725</v>
      </c>
      <c r="E9" s="3">
        <f>Dimer!K7</f>
        <v>0.56427500000000008</v>
      </c>
      <c r="F9" s="3">
        <f>Dimer!L7</f>
        <v>2.0900750000000001</v>
      </c>
      <c r="G9" s="96">
        <f>Dimer!M7</f>
        <v>6.2917102036435697</v>
      </c>
      <c r="H9">
        <f t="shared" ref="H9:H12" si="0">E9-_Rd1*D9-_Ra1*F9</f>
        <v>0.38439731738054533</v>
      </c>
      <c r="I9">
        <f t="shared" ref="I9:I12" si="1">H9/F9</f>
        <v>0.18391556158537148</v>
      </c>
      <c r="J9" s="36">
        <f t="shared" ref="J9:J12" si="2">D9/F9</f>
        <v>0.19484946712438547</v>
      </c>
      <c r="K9" s="3">
        <f>J9*(_Rd1/_Ra1)</f>
        <v>1.4762414446893921</v>
      </c>
      <c r="L9" s="39">
        <f>I9/_Ra1</f>
        <v>5.2917102036435697</v>
      </c>
      <c r="N9" s="35"/>
      <c r="O9" s="81">
        <f t="shared" ref="O9:O20" si="3">(G9-1)/$T$56</f>
        <v>0.29829257066761949</v>
      </c>
      <c r="P9" s="81">
        <f t="shared" ref="P9:P21" si="4">(E9-_Rd1*D9-_Ra1*F9)/((E9-_Rd1*D9-_Ra1*F9)+$T$57*D9*_Rd1)</f>
        <v>0.31458659793039112</v>
      </c>
      <c r="AF9" s="7"/>
      <c r="AG9" s="7"/>
      <c r="AH9" s="59"/>
      <c r="AI9" s="59"/>
      <c r="AJ9" s="7"/>
    </row>
    <row r="10" spans="1:36">
      <c r="B10" s="39"/>
      <c r="C10" s="52">
        <v>2</v>
      </c>
      <c r="D10" s="3">
        <f>Dimer!J8</f>
        <v>0.49304999999999999</v>
      </c>
      <c r="E10" s="3">
        <f>Dimer!K8</f>
        <v>0.68237500000000006</v>
      </c>
      <c r="F10" s="3">
        <f>Dimer!L8</f>
        <v>2.5338750000000001</v>
      </c>
      <c r="G10" s="97">
        <f>Dimer!M8</f>
        <v>6.2742361866001</v>
      </c>
      <c r="H10">
        <f t="shared" si="0"/>
        <v>0.46448017916240336</v>
      </c>
      <c r="I10">
        <f t="shared" si="1"/>
        <v>0.1833082449459438</v>
      </c>
      <c r="J10" s="36">
        <f t="shared" si="2"/>
        <v>0.19458339499778007</v>
      </c>
      <c r="K10" s="3">
        <f>J10*(_Rd1/_Ra1)</f>
        <v>1.4742255977570482</v>
      </c>
      <c r="L10" s="39">
        <f t="shared" ref="L10:L12" si="5">I10/_Ra1</f>
        <v>5.2742361866001009</v>
      </c>
      <c r="M10" s="3"/>
      <c r="N10" s="39"/>
      <c r="O10" s="81">
        <f t="shared" si="3"/>
        <v>0.29730756406990422</v>
      </c>
      <c r="P10" s="81">
        <f t="shared" si="4"/>
        <v>0.31416819347238922</v>
      </c>
      <c r="AF10" s="7"/>
      <c r="AG10" s="7"/>
      <c r="AH10" s="7"/>
      <c r="AI10" s="7"/>
      <c r="AJ10" s="7"/>
    </row>
    <row r="11" spans="1:36">
      <c r="B11" s="39"/>
      <c r="C11" s="52">
        <v>3</v>
      </c>
      <c r="D11" s="3">
        <f>Dimer!J9</f>
        <v>0.46864999999999996</v>
      </c>
      <c r="E11" s="3">
        <f>Dimer!K9</f>
        <v>0.66352500000000003</v>
      </c>
      <c r="F11" s="3">
        <f>Dimer!L9</f>
        <v>2.4600249999999999</v>
      </c>
      <c r="G11" s="97">
        <f>Dimer!M9</f>
        <v>6.3172653820150249</v>
      </c>
      <c r="H11">
        <f t="shared" si="0"/>
        <v>0.45462182616611835</v>
      </c>
      <c r="I11">
        <f t="shared" si="1"/>
        <v>0.18480374230591898</v>
      </c>
      <c r="J11" s="36">
        <f t="shared" si="2"/>
        <v>0.19050619404274347</v>
      </c>
      <c r="K11" s="3">
        <f t="shared" ref="K11:K12" si="6">J11*(_Rd1/_Ra1)</f>
        <v>1.4433354284536346</v>
      </c>
      <c r="L11" s="39">
        <f t="shared" si="5"/>
        <v>5.3172653820150257</v>
      </c>
      <c r="M11" s="54"/>
      <c r="N11" s="39"/>
      <c r="O11" s="81">
        <f t="shared" si="3"/>
        <v>0.29973311059836671</v>
      </c>
      <c r="P11" s="81">
        <f t="shared" si="4"/>
        <v>0.32051577480014221</v>
      </c>
      <c r="Z11" s="38"/>
      <c r="AA11" s="53"/>
      <c r="AF11" s="7"/>
      <c r="AG11" s="7"/>
      <c r="AH11" s="7"/>
      <c r="AI11" s="7"/>
      <c r="AJ11" s="7"/>
    </row>
    <row r="12" spans="1:36">
      <c r="B12" s="39"/>
      <c r="C12" s="52">
        <v>4</v>
      </c>
      <c r="D12" s="3">
        <f>Dimer!J10</f>
        <v>0.42829999999999996</v>
      </c>
      <c r="E12" s="3">
        <f>Dimer!K10</f>
        <v>0.55510000000000004</v>
      </c>
      <c r="F12" s="3">
        <f>Dimer!L10</f>
        <v>2.0426000000000002</v>
      </c>
      <c r="G12" s="97">
        <f>Dimer!M10</f>
        <v>6.2306261851238842</v>
      </c>
      <c r="H12">
        <f t="shared" si="0"/>
        <v>0.37132948598254478</v>
      </c>
      <c r="I12">
        <f t="shared" si="1"/>
        <v>0.18179256143275471</v>
      </c>
      <c r="J12" s="36">
        <f t="shared" si="2"/>
        <v>0.20968373641437379</v>
      </c>
      <c r="K12" s="3">
        <f t="shared" si="6"/>
        <v>1.5886305800088347</v>
      </c>
      <c r="L12" s="39">
        <f t="shared" si="5"/>
        <v>5.2306261851238851</v>
      </c>
      <c r="M12" s="3"/>
      <c r="N12" s="39"/>
      <c r="O12" s="81">
        <f t="shared" si="3"/>
        <v>0.29484927762817842</v>
      </c>
      <c r="P12" s="81">
        <f t="shared" si="4"/>
        <v>0.29655722297586573</v>
      </c>
      <c r="Z12" s="38"/>
      <c r="AA12" s="53"/>
      <c r="AF12" s="7"/>
      <c r="AG12" s="7"/>
      <c r="AH12" s="7"/>
      <c r="AI12" s="7"/>
      <c r="AJ12" s="7"/>
    </row>
    <row r="13" spans="1:36">
      <c r="B13" s="39"/>
      <c r="C13" s="52">
        <v>5</v>
      </c>
      <c r="D13" s="3">
        <f>Dimer!J11</f>
        <v>0.36404999999999998</v>
      </c>
      <c r="E13" s="3">
        <f>Dimer!K11</f>
        <v>0.47002499999999997</v>
      </c>
      <c r="F13" s="3">
        <f>Dimer!L11</f>
        <v>1.7078249999999999</v>
      </c>
      <c r="G13" s="97">
        <f>Dimer!M11</f>
        <v>6.3037109471616182</v>
      </c>
      <c r="H13">
        <f t="shared" ref="H13:H21" si="7">E13-_Rd1*D13-_Ra1*F13</f>
        <v>0.31480791200884761</v>
      </c>
      <c r="I13">
        <f t="shared" ref="I13:I21" si="8">H13/F13</f>
        <v>0.18433265235539217</v>
      </c>
      <c r="J13" s="36">
        <f t="shared" ref="J13:J21" si="9">D13/F13</f>
        <v>0.21316586886829739</v>
      </c>
      <c r="K13" s="3">
        <f t="shared" ref="K13:K21" si="10">J13*(_Rd1/_Ra1)</f>
        <v>1.6150123213614989</v>
      </c>
      <c r="L13" s="39">
        <f t="shared" ref="L13:L21" si="11">I13/_Ra1</f>
        <v>5.3037109471616191</v>
      </c>
      <c r="M13" s="3"/>
      <c r="N13" s="39"/>
      <c r="O13" s="81">
        <f t="shared" ref="O13:O19" si="12">(G13-1)/$T$56</f>
        <v>0.29896905000911039</v>
      </c>
      <c r="P13" s="81">
        <f t="shared" ref="P13:P19" si="13">(E13-_Rd1*D13-_Ra1*F13)/((E13-_Rd1*D13-_Ra1*F13)+$T$57*D13*_Rd1)</f>
        <v>0.29601627635587008</v>
      </c>
      <c r="Z13" s="38"/>
      <c r="AA13" s="53"/>
    </row>
    <row r="14" spans="1:36">
      <c r="B14" s="39"/>
      <c r="C14" s="52">
        <v>6</v>
      </c>
      <c r="D14" s="3">
        <f>Dimer!J12</f>
        <v>0.54774999999999996</v>
      </c>
      <c r="E14" s="3">
        <f>Dimer!K12</f>
        <v>0.74172500000000008</v>
      </c>
      <c r="F14" s="3">
        <f>Dimer!L12</f>
        <v>2.737425</v>
      </c>
      <c r="G14" s="97">
        <f>Dimer!M12</f>
        <v>6.2801185150398311</v>
      </c>
      <c r="H14">
        <f t="shared" si="7"/>
        <v>0.50235221909133498</v>
      </c>
      <c r="I14">
        <f t="shared" si="8"/>
        <v>0.18351268768690832</v>
      </c>
      <c r="J14" s="36">
        <f t="shared" si="9"/>
        <v>0.20009680630519555</v>
      </c>
      <c r="K14" s="3">
        <f t="shared" si="10"/>
        <v>1.515996952812539</v>
      </c>
      <c r="L14" s="39">
        <f t="shared" si="11"/>
        <v>5.280118515039832</v>
      </c>
      <c r="M14" s="3"/>
      <c r="N14" s="39"/>
      <c r="O14" s="81">
        <f t="shared" si="12"/>
        <v>0.2976391496640266</v>
      </c>
      <c r="P14" s="81">
        <f t="shared" si="13"/>
        <v>0.30841715184176205</v>
      </c>
      <c r="Z14" s="38"/>
      <c r="AA14" s="53"/>
    </row>
    <row r="15" spans="1:36">
      <c r="B15" s="39"/>
      <c r="C15" s="52">
        <v>7</v>
      </c>
      <c r="D15" s="3">
        <f>Dimer!J13</f>
        <v>0.3337</v>
      </c>
      <c r="E15" s="3">
        <f>Dimer!K13</f>
        <v>0.43302499999999999</v>
      </c>
      <c r="F15" s="3">
        <f>Dimer!L13</f>
        <v>1.5889249999999999</v>
      </c>
      <c r="G15" s="97">
        <f>Dimer!M13</f>
        <v>6.2501338614948105</v>
      </c>
      <c r="H15">
        <f t="shared" si="7"/>
        <v>0.28993203254180833</v>
      </c>
      <c r="I15">
        <f t="shared" si="8"/>
        <v>0.1824705587373906</v>
      </c>
      <c r="J15" s="36">
        <f t="shared" si="9"/>
        <v>0.2100162059253898</v>
      </c>
      <c r="K15" s="3">
        <f t="shared" si="10"/>
        <v>1.5911494746124528</v>
      </c>
      <c r="L15" s="39">
        <f t="shared" si="11"/>
        <v>5.2501338614948114</v>
      </c>
      <c r="M15" s="3"/>
      <c r="N15" s="39"/>
      <c r="O15" s="81">
        <f t="shared" si="12"/>
        <v>0.29594892116656207</v>
      </c>
      <c r="P15" s="81">
        <f t="shared" si="13"/>
        <v>0.29700348010210248</v>
      </c>
      <c r="Z15" s="38"/>
      <c r="AA15" s="53"/>
    </row>
    <row r="16" spans="1:36">
      <c r="B16" s="39"/>
      <c r="C16" s="52">
        <v>8</v>
      </c>
      <c r="D16" s="3">
        <f>Dimer!J14</f>
        <v>0.35535</v>
      </c>
      <c r="E16" s="3">
        <f>Dimer!K14</f>
        <v>0.470225</v>
      </c>
      <c r="F16" s="3">
        <f>Dimer!L14</f>
        <v>1.709325</v>
      </c>
      <c r="G16" s="97">
        <f>Dimer!M14</f>
        <v>6.3401071247597285</v>
      </c>
      <c r="H16">
        <f t="shared" si="7"/>
        <v>0.31724664574997269</v>
      </c>
      <c r="I16">
        <f t="shared" si="8"/>
        <v>0.18559761645677253</v>
      </c>
      <c r="J16" s="36">
        <f t="shared" si="9"/>
        <v>0.20788907902242112</v>
      </c>
      <c r="K16" s="3">
        <f t="shared" si="10"/>
        <v>1.5750336856466478</v>
      </c>
      <c r="L16" s="39">
        <f t="shared" si="11"/>
        <v>5.3401071247597285</v>
      </c>
      <c r="M16" s="3">
        <f>AVERAGE(K9:K24)</f>
        <v>1.5797877027684943</v>
      </c>
      <c r="N16" s="39">
        <f>AVERAGE(L9:L24)</f>
        <v>5.2520134544785773</v>
      </c>
      <c r="O16" s="81">
        <f t="shared" si="12"/>
        <v>0.3010206947440659</v>
      </c>
      <c r="P16" s="81">
        <f t="shared" si="13"/>
        <v>0.30270793811809948</v>
      </c>
      <c r="AA16" s="55"/>
    </row>
    <row r="17" spans="1:27">
      <c r="B17" s="39"/>
      <c r="C17" s="52">
        <v>9</v>
      </c>
      <c r="D17" s="3">
        <f>Dimer!J15</f>
        <v>0.3982</v>
      </c>
      <c r="E17" s="3">
        <f>Dimer!K15</f>
        <v>0.52390000000000003</v>
      </c>
      <c r="F17" s="3">
        <f>Dimer!L15</f>
        <v>1.8896999999999999</v>
      </c>
      <c r="G17" s="97">
        <f>Dimer!M15</f>
        <v>6.3803896145767549</v>
      </c>
      <c r="H17">
        <f t="shared" si="7"/>
        <v>0.35336946097289307</v>
      </c>
      <c r="I17">
        <f t="shared" si="8"/>
        <v>0.18699765093554166</v>
      </c>
      <c r="J17" s="36">
        <f t="shared" si="9"/>
        <v>0.21072127850981637</v>
      </c>
      <c r="K17" s="3">
        <f t="shared" si="10"/>
        <v>1.5964913284343074</v>
      </c>
      <c r="L17" s="39">
        <f t="shared" si="11"/>
        <v>5.3803896145767549</v>
      </c>
      <c r="M17" s="3"/>
      <c r="N17" s="39"/>
      <c r="O17" s="81">
        <f t="shared" si="12"/>
        <v>0.30329141006633342</v>
      </c>
      <c r="P17" s="81">
        <f t="shared" si="13"/>
        <v>0.3014394961372876</v>
      </c>
      <c r="AA17" s="55"/>
    </row>
    <row r="18" spans="1:27">
      <c r="B18" s="39"/>
      <c r="C18" s="52">
        <v>10</v>
      </c>
      <c r="D18" s="3">
        <f>Dimer!J16</f>
        <v>0.35309999999999997</v>
      </c>
      <c r="E18" s="3">
        <f>Dimer!K16</f>
        <v>0.45119999999999999</v>
      </c>
      <c r="F18" s="3">
        <f>Dimer!L16</f>
        <v>1.6754</v>
      </c>
      <c r="G18" s="97">
        <f>Dimer!M16</f>
        <v>6.1519359814461652</v>
      </c>
      <c r="H18">
        <f t="shared" si="7"/>
        <v>0.29999318862546892</v>
      </c>
      <c r="I18">
        <f t="shared" si="8"/>
        <v>0.17905765108360328</v>
      </c>
      <c r="J18" s="36">
        <f t="shared" si="9"/>
        <v>0.21075564044407305</v>
      </c>
      <c r="K18" s="3">
        <f t="shared" si="10"/>
        <v>1.5967516653611569</v>
      </c>
      <c r="L18" s="39">
        <f t="shared" si="11"/>
        <v>5.1519359814461652</v>
      </c>
      <c r="M18" s="3"/>
      <c r="N18" s="39"/>
      <c r="O18" s="81">
        <f t="shared" si="12"/>
        <v>0.29041352770271511</v>
      </c>
      <c r="P18" s="81">
        <f t="shared" si="13"/>
        <v>0.2923487895465553</v>
      </c>
      <c r="AA18" s="55"/>
    </row>
    <row r="19" spans="1:27">
      <c r="B19" s="39"/>
      <c r="C19" s="52">
        <v>11</v>
      </c>
      <c r="D19" s="3">
        <f>Dimer!J17</f>
        <v>0.44464999999999999</v>
      </c>
      <c r="E19" s="3">
        <f>Dimer!K17</f>
        <v>0.52547500000000003</v>
      </c>
      <c r="F19" s="3">
        <f>Dimer!L17</f>
        <v>1.922175</v>
      </c>
      <c r="G19" s="97">
        <f>Dimer!M17</f>
        <v>6.1130849104400609</v>
      </c>
      <c r="H19">
        <f t="shared" si="7"/>
        <v>0.3415846565361666</v>
      </c>
      <c r="I19">
        <f t="shared" si="8"/>
        <v>0.17770736615353264</v>
      </c>
      <c r="J19" s="36">
        <f t="shared" si="9"/>
        <v>0.23132649212480652</v>
      </c>
      <c r="K19" s="3">
        <f t="shared" si="10"/>
        <v>1.7526029707397419</v>
      </c>
      <c r="L19" s="39">
        <f t="shared" si="11"/>
        <v>5.1130849104400609</v>
      </c>
      <c r="M19" s="3"/>
      <c r="N19" s="39"/>
      <c r="O19" s="81">
        <f t="shared" si="12"/>
        <v>0.28822350115220186</v>
      </c>
      <c r="P19" s="81">
        <f t="shared" si="13"/>
        <v>0.2719593781452892</v>
      </c>
      <c r="AA19" s="55"/>
    </row>
    <row r="20" spans="1:27">
      <c r="B20" s="39"/>
      <c r="C20" s="52">
        <v>12</v>
      </c>
      <c r="D20" s="3">
        <f>Dimer!J18</f>
        <v>0.43545</v>
      </c>
      <c r="E20" s="3">
        <f>Dimer!K18</f>
        <v>0.53470000000000006</v>
      </c>
      <c r="F20" s="3">
        <f>Dimer!L18</f>
        <v>1.9474</v>
      </c>
      <c r="G20" s="97">
        <f>Dimer!M18</f>
        <v>6.2059912742015699</v>
      </c>
      <c r="H20">
        <f t="shared" si="7"/>
        <v>0.35235547717253379</v>
      </c>
      <c r="I20">
        <f t="shared" si="8"/>
        <v>0.18093636498538246</v>
      </c>
      <c r="J20" s="36">
        <f t="shared" si="9"/>
        <v>0.22360583341891754</v>
      </c>
      <c r="K20" s="3">
        <f t="shared" si="10"/>
        <v>1.6941088083992339</v>
      </c>
      <c r="L20" s="39">
        <f t="shared" si="11"/>
        <v>5.2059912742015699</v>
      </c>
      <c r="M20" s="3"/>
      <c r="N20" s="39"/>
      <c r="O20" s="81">
        <f t="shared" si="3"/>
        <v>0.29346061297641324</v>
      </c>
      <c r="P20" s="81">
        <f t="shared" si="4"/>
        <v>0.28236679611793369</v>
      </c>
      <c r="AA20" s="55"/>
    </row>
    <row r="21" spans="1:27">
      <c r="B21" s="39"/>
      <c r="C21" s="52">
        <v>13</v>
      </c>
      <c r="D21" s="3">
        <f>Dimer!J19</f>
        <v>0.42314999999999997</v>
      </c>
      <c r="E21" s="3">
        <f>Dimer!K19</f>
        <v>0.53412500000000007</v>
      </c>
      <c r="F21" s="3">
        <f>Dimer!L19</f>
        <v>1.9818249999999999</v>
      </c>
      <c r="G21" s="97">
        <f>Dimer!M19</f>
        <v>6.1368647217183785</v>
      </c>
      <c r="H21">
        <f t="shared" si="7"/>
        <v>0.35382283392184849</v>
      </c>
      <c r="I21">
        <f t="shared" si="8"/>
        <v>0.17853384326156371</v>
      </c>
      <c r="J21" s="36">
        <f t="shared" si="9"/>
        <v>0.21351532047481486</v>
      </c>
      <c r="K21" s="3">
        <f t="shared" si="10"/>
        <v>1.6176598777139373</v>
      </c>
      <c r="L21" s="39">
        <f t="shared" si="11"/>
        <v>5.1368647217183776</v>
      </c>
      <c r="M21" s="3"/>
      <c r="N21" s="39"/>
      <c r="O21" s="81">
        <f>(G21-1)/$T$56</f>
        <v>0.28956396402020174</v>
      </c>
      <c r="P21" s="81">
        <f t="shared" si="4"/>
        <v>0.28906228669936179</v>
      </c>
      <c r="AA21" s="55"/>
    </row>
    <row r="22" spans="1:27">
      <c r="B22" s="39"/>
      <c r="C22" s="52"/>
      <c r="D22" s="121"/>
      <c r="E22" s="121"/>
      <c r="F22" s="121"/>
      <c r="G22" s="181"/>
      <c r="J22" s="36"/>
      <c r="K22" s="3"/>
      <c r="L22" s="39"/>
      <c r="M22" s="3"/>
      <c r="N22" s="39"/>
      <c r="O22" s="81"/>
      <c r="P22" s="81"/>
      <c r="AA22" s="55"/>
    </row>
    <row r="23" spans="1:27">
      <c r="B23" s="39"/>
      <c r="C23" s="52"/>
      <c r="D23" s="3"/>
      <c r="E23" s="3"/>
      <c r="F23" s="3"/>
      <c r="G23" s="97"/>
      <c r="J23" s="36"/>
      <c r="K23" s="3"/>
      <c r="L23" s="39"/>
      <c r="M23" s="3"/>
      <c r="N23" s="39"/>
      <c r="O23" s="81"/>
      <c r="P23" s="81"/>
      <c r="AA23" s="55"/>
    </row>
    <row r="24" spans="1:27">
      <c r="B24" s="39"/>
      <c r="C24" s="52"/>
      <c r="D24" s="3"/>
      <c r="E24" s="3"/>
      <c r="F24" s="3"/>
      <c r="G24" s="97"/>
      <c r="J24" s="36"/>
      <c r="K24" s="3"/>
      <c r="L24" s="39"/>
      <c r="M24" s="3"/>
      <c r="N24" s="39"/>
      <c r="O24" s="81"/>
      <c r="P24" s="81"/>
    </row>
    <row r="25" spans="1:27">
      <c r="B25" s="39"/>
      <c r="C25" s="52"/>
      <c r="D25" s="3"/>
      <c r="E25" s="3"/>
      <c r="F25" s="3"/>
      <c r="G25" s="67"/>
      <c r="J25" s="36"/>
      <c r="K25" s="3"/>
      <c r="L25" s="39"/>
      <c r="M25" s="3"/>
      <c r="N25" s="39"/>
      <c r="O25" s="81"/>
      <c r="P25" s="81"/>
    </row>
    <row r="26" spans="1:27" ht="18">
      <c r="B26" s="39"/>
      <c r="C26" s="52"/>
      <c r="D26" s="3"/>
      <c r="E26" s="3"/>
      <c r="F26" s="3"/>
      <c r="G26" s="67"/>
      <c r="J26" s="36"/>
      <c r="K26" s="3"/>
      <c r="L26" s="39"/>
      <c r="M26" s="3"/>
      <c r="N26" s="39"/>
      <c r="O26" s="81"/>
      <c r="P26" s="81"/>
      <c r="Q26" s="177"/>
      <c r="AA26" s="55"/>
    </row>
    <row r="27" spans="1:27" ht="15">
      <c r="A27" s="66"/>
      <c r="B27" s="51" t="s">
        <v>83</v>
      </c>
      <c r="C27" s="52">
        <v>1</v>
      </c>
      <c r="D27" s="3">
        <f>Dimer!J25</f>
        <v>0.62554999999999994</v>
      </c>
      <c r="E27" s="3">
        <f>Dimer!K25</f>
        <v>0.42462499999999997</v>
      </c>
      <c r="F27" s="3">
        <f>Dimer!L25</f>
        <v>2.4602249999999999</v>
      </c>
      <c r="G27" s="97">
        <f>Dimer!M25</f>
        <v>3.0396230715904955</v>
      </c>
      <c r="H27">
        <f t="shared" ref="H27" si="14">E27-_Rd1*D27-_Ra1*F27</f>
        <v>0.1744002762451744</v>
      </c>
      <c r="I27">
        <f t="shared" ref="I27" si="15">H27/F27</f>
        <v>7.0887937585047869E-2</v>
      </c>
      <c r="J27" s="36">
        <f t="shared" ref="J27" si="16">D27/F27</f>
        <v>0.25426536190795557</v>
      </c>
      <c r="K27" s="3">
        <f t="shared" ref="K27" si="17">J27*(_Rd1/_Ra1)</f>
        <v>1.9263951333151756</v>
      </c>
      <c r="L27" s="39">
        <f t="shared" ref="L27" si="18">I27/_Ra1</f>
        <v>2.0396230715904955</v>
      </c>
      <c r="M27" s="3"/>
      <c r="N27" s="39"/>
      <c r="O27" s="81"/>
      <c r="P27" s="81"/>
      <c r="R27" s="127" t="s">
        <v>90</v>
      </c>
      <c r="AA27" s="55"/>
    </row>
    <row r="28" spans="1:27" ht="16">
      <c r="B28" s="39"/>
      <c r="C28" s="52">
        <v>2</v>
      </c>
      <c r="D28" s="3">
        <f>Dimer!J26</f>
        <v>0.62024999999999997</v>
      </c>
      <c r="E28" s="3">
        <f>Dimer!K26</f>
        <v>0.44147500000000001</v>
      </c>
      <c r="F28" s="3">
        <f>Dimer!L26</f>
        <v>2.5238749999999999</v>
      </c>
      <c r="G28" s="97">
        <f>Dimer!M26</f>
        <v>3.1709683533290782</v>
      </c>
      <c r="H28">
        <f t="shared" ref="H28:H31" si="19">E28-_Rd1*D28-_Ra1*F28</f>
        <v>0.19043367990898297</v>
      </c>
      <c r="I28">
        <f t="shared" ref="I28:I31" si="20">H28/F28</f>
        <v>7.5452896799161201E-2</v>
      </c>
      <c r="J28" s="36">
        <f t="shared" ref="J28:J31" si="21">D28/F28</f>
        <v>0.24575305829329899</v>
      </c>
      <c r="K28" s="3">
        <f t="shared" ref="K28:K31" si="22">J28*(_Rd1/_Ra1)</f>
        <v>1.8619032177293171</v>
      </c>
      <c r="L28" s="39">
        <f t="shared" ref="L28:L31" si="23">I28/_Ra1</f>
        <v>2.1709683533290778</v>
      </c>
      <c r="M28" s="3"/>
      <c r="N28" s="39"/>
      <c r="O28" s="81">
        <f t="shared" ref="O28:O40" si="24">(G28-1)/$T$56</f>
        <v>0.12237702104448019</v>
      </c>
      <c r="P28" s="81">
        <f t="shared" ref="P28:P40" si="25">(E28-_Rd1*D28-_Ra1*F28)/((E28-_Rd1*D28-_Ra1*F28)+$T$57*D28*_Rd1)</f>
        <v>0.12990139858061503</v>
      </c>
      <c r="T28" s="3" t="s">
        <v>31</v>
      </c>
      <c r="U28" s="65" t="s">
        <v>32</v>
      </c>
      <c r="V28" s="57" t="s">
        <v>88</v>
      </c>
      <c r="W28" s="57" t="s">
        <v>89</v>
      </c>
      <c r="AA28" s="55"/>
    </row>
    <row r="29" spans="1:27">
      <c r="B29" s="39"/>
      <c r="C29" s="52">
        <v>3</v>
      </c>
      <c r="D29" s="3">
        <f>Dimer!J27</f>
        <v>0.60865000000000002</v>
      </c>
      <c r="E29" s="3">
        <f>Dimer!K27</f>
        <v>0.38792499999999996</v>
      </c>
      <c r="F29" s="3">
        <f>Dimer!L27</f>
        <v>2.1394250000000001</v>
      </c>
      <c r="G29" s="97">
        <f>Dimer!M27</f>
        <v>3.0616851475582387</v>
      </c>
      <c r="H29">
        <f t="shared" si="19"/>
        <v>0.15329988670662464</v>
      </c>
      <c r="I29">
        <f t="shared" si="20"/>
        <v>7.1654714096836603E-2</v>
      </c>
      <c r="J29" s="36">
        <f t="shared" si="21"/>
        <v>0.28449232854622153</v>
      </c>
      <c r="K29" s="3">
        <f t="shared" si="22"/>
        <v>2.1554042322734315</v>
      </c>
      <c r="L29" s="39">
        <f t="shared" si="23"/>
        <v>2.0616851475582387</v>
      </c>
      <c r="M29" s="3"/>
      <c r="N29" s="39"/>
      <c r="O29" s="81">
        <f t="shared" si="24"/>
        <v>0.11621675014420738</v>
      </c>
      <c r="P29" s="81">
        <f t="shared" si="25"/>
        <v>0.10911047124929024</v>
      </c>
      <c r="S29" t="str">
        <f>B9</f>
        <v>C4Y</v>
      </c>
      <c r="T29" s="81">
        <f>M16</f>
        <v>1.5797877027684943</v>
      </c>
      <c r="U29" s="81">
        <f>N16</f>
        <v>5.2520134544785773</v>
      </c>
      <c r="V29" s="10">
        <f>AVERAGE(O9:O24)</f>
        <v>0.2960548734204384</v>
      </c>
      <c r="W29" s="10">
        <f>AVERAGE(P9:P24)</f>
        <v>0.29901149094177309</v>
      </c>
      <c r="AA29" s="55"/>
    </row>
    <row r="30" spans="1:27">
      <c r="B30" s="39"/>
      <c r="C30" s="52">
        <v>4</v>
      </c>
      <c r="D30" s="3">
        <f>Dimer!J28</f>
        <v>0.47044999999999998</v>
      </c>
      <c r="E30" s="3">
        <f>Dimer!K28</f>
        <v>0.31587499999999996</v>
      </c>
      <c r="F30" s="3">
        <f>Dimer!L28</f>
        <v>1.808575</v>
      </c>
      <c r="G30" s="97">
        <f>Dimer!M28</f>
        <v>3.0544679246522572</v>
      </c>
      <c r="H30">
        <f t="shared" si="19"/>
        <v>0.12913926603217218</v>
      </c>
      <c r="I30">
        <f t="shared" si="20"/>
        <v>7.1403876550417966E-2</v>
      </c>
      <c r="J30" s="36">
        <f t="shared" si="21"/>
        <v>0.26012191919052291</v>
      </c>
      <c r="K30" s="3">
        <f t="shared" si="22"/>
        <v>1.9707662712572889</v>
      </c>
      <c r="L30" s="39">
        <f t="shared" si="23"/>
        <v>2.0544679246522572</v>
      </c>
      <c r="M30" s="3"/>
      <c r="N30" s="39"/>
      <c r="O30" s="81">
        <f t="shared" si="24"/>
        <v>0.11580991683496378</v>
      </c>
      <c r="P30" s="81">
        <f t="shared" si="25"/>
        <v>0.11776051621002158</v>
      </c>
      <c r="S30" t="str">
        <f>B27</f>
        <v>C80Y</v>
      </c>
      <c r="T30" s="81">
        <f>M34</f>
        <v>1.9942973031055258</v>
      </c>
      <c r="U30" s="81">
        <f>N34</f>
        <v>2.0503835663184016</v>
      </c>
      <c r="V30" s="10">
        <f>AVERAGE(O27:O42)</f>
        <v>0.11562634141387185</v>
      </c>
      <c r="W30" s="10">
        <f>AVERAGE(P27:P42)</f>
        <v>0.11632189030223271</v>
      </c>
      <c r="AA30" s="55"/>
    </row>
    <row r="31" spans="1:27">
      <c r="B31" s="39"/>
      <c r="C31" s="52">
        <v>5</v>
      </c>
      <c r="D31" s="3">
        <f>Dimer!J29</f>
        <v>0.67852499999999993</v>
      </c>
      <c r="E31" s="3">
        <f>Dimer!K29</f>
        <v>0.46560000000000001</v>
      </c>
      <c r="F31" s="3">
        <f>Dimer!L29</f>
        <v>2.6556000000000002</v>
      </c>
      <c r="G31" s="97">
        <f>Dimer!M29</f>
        <v>3.1088094477837798</v>
      </c>
      <c r="H31">
        <f t="shared" si="19"/>
        <v>0.19463566525781412</v>
      </c>
      <c r="I31">
        <f t="shared" si="20"/>
        <v>7.3292538506482194E-2</v>
      </c>
      <c r="J31" s="36">
        <f t="shared" si="21"/>
        <v>0.25550723000451869</v>
      </c>
      <c r="K31" s="3">
        <f t="shared" si="22"/>
        <v>1.9358039204165214</v>
      </c>
      <c r="L31" s="39">
        <f t="shared" si="23"/>
        <v>2.1088094477837802</v>
      </c>
      <c r="M31" s="3"/>
      <c r="N31" s="39"/>
      <c r="O31" s="81">
        <f t="shared" si="24"/>
        <v>0.11887313685365163</v>
      </c>
      <c r="P31" s="81">
        <f t="shared" si="25"/>
        <v>0.12240992767907433</v>
      </c>
      <c r="S31" t="str">
        <f>B45</f>
        <v>C40Y</v>
      </c>
      <c r="T31" s="81">
        <f>M52</f>
        <v>1.9003056900564967</v>
      </c>
      <c r="U31" s="81">
        <f>N52</f>
        <v>2.7726135137140488</v>
      </c>
      <c r="V31" s="10">
        <f>AVERAGE(O45:O59)</f>
        <v>0.1562916298598675</v>
      </c>
      <c r="W31" s="10">
        <f>AVERAGE(P45:P59)</f>
        <v>0.15755651727587883</v>
      </c>
      <c r="AA31" s="55"/>
    </row>
    <row r="32" spans="1:27">
      <c r="B32" s="39"/>
      <c r="C32" s="52">
        <v>6</v>
      </c>
      <c r="D32" s="3">
        <f>Dimer!J30</f>
        <v>0.47044999999999998</v>
      </c>
      <c r="E32" s="3">
        <f>Dimer!K30</f>
        <v>0.30577499999999996</v>
      </c>
      <c r="F32" s="3">
        <f>Dimer!L30</f>
        <v>1.717875</v>
      </c>
      <c r="G32" s="97">
        <f>Dimer!M30</f>
        <v>3.0465732913439592</v>
      </c>
      <c r="H32">
        <f t="shared" ref="H32:H40" si="26">E32-_Rd1*D32-_Ra1*F32</f>
        <v>0.12219158178527359</v>
      </c>
      <c r="I32">
        <f t="shared" ref="I32:I40" si="27">H32/F32</f>
        <v>7.1129495327234865E-2</v>
      </c>
      <c r="J32" s="36">
        <f t="shared" ref="J32:J40" si="28">D32/F32</f>
        <v>0.2738557811249363</v>
      </c>
      <c r="K32" s="3">
        <f t="shared" ref="K32:K40" si="29">J32*(_Rd1/_Ra1)</f>
        <v>2.0748183709752754</v>
      </c>
      <c r="L32" s="39">
        <f t="shared" ref="L32:L40" si="30">I32/_Ra1</f>
        <v>2.0465732913439592</v>
      </c>
      <c r="M32" s="3"/>
      <c r="N32" s="39"/>
      <c r="O32" s="81">
        <f t="shared" ref="O32:O34" si="31">(G32-1)/$T$56</f>
        <v>0.11536489804644641</v>
      </c>
      <c r="P32" s="81">
        <f t="shared" ref="P32:P34" si="32">(E32-_Rd1*D32-_Ra1*F32)/((E32-_Rd1*D32-_Ra1*F32)+$T$57*D32*_Rd1)</f>
        <v>0.11213544299777332</v>
      </c>
      <c r="S32" s="38" t="s">
        <v>85</v>
      </c>
      <c r="T32" s="124">
        <f>M69</f>
        <v>1.8050787125303911</v>
      </c>
      <c r="U32" s="124">
        <f>N69</f>
        <v>4.0457598347913759</v>
      </c>
      <c r="V32" s="10">
        <f>AVERAGE(O62:O76)</f>
        <v>0.2280586152644519</v>
      </c>
      <c r="W32" s="10">
        <f>AVERAGE(P62:P76)</f>
        <v>0.2233201990092786</v>
      </c>
      <c r="AA32" s="55"/>
    </row>
    <row r="33" spans="1:27">
      <c r="B33" s="39"/>
      <c r="C33" s="52">
        <v>7</v>
      </c>
      <c r="D33" s="3">
        <f>Dimer!J31</f>
        <v>0.68112499999999998</v>
      </c>
      <c r="E33" s="3">
        <f>Dimer!K31</f>
        <v>0.48530000000000001</v>
      </c>
      <c r="F33" s="3">
        <f>Dimer!L31</f>
        <v>2.7565</v>
      </c>
      <c r="G33" s="97">
        <f>Dimer!M31</f>
        <v>3.1934968846443121</v>
      </c>
      <c r="H33">
        <f t="shared" si="26"/>
        <v>0.21014421743840911</v>
      </c>
      <c r="I33">
        <f t="shared" si="27"/>
        <v>7.6235885158138617E-2</v>
      </c>
      <c r="J33" s="36">
        <f t="shared" si="28"/>
        <v>0.24709776890984944</v>
      </c>
      <c r="K33" s="3">
        <f t="shared" si="29"/>
        <v>1.8720911724235856</v>
      </c>
      <c r="L33" s="39">
        <f t="shared" si="30"/>
        <v>2.1934968846443121</v>
      </c>
      <c r="M33" s="3"/>
      <c r="N33" s="39"/>
      <c r="O33" s="81">
        <f t="shared" si="31"/>
        <v>0.12364694952899168</v>
      </c>
      <c r="P33" s="81">
        <f t="shared" si="32"/>
        <v>0.13045247311449865</v>
      </c>
      <c r="AA33" s="55"/>
    </row>
    <row r="34" spans="1:27" ht="18">
      <c r="B34" s="39"/>
      <c r="C34" s="52">
        <v>8</v>
      </c>
      <c r="D34" s="3">
        <f>Dimer!J32</f>
        <v>0.57565</v>
      </c>
      <c r="E34" s="3">
        <f>Dimer!K32</f>
        <v>0.37237500000000001</v>
      </c>
      <c r="F34" s="3">
        <f>Dimer!L32</f>
        <v>2.1388750000000001</v>
      </c>
      <c r="G34" s="97">
        <f>Dimer!M32</f>
        <v>2.9701838007816361</v>
      </c>
      <c r="H34">
        <f t="shared" si="26"/>
        <v>0.14645849715818099</v>
      </c>
      <c r="I34">
        <f t="shared" si="27"/>
        <v>6.8474547207378167E-2</v>
      </c>
      <c r="J34" s="36">
        <f t="shared" si="28"/>
        <v>0.26913681257670502</v>
      </c>
      <c r="K34" s="3">
        <f t="shared" si="29"/>
        <v>2.0390659665684536</v>
      </c>
      <c r="L34" s="39">
        <f t="shared" si="30"/>
        <v>1.9701838007816366</v>
      </c>
      <c r="M34" s="3">
        <f>AVERAGE(K27:K42)</f>
        <v>1.9942973031055258</v>
      </c>
      <c r="N34" s="39">
        <f>AVERAGE(L27:L42)</f>
        <v>2.0503835663184016</v>
      </c>
      <c r="O34" s="81">
        <f t="shared" si="31"/>
        <v>0.1110588388264733</v>
      </c>
      <c r="P34" s="81">
        <f t="shared" si="32"/>
        <v>0.1100951094344846</v>
      </c>
      <c r="Q34" s="177"/>
      <c r="AA34" s="55"/>
    </row>
    <row r="35" spans="1:27">
      <c r="B35" s="39"/>
      <c r="C35" s="52">
        <v>9</v>
      </c>
      <c r="D35" s="3">
        <f>Dimer!J33</f>
        <v>0.49999999999999994</v>
      </c>
      <c r="E35" s="3">
        <f>Dimer!K33</f>
        <v>0.32919999999999999</v>
      </c>
      <c r="F35" s="3">
        <f>Dimer!L33</f>
        <v>1.8829</v>
      </c>
      <c r="G35" s="97">
        <f>Dimer!M33</f>
        <v>3.018613672237644</v>
      </c>
      <c r="H35">
        <f t="shared" si="26"/>
        <v>0.13210002235609969</v>
      </c>
      <c r="I35">
        <f t="shared" si="27"/>
        <v>7.0157747281374305E-2</v>
      </c>
      <c r="J35" s="36">
        <f t="shared" si="28"/>
        <v>0.26554782516331188</v>
      </c>
      <c r="K35" s="3">
        <f t="shared" si="29"/>
        <v>2.0118746581070486</v>
      </c>
      <c r="L35" s="39">
        <f t="shared" si="30"/>
        <v>2.018613672237644</v>
      </c>
      <c r="M35" s="3"/>
      <c r="N35" s="39"/>
      <c r="O35" s="81">
        <f t="shared" si="24"/>
        <v>0.11378882030651884</v>
      </c>
      <c r="P35" s="81">
        <f t="shared" si="25"/>
        <v>0.1138443001375201</v>
      </c>
      <c r="AA35" s="55"/>
    </row>
    <row r="36" spans="1:27">
      <c r="B36" s="39"/>
      <c r="C36" s="52">
        <v>10</v>
      </c>
      <c r="D36" s="3">
        <f>Dimer!J34</f>
        <v>0.59804999999999997</v>
      </c>
      <c r="E36" s="3">
        <f>Dimer!K34</f>
        <v>0.39360000000000001</v>
      </c>
      <c r="F36" s="3">
        <f>Dimer!L34</f>
        <v>2.1673999999999998</v>
      </c>
      <c r="G36" s="97">
        <f>Dimer!M34</f>
        <v>3.1345569076912256</v>
      </c>
      <c r="H36">
        <f t="shared" si="26"/>
        <v>0.16079377520487911</v>
      </c>
      <c r="I36">
        <f t="shared" si="27"/>
        <v>7.4187402050788567E-2</v>
      </c>
      <c r="J36" s="36">
        <f t="shared" si="28"/>
        <v>0.27592968533727047</v>
      </c>
      <c r="K36" s="3">
        <f t="shared" si="29"/>
        <v>2.0905309279339721</v>
      </c>
      <c r="L36" s="39">
        <f t="shared" si="30"/>
        <v>2.1345569076912256</v>
      </c>
      <c r="M36" s="3"/>
      <c r="N36" s="39"/>
      <c r="O36" s="81">
        <f t="shared" si="24"/>
        <v>0.12032451565339491</v>
      </c>
      <c r="P36" s="81">
        <f t="shared" si="25"/>
        <v>0.11562142545802652</v>
      </c>
      <c r="AA36" s="55"/>
    </row>
    <row r="37" spans="1:27">
      <c r="B37" s="39"/>
      <c r="C37" s="52">
        <v>11</v>
      </c>
      <c r="D37" s="3">
        <f>Dimer!J35</f>
        <v>0.32435000000000003</v>
      </c>
      <c r="E37" s="3">
        <f>Dimer!K35</f>
        <v>0.20232500000000003</v>
      </c>
      <c r="F37" s="3">
        <f>Dimer!L35</f>
        <v>1.1683249999999998</v>
      </c>
      <c r="G37" s="97">
        <f>Dimer!M35</f>
        <v>2.8793504647143964</v>
      </c>
      <c r="H37">
        <f t="shared" si="26"/>
        <v>7.6312181870773932E-2</v>
      </c>
      <c r="I37">
        <f t="shared" si="27"/>
        <v>6.5317597304494851E-2</v>
      </c>
      <c r="J37" s="36">
        <f t="shared" si="28"/>
        <v>0.27761966918451636</v>
      </c>
      <c r="K37" s="3">
        <f t="shared" si="29"/>
        <v>2.1033347822784512</v>
      </c>
      <c r="L37" s="39">
        <f t="shared" si="30"/>
        <v>1.8793504647143966</v>
      </c>
      <c r="M37" s="3"/>
      <c r="N37" s="39"/>
      <c r="O37" s="81">
        <f t="shared" si="24"/>
        <v>0.10593858312933464</v>
      </c>
      <c r="P37" s="81">
        <f t="shared" si="25"/>
        <v>0.10266087085848005</v>
      </c>
      <c r="AA37" s="55"/>
    </row>
    <row r="38" spans="1:27">
      <c r="B38" s="39"/>
      <c r="C38" s="52">
        <v>12</v>
      </c>
      <c r="D38" s="3">
        <f>Dimer!J36</f>
        <v>0.53920000000000001</v>
      </c>
      <c r="E38" s="3">
        <f>Dimer!K36</f>
        <v>0.36269999999999997</v>
      </c>
      <c r="F38" s="3">
        <f>Dimer!L36</f>
        <v>2.1196999999999999</v>
      </c>
      <c r="G38" s="97">
        <f>Dimer!M36</f>
        <v>2.996006383368305</v>
      </c>
      <c r="H38">
        <f t="shared" si="26"/>
        <v>0.1470478743365613</v>
      </c>
      <c r="I38">
        <f t="shared" si="27"/>
        <v>6.9372021671255987E-2</v>
      </c>
      <c r="J38" s="36">
        <f t="shared" si="28"/>
        <v>0.25437561919139501</v>
      </c>
      <c r="K38" s="3">
        <f t="shared" si="29"/>
        <v>1.9272304775108478</v>
      </c>
      <c r="L38" s="39">
        <f t="shared" si="30"/>
        <v>1.9960063833683053</v>
      </c>
      <c r="M38" s="3"/>
      <c r="N38" s="39"/>
      <c r="O38" s="81">
        <f t="shared" si="24"/>
        <v>0.11251445227555272</v>
      </c>
      <c r="P38" s="81">
        <f t="shared" si="25"/>
        <v>0.11708377934004306</v>
      </c>
      <c r="AA38" s="55"/>
    </row>
    <row r="39" spans="1:27">
      <c r="B39" s="39"/>
      <c r="C39" s="52">
        <v>13</v>
      </c>
      <c r="D39" s="3">
        <f>Dimer!J37</f>
        <v>0.52260000000000006</v>
      </c>
      <c r="E39" s="3">
        <f>Dimer!K37</f>
        <v>0.34539999999999998</v>
      </c>
      <c r="F39" s="3">
        <f>Dimer!L37</f>
        <v>1.96</v>
      </c>
      <c r="G39" s="97">
        <f>Dimer!M37</f>
        <v>3.0503251940061067</v>
      </c>
      <c r="H39">
        <f t="shared" si="26"/>
        <v>0.13966939272073361</v>
      </c>
      <c r="I39">
        <f t="shared" si="27"/>
        <v>7.1259894245272251E-2</v>
      </c>
      <c r="J39" s="36">
        <f t="shared" si="28"/>
        <v>0.26663265306122452</v>
      </c>
      <c r="K39" s="3">
        <f t="shared" si="29"/>
        <v>2.0200936587894143</v>
      </c>
      <c r="L39" s="39">
        <f t="shared" si="30"/>
        <v>2.0503251940061067</v>
      </c>
      <c r="M39" s="3"/>
      <c r="N39" s="39"/>
      <c r="O39" s="81">
        <f t="shared" si="24"/>
        <v>0.11557639199583467</v>
      </c>
      <c r="P39" s="81">
        <f t="shared" si="25"/>
        <v>0.11501069581580783</v>
      </c>
      <c r="AA39" s="55"/>
    </row>
    <row r="40" spans="1:27">
      <c r="B40" s="39"/>
      <c r="C40" s="52">
        <v>14</v>
      </c>
      <c r="D40" s="3">
        <f>Dimer!J38</f>
        <v>0.64424999999999999</v>
      </c>
      <c r="E40" s="3">
        <f>Dimer!K38</f>
        <v>0.43152499999999999</v>
      </c>
      <c r="F40" s="3">
        <f>Dimer!L38</f>
        <v>2.5279249999999998</v>
      </c>
      <c r="G40" s="97">
        <f>Dimer!M38</f>
        <v>2.9807093847561839</v>
      </c>
      <c r="H40">
        <f t="shared" si="26"/>
        <v>0.17402328778596377</v>
      </c>
      <c r="I40">
        <f t="shared" si="27"/>
        <v>6.8840368201573937E-2</v>
      </c>
      <c r="J40" s="36">
        <f t="shared" si="28"/>
        <v>0.25485328876450053</v>
      </c>
      <c r="K40" s="3">
        <f t="shared" si="29"/>
        <v>1.9308494538985805</v>
      </c>
      <c r="L40" s="39">
        <f t="shared" si="30"/>
        <v>1.9807093847561834</v>
      </c>
      <c r="M40" s="3"/>
      <c r="N40" s="39"/>
      <c r="O40" s="81">
        <f t="shared" si="24"/>
        <v>0.11165216374048388</v>
      </c>
      <c r="P40" s="81">
        <f t="shared" si="25"/>
        <v>0.11609816305338998</v>
      </c>
      <c r="AA40" s="55"/>
    </row>
    <row r="41" spans="1:27">
      <c r="B41" s="39"/>
      <c r="C41" s="52"/>
      <c r="D41" s="3"/>
      <c r="E41" s="3"/>
      <c r="F41" s="3"/>
      <c r="G41" s="97"/>
      <c r="J41" s="36"/>
      <c r="K41" s="3"/>
      <c r="L41" s="39"/>
      <c r="M41" s="3"/>
      <c r="N41" s="39"/>
      <c r="O41" s="81"/>
      <c r="P41" s="81"/>
      <c r="AA41" s="55"/>
    </row>
    <row r="42" spans="1:27">
      <c r="B42" s="39"/>
      <c r="C42" s="52"/>
      <c r="D42" s="3"/>
      <c r="E42" s="3"/>
      <c r="F42" s="3"/>
      <c r="G42" s="97"/>
      <c r="J42" s="36"/>
      <c r="K42" s="3"/>
      <c r="L42" s="39"/>
      <c r="M42" s="3"/>
      <c r="N42" s="39"/>
      <c r="O42" s="81"/>
      <c r="P42" s="81"/>
      <c r="AA42" s="55"/>
    </row>
    <row r="43" spans="1:27">
      <c r="B43" s="39"/>
      <c r="C43" s="52"/>
      <c r="D43" s="3"/>
      <c r="E43" s="3"/>
      <c r="F43" s="3"/>
      <c r="G43" s="97"/>
      <c r="J43" s="36"/>
      <c r="K43" s="3"/>
      <c r="L43" s="39"/>
      <c r="M43" s="3"/>
      <c r="N43" s="39"/>
      <c r="O43" s="81"/>
      <c r="P43" s="81"/>
      <c r="AA43" s="55"/>
    </row>
    <row r="44" spans="1:27">
      <c r="B44" s="39"/>
      <c r="C44" s="52"/>
      <c r="D44" s="3"/>
      <c r="E44" s="3"/>
      <c r="F44" s="3"/>
      <c r="G44" s="97"/>
      <c r="J44" s="36"/>
      <c r="K44" s="3"/>
      <c r="L44" s="39"/>
      <c r="M44" s="3"/>
      <c r="N44" s="39"/>
      <c r="O44" s="81"/>
      <c r="P44" s="81"/>
      <c r="AA44" s="55"/>
    </row>
    <row r="45" spans="1:27">
      <c r="A45" s="66"/>
      <c r="B45" s="51" t="s">
        <v>84</v>
      </c>
      <c r="C45" s="52">
        <v>1</v>
      </c>
      <c r="D45" s="3">
        <f>Dimer!J43</f>
        <v>0.38454999999999995</v>
      </c>
      <c r="E45" s="3">
        <f>Dimer!K43</f>
        <v>0.32472499999999999</v>
      </c>
      <c r="F45" s="3">
        <f>Dimer!L43</f>
        <v>1.6818249999999999</v>
      </c>
      <c r="G45" s="97">
        <f>Dimer!M43</f>
        <v>3.8230354635825434</v>
      </c>
      <c r="H45">
        <f t="shared" ref="H45" si="33">E45-_Rd1*D45-_Ra1*F45</f>
        <v>0.16501353308170724</v>
      </c>
      <c r="I45">
        <f t="shared" ref="I45" si="34">H45/F45</f>
        <v>9.8115757038756857E-2</v>
      </c>
      <c r="J45" s="36">
        <f t="shared" ref="J45" si="35">D45/F45</f>
        <v>0.22865042439017139</v>
      </c>
      <c r="K45" s="3">
        <f t="shared" ref="K45" si="36">J45*(_Rd1/_Ra1)</f>
        <v>1.7323282316964859</v>
      </c>
      <c r="L45" s="39">
        <f t="shared" ref="L45" si="37">I45/_Ra1</f>
        <v>2.8230354635825434</v>
      </c>
      <c r="M45" s="3"/>
      <c r="N45" s="39"/>
      <c r="O45" s="81">
        <f t="shared" ref="O45" si="38">(G45-1)/$T$56</f>
        <v>0.15913390437331137</v>
      </c>
      <c r="P45" s="81">
        <f t="shared" ref="P45" si="39">(E45-_Rd1*D45-_Ra1*F45)/((E45-_Rd1*D45-_Ra1*F45)+$T$57*D45*_Rd1)</f>
        <v>0.17263612240252627</v>
      </c>
      <c r="AA45" s="55"/>
    </row>
    <row r="46" spans="1:27">
      <c r="B46" s="39"/>
      <c r="C46" s="52">
        <v>2</v>
      </c>
      <c r="D46" s="3">
        <f>Dimer!J44</f>
        <v>0.51824999999999999</v>
      </c>
      <c r="E46" s="3">
        <f>Dimer!K44</f>
        <v>0.39144999999999996</v>
      </c>
      <c r="F46" s="3">
        <f>Dimer!L44</f>
        <v>2.0325500000000001</v>
      </c>
      <c r="G46" s="97">
        <f>Dimer!M44</f>
        <v>3.6095387142391488</v>
      </c>
      <c r="H46">
        <f t="shared" ref="H46:H58" si="40">E46-_Rd1*D46-_Ra1*F46</f>
        <v>0.1843433211009689</v>
      </c>
      <c r="I46">
        <f t="shared" ref="I46:I58" si="41">H46/F46</f>
        <v>9.0695589826065237E-2</v>
      </c>
      <c r="J46" s="36">
        <f t="shared" ref="J46:J58" si="42">D46/F46</f>
        <v>0.25497527736095049</v>
      </c>
      <c r="K46" s="3">
        <f t="shared" ref="K46:K58" si="43">J46*(_Rd1/_Ra1)</f>
        <v>1.9317736782473387</v>
      </c>
      <c r="L46" s="39">
        <f t="shared" ref="L46:L58" si="44">I46/_Ra1</f>
        <v>2.6095387142391488</v>
      </c>
      <c r="M46" s="3"/>
      <c r="N46" s="39"/>
      <c r="O46" s="81">
        <f t="shared" ref="O46:O58" si="45">(G46-1)/$T$56</f>
        <v>0.14709913834493513</v>
      </c>
      <c r="P46" s="81">
        <f t="shared" ref="P46:P58" si="46">(E46-_Rd1*D46-_Ra1*F46)/((E46-_Rd1*D46-_Ra1*F46)+$T$57*D46*_Rd1)</f>
        <v>0.14745913195837987</v>
      </c>
      <c r="AA46" s="55"/>
    </row>
    <row r="47" spans="1:27">
      <c r="B47" s="39"/>
      <c r="C47" s="52">
        <v>3</v>
      </c>
      <c r="D47" s="3">
        <f>Dimer!J45</f>
        <v>0.45429999999999998</v>
      </c>
      <c r="E47" s="3">
        <f>Dimer!K45</f>
        <v>0.37909999999999999</v>
      </c>
      <c r="F47" s="3">
        <f>Dimer!L45</f>
        <v>1.9417</v>
      </c>
      <c r="G47" s="97">
        <f>Dimer!M45</f>
        <v>3.8449467311943617</v>
      </c>
      <c r="H47">
        <f t="shared" si="40"/>
        <v>0.1919900381563816</v>
      </c>
      <c r="I47">
        <f t="shared" si="41"/>
        <v>9.8877292144194065E-2</v>
      </c>
      <c r="J47" s="36">
        <f t="shared" si="42"/>
        <v>0.23397023227069064</v>
      </c>
      <c r="K47" s="3">
        <f t="shared" si="43"/>
        <v>1.7726327857037825</v>
      </c>
      <c r="L47" s="39">
        <f t="shared" si="44"/>
        <v>2.8449467311943617</v>
      </c>
      <c r="M47" s="3"/>
      <c r="N47" s="39"/>
      <c r="O47" s="81">
        <f t="shared" si="45"/>
        <v>0.16036903783508241</v>
      </c>
      <c r="P47" s="81">
        <f t="shared" si="46"/>
        <v>0.17046624363152657</v>
      </c>
      <c r="AA47" s="55"/>
    </row>
    <row r="48" spans="1:27">
      <c r="B48" s="39"/>
      <c r="C48" s="52">
        <v>4</v>
      </c>
      <c r="D48" s="3">
        <f>Dimer!J46</f>
        <v>0.54480000000000006</v>
      </c>
      <c r="E48" s="3">
        <f>Dimer!K46</f>
        <v>0.42699999999999999</v>
      </c>
      <c r="F48" s="3">
        <f>Dimer!L46</f>
        <v>2.1278999999999999</v>
      </c>
      <c r="G48" s="97">
        <f>Dimer!M46</f>
        <v>3.8339578928627467</v>
      </c>
      <c r="H48">
        <f t="shared" si="40"/>
        <v>0.20958829900301945</v>
      </c>
      <c r="I48">
        <f t="shared" si="41"/>
        <v>9.8495370554546477E-2</v>
      </c>
      <c r="J48" s="36">
        <f t="shared" si="42"/>
        <v>0.25602706894120969</v>
      </c>
      <c r="K48" s="3">
        <f t="shared" si="43"/>
        <v>1.9397423852952405</v>
      </c>
      <c r="L48" s="39">
        <f t="shared" si="44"/>
        <v>2.8339578928627462</v>
      </c>
      <c r="M48" s="3"/>
      <c r="N48" s="39"/>
      <c r="O48" s="81">
        <f t="shared" si="45"/>
        <v>0.15974959937219543</v>
      </c>
      <c r="P48" s="81">
        <f t="shared" si="46"/>
        <v>0.15758790967774722</v>
      </c>
      <c r="AA48" s="55"/>
    </row>
    <row r="49" spans="2:27">
      <c r="B49" s="39"/>
      <c r="C49" s="52">
        <v>5</v>
      </c>
      <c r="D49" s="3">
        <f>Dimer!J47</f>
        <v>0.50544999999999995</v>
      </c>
      <c r="E49" s="3">
        <f>Dimer!K47</f>
        <v>0.39239999999999997</v>
      </c>
      <c r="F49" s="3">
        <f>Dimer!L47</f>
        <v>2.0011999999999999</v>
      </c>
      <c r="G49" s="97">
        <f>Dimer!M47</f>
        <v>3.7282024046762476</v>
      </c>
      <c r="H49">
        <f t="shared" si="40"/>
        <v>0.1897533740057526</v>
      </c>
      <c r="I49">
        <f t="shared" si="41"/>
        <v>9.4819795125800826E-2</v>
      </c>
      <c r="J49" s="36">
        <f t="shared" si="42"/>
        <v>0.25257345592644415</v>
      </c>
      <c r="K49" s="3">
        <f t="shared" si="43"/>
        <v>1.9135767162710549</v>
      </c>
      <c r="L49" s="39">
        <f t="shared" si="44"/>
        <v>2.7282024046762476</v>
      </c>
      <c r="M49" s="3"/>
      <c r="N49" s="39"/>
      <c r="O49" s="81">
        <f t="shared" si="45"/>
        <v>0.1537881851564965</v>
      </c>
      <c r="P49" s="81">
        <f t="shared" si="46"/>
        <v>0.15436914430509482</v>
      </c>
      <c r="AA49" s="55"/>
    </row>
    <row r="50" spans="2:27">
      <c r="B50" s="39"/>
      <c r="C50" s="52">
        <v>6</v>
      </c>
      <c r="D50" s="3">
        <f>Dimer!J48</f>
        <v>0.71814999999999996</v>
      </c>
      <c r="E50" s="3">
        <f>Dimer!K48</f>
        <v>0.58152500000000007</v>
      </c>
      <c r="F50" s="3">
        <f>Dimer!L48</f>
        <v>2.8389249999999997</v>
      </c>
      <c r="G50" s="97">
        <f>Dimer!M48</f>
        <v>3.9772078034933842</v>
      </c>
      <c r="H50">
        <f t="shared" si="40"/>
        <v>0.29375515266443275</v>
      </c>
      <c r="I50">
        <f t="shared" si="41"/>
        <v>0.10347408003537704</v>
      </c>
      <c r="J50" s="36">
        <f t="shared" si="42"/>
        <v>0.25296547108500578</v>
      </c>
      <c r="K50" s="3">
        <f t="shared" si="43"/>
        <v>1.9165467476114317</v>
      </c>
      <c r="L50" s="39">
        <f t="shared" si="44"/>
        <v>2.9772078034933842</v>
      </c>
      <c r="M50" s="3"/>
      <c r="N50" s="39"/>
      <c r="O50" s="81">
        <f t="shared" si="45"/>
        <v>0.16782456614957073</v>
      </c>
      <c r="P50" s="81">
        <f t="shared" si="46"/>
        <v>0.16590332427081045</v>
      </c>
      <c r="AA50" s="55"/>
    </row>
    <row r="51" spans="2:27">
      <c r="B51" s="39"/>
      <c r="C51" s="52">
        <v>7</v>
      </c>
      <c r="D51" s="3">
        <f>Dimer!J49</f>
        <v>0.65597499999999997</v>
      </c>
      <c r="E51" s="3">
        <f>Dimer!K49</f>
        <v>0.51100000000000001</v>
      </c>
      <c r="F51" s="3">
        <f>Dimer!L49</f>
        <v>2.6121000000000003</v>
      </c>
      <c r="G51" s="97">
        <f>Dimer!M49</f>
        <v>3.7260716507921434</v>
      </c>
      <c r="H51">
        <f t="shared" si="40"/>
        <v>0.2474853471912144</v>
      </c>
      <c r="I51">
        <f t="shared" si="41"/>
        <v>9.4745739899396803E-2</v>
      </c>
      <c r="J51" s="36">
        <f t="shared" si="42"/>
        <v>0.25112935951916077</v>
      </c>
      <c r="K51" s="3">
        <f t="shared" si="43"/>
        <v>1.9026357832625089</v>
      </c>
      <c r="L51" s="39">
        <f t="shared" si="44"/>
        <v>2.7260716507921434</v>
      </c>
      <c r="M51" s="3"/>
      <c r="N51" s="39"/>
      <c r="O51" s="81">
        <f t="shared" si="45"/>
        <v>0.15366807501646806</v>
      </c>
      <c r="P51" s="81">
        <f t="shared" si="46"/>
        <v>0.15501676351864199</v>
      </c>
      <c r="AA51" s="55"/>
    </row>
    <row r="52" spans="2:27">
      <c r="B52" s="39"/>
      <c r="C52" s="52">
        <v>8</v>
      </c>
      <c r="D52" s="3">
        <f>Dimer!J50</f>
        <v>0.53744999999999998</v>
      </c>
      <c r="E52" s="3">
        <f>Dimer!K50</f>
        <v>0.42612499999999998</v>
      </c>
      <c r="F52" s="3">
        <f>Dimer!L50</f>
        <v>2.183325</v>
      </c>
      <c r="G52" s="97">
        <f>Dimer!M50</f>
        <v>3.7506046962226534</v>
      </c>
      <c r="H52">
        <f t="shared" si="40"/>
        <v>0.20872236788068127</v>
      </c>
      <c r="I52">
        <f t="shared" si="41"/>
        <v>9.5598395969762301E-2</v>
      </c>
      <c r="J52" s="36">
        <f t="shared" si="42"/>
        <v>0.24616124489024768</v>
      </c>
      <c r="K52" s="3">
        <f t="shared" si="43"/>
        <v>1.864995769022761</v>
      </c>
      <c r="L52" s="39">
        <f t="shared" si="44"/>
        <v>2.7506046962226538</v>
      </c>
      <c r="M52" s="3">
        <f>AVERAGE(K45:K59)</f>
        <v>1.9003056900564967</v>
      </c>
      <c r="N52" s="39">
        <f>AVERAGE(L45:L59)</f>
        <v>2.7726135137140488</v>
      </c>
      <c r="O52" s="81">
        <f t="shared" si="45"/>
        <v>0.15505099753228035</v>
      </c>
      <c r="P52" s="81">
        <f t="shared" si="46"/>
        <v>0.15884554676272758</v>
      </c>
      <c r="AA52" s="55"/>
    </row>
    <row r="53" spans="2:27">
      <c r="B53" s="39"/>
      <c r="C53" s="52">
        <v>9</v>
      </c>
      <c r="D53" s="3">
        <f>Dimer!J51</f>
        <v>0.50634999999999997</v>
      </c>
      <c r="E53" s="3">
        <f>Dimer!K51</f>
        <v>0.37709999999999999</v>
      </c>
      <c r="F53" s="3">
        <f>Dimer!L51</f>
        <v>1.9248000000000001</v>
      </c>
      <c r="G53" s="97">
        <f>Dimer!M51</f>
        <v>3.6439322218967631</v>
      </c>
      <c r="H53">
        <f t="shared" si="40"/>
        <v>0.1768717011588235</v>
      </c>
      <c r="I53">
        <f t="shared" si="41"/>
        <v>9.1890950311109471E-2</v>
      </c>
      <c r="J53" s="36">
        <f t="shared" si="42"/>
        <v>0.26306629260182873</v>
      </c>
      <c r="K53" s="3">
        <f t="shared" si="43"/>
        <v>1.9930737793175313</v>
      </c>
      <c r="L53" s="39">
        <f t="shared" si="44"/>
        <v>2.6439322218967631</v>
      </c>
      <c r="M53" s="3"/>
      <c r="N53" s="39"/>
      <c r="O53" s="81">
        <f t="shared" si="45"/>
        <v>0.14903789300432713</v>
      </c>
      <c r="P53" s="81">
        <f t="shared" si="46"/>
        <v>0.1451925139723485</v>
      </c>
      <c r="AA53" s="55"/>
    </row>
    <row r="54" spans="2:27">
      <c r="B54" s="39"/>
      <c r="C54" s="52">
        <v>10</v>
      </c>
      <c r="D54" s="3">
        <f>Dimer!J52</f>
        <v>0.68955</v>
      </c>
      <c r="E54" s="3">
        <f>Dimer!K52</f>
        <v>0.50952500000000001</v>
      </c>
      <c r="F54" s="3">
        <f>Dimer!L52</f>
        <v>2.6656249999999999</v>
      </c>
      <c r="G54" s="97">
        <f>Dimer!M52</f>
        <v>3.5399043229547562</v>
      </c>
      <c r="H54">
        <f t="shared" si="40"/>
        <v>0.23530916098930035</v>
      </c>
      <c r="I54">
        <f t="shared" si="41"/>
        <v>8.8275417956126742E-2</v>
      </c>
      <c r="J54" s="36">
        <f t="shared" si="42"/>
        <v>0.2586822977725674</v>
      </c>
      <c r="K54" s="3">
        <f t="shared" si="43"/>
        <v>1.9598592421890917</v>
      </c>
      <c r="L54" s="39">
        <f t="shared" si="44"/>
        <v>2.5399043229547558</v>
      </c>
      <c r="M54" s="3"/>
      <c r="N54" s="39"/>
      <c r="O54" s="81">
        <f t="shared" si="45"/>
        <v>0.14317386262428164</v>
      </c>
      <c r="P54" s="81">
        <f t="shared" si="46"/>
        <v>0.14232022204590833</v>
      </c>
      <c r="S54" s="63" t="s">
        <v>91</v>
      </c>
      <c r="AA54" s="55"/>
    </row>
    <row r="55" spans="2:27" ht="15" thickBot="1">
      <c r="B55" s="39"/>
      <c r="C55" s="52">
        <v>11</v>
      </c>
      <c r="D55" s="3">
        <f>Dimer!J53</f>
        <v>0.49222499999999997</v>
      </c>
      <c r="E55" s="3">
        <f>Dimer!K53</f>
        <v>0.39119999999999999</v>
      </c>
      <c r="F55" s="3">
        <f>Dimer!L53</f>
        <v>1.8805000000000001</v>
      </c>
      <c r="G55" s="97">
        <f>Dimer!M53</f>
        <v>4.0024187472685329</v>
      </c>
      <c r="H55">
        <f t="shared" si="40"/>
        <v>0.19623073302171906</v>
      </c>
      <c r="I55">
        <f t="shared" si="41"/>
        <v>0.10435029674114281</v>
      </c>
      <c r="J55" s="36">
        <f t="shared" si="42"/>
        <v>0.26175219356554108</v>
      </c>
      <c r="K55" s="3">
        <f t="shared" si="43"/>
        <v>1.9831177476771888</v>
      </c>
      <c r="L55" s="39">
        <f t="shared" si="44"/>
        <v>3.0024187472685329</v>
      </c>
      <c r="M55" s="3"/>
      <c r="N55" s="39"/>
      <c r="O55" s="81">
        <f t="shared" si="45"/>
        <v>0.16924570164986094</v>
      </c>
      <c r="P55" s="81">
        <f t="shared" si="46"/>
        <v>0.16237568739699709</v>
      </c>
      <c r="R55" s="61"/>
      <c r="T55" s="61"/>
      <c r="U55" s="61"/>
      <c r="V55" s="61"/>
      <c r="W55" s="61"/>
      <c r="AA55" s="55"/>
    </row>
    <row r="56" spans="2:27" ht="18">
      <c r="B56" s="39"/>
      <c r="C56" s="52">
        <v>12</v>
      </c>
      <c r="D56" s="3">
        <f>Dimer!J54</f>
        <v>0.60334999999999994</v>
      </c>
      <c r="E56" s="3">
        <f>Dimer!K54</f>
        <v>0.480825</v>
      </c>
      <c r="F56" s="3">
        <f>Dimer!L54</f>
        <v>2.428525</v>
      </c>
      <c r="G56" s="97">
        <f>Dimer!M54</f>
        <v>3.814399823965763</v>
      </c>
      <c r="H56">
        <f t="shared" si="40"/>
        <v>0.23754768302162715</v>
      </c>
      <c r="I56">
        <f t="shared" si="41"/>
        <v>9.7815621836969832E-2</v>
      </c>
      <c r="J56" s="36">
        <f t="shared" si="42"/>
        <v>0.24844298493941794</v>
      </c>
      <c r="K56" s="3">
        <f t="shared" si="43"/>
        <v>1.8822829562873917</v>
      </c>
      <c r="L56" s="39">
        <f t="shared" si="44"/>
        <v>2.8143998239657635</v>
      </c>
      <c r="M56" s="3"/>
      <c r="N56" s="39"/>
      <c r="O56" s="81">
        <f t="shared" si="45"/>
        <v>0.15864711521791225</v>
      </c>
      <c r="P56" s="81">
        <f t="shared" si="46"/>
        <v>0.16068484439657604</v>
      </c>
      <c r="Q56" s="177"/>
      <c r="R56" s="129"/>
      <c r="S56" s="130" t="s">
        <v>149</v>
      </c>
      <c r="T56" s="131">
        <v>17.739999999999998</v>
      </c>
      <c r="U56" s="132"/>
      <c r="V56" s="176" t="s">
        <v>150</v>
      </c>
      <c r="W56" s="133">
        <f>1/T56</f>
        <v>5.6369785794813984E-2</v>
      </c>
      <c r="AA56" s="55"/>
    </row>
    <row r="57" spans="2:27" ht="16">
      <c r="B57" s="39"/>
      <c r="C57" s="52">
        <v>13</v>
      </c>
      <c r="D57" s="3">
        <f>Dimer!J55</f>
        <v>0.48975000000000007</v>
      </c>
      <c r="E57" s="3">
        <f>Dimer!K55</f>
        <v>0.38369999999999999</v>
      </c>
      <c r="F57" s="3">
        <f>Dimer!L55</f>
        <v>1.9789000000000001</v>
      </c>
      <c r="G57" s="97">
        <f>Dimer!M55</f>
        <v>3.7038284411431062</v>
      </c>
      <c r="H57">
        <f t="shared" si="40"/>
        <v>0.1859625127291801</v>
      </c>
      <c r="I57">
        <f t="shared" si="41"/>
        <v>9.3972668012117885E-2</v>
      </c>
      <c r="J57" s="36">
        <f t="shared" si="42"/>
        <v>0.24748597705796152</v>
      </c>
      <c r="K57" s="3">
        <f t="shared" si="43"/>
        <v>1.8750323606437378</v>
      </c>
      <c r="L57" s="39">
        <f t="shared" si="44"/>
        <v>2.7038284411431062</v>
      </c>
      <c r="M57" s="3"/>
      <c r="N57" s="39"/>
      <c r="O57" s="81">
        <f t="shared" si="45"/>
        <v>0.15241423005316271</v>
      </c>
      <c r="P57" s="81">
        <f t="shared" si="46"/>
        <v>0.15585973908990763</v>
      </c>
      <c r="R57" s="134"/>
      <c r="S57" s="135" t="s">
        <v>34</v>
      </c>
      <c r="T57" s="136">
        <v>7.81</v>
      </c>
      <c r="U57" s="122"/>
      <c r="V57" s="137" t="s">
        <v>145</v>
      </c>
      <c r="W57" s="138">
        <f>T57/T56</f>
        <v>0.44024802705749722</v>
      </c>
      <c r="AA57" s="55"/>
    </row>
    <row r="58" spans="2:27" ht="16">
      <c r="B58" s="39"/>
      <c r="C58" s="52">
        <v>14</v>
      </c>
      <c r="D58" s="3">
        <f>Dimer!J56</f>
        <v>0.61114999999999997</v>
      </c>
      <c r="E58" s="3">
        <f>Dimer!K56</f>
        <v>0.47822499999999996</v>
      </c>
      <c r="F58" s="3">
        <f>Dimer!L56</f>
        <v>2.390825</v>
      </c>
      <c r="G58" s="97">
        <f>Dimer!M56</f>
        <v>3.8185402777045372</v>
      </c>
      <c r="H58">
        <f t="shared" si="40"/>
        <v>0.23420408137549309</v>
      </c>
      <c r="I58">
        <f t="shared" si="41"/>
        <v>9.7959525007264472E-2</v>
      </c>
      <c r="J58" s="36">
        <f t="shared" si="42"/>
        <v>0.25562305898591492</v>
      </c>
      <c r="K58" s="3">
        <f t="shared" si="43"/>
        <v>1.9366814775654158</v>
      </c>
      <c r="L58" s="39">
        <f t="shared" si="44"/>
        <v>2.8185402777045372</v>
      </c>
      <c r="M58" s="3"/>
      <c r="N58" s="39"/>
      <c r="O58" s="81">
        <f t="shared" si="45"/>
        <v>0.15888051170826029</v>
      </c>
      <c r="P58" s="81">
        <f t="shared" si="46"/>
        <v>0.15707404843311132</v>
      </c>
      <c r="R58" s="134"/>
      <c r="S58" s="122"/>
      <c r="T58" s="122"/>
      <c r="U58" s="122"/>
      <c r="V58" s="123" t="s">
        <v>146</v>
      </c>
      <c r="W58" s="186">
        <v>6.3202755148579384E-2</v>
      </c>
      <c r="AA58" s="55"/>
    </row>
    <row r="59" spans="2:27" ht="17" thickBot="1">
      <c r="B59" s="39"/>
      <c r="C59" s="52"/>
      <c r="D59" s="3"/>
      <c r="E59" s="3"/>
      <c r="F59" s="3"/>
      <c r="G59" s="97"/>
      <c r="J59" s="36"/>
      <c r="K59" s="3"/>
      <c r="L59" s="39"/>
      <c r="M59" s="3"/>
      <c r="N59" s="39"/>
      <c r="O59" s="81"/>
      <c r="P59" s="81"/>
      <c r="R59" s="139"/>
      <c r="S59" s="140"/>
      <c r="T59" s="140"/>
      <c r="U59" s="140"/>
      <c r="V59" s="141" t="s">
        <v>147</v>
      </c>
      <c r="W59" s="142">
        <v>0.14148885257514798</v>
      </c>
      <c r="AA59" s="55"/>
    </row>
    <row r="60" spans="2:27">
      <c r="B60" s="39"/>
      <c r="C60" s="52"/>
      <c r="D60" s="3"/>
      <c r="E60" s="3"/>
      <c r="F60" s="3"/>
      <c r="G60" s="97"/>
      <c r="J60" s="36"/>
      <c r="K60" s="3"/>
      <c r="L60" s="39"/>
      <c r="M60" s="3"/>
      <c r="N60" s="39"/>
      <c r="O60" s="81"/>
      <c r="P60" s="81"/>
      <c r="R60" s="64"/>
      <c r="S60" s="61"/>
      <c r="T60" s="61"/>
      <c r="U60" s="64"/>
      <c r="V60" s="63"/>
      <c r="W60" s="63"/>
      <c r="AA60" s="55"/>
    </row>
    <row r="61" spans="2:27">
      <c r="B61" s="39"/>
      <c r="C61" s="52"/>
      <c r="D61" s="3"/>
      <c r="E61" s="3"/>
      <c r="F61" s="3"/>
      <c r="G61" s="97"/>
      <c r="J61" s="36"/>
      <c r="K61" s="3"/>
      <c r="L61" s="39"/>
      <c r="M61" s="3"/>
      <c r="N61" s="39"/>
      <c r="O61" s="81"/>
      <c r="P61" s="81"/>
      <c r="AA61" s="55"/>
    </row>
    <row r="62" spans="2:27">
      <c r="B62" s="51" t="s">
        <v>85</v>
      </c>
      <c r="C62" s="52">
        <v>1</v>
      </c>
      <c r="D62" s="3">
        <f>Dimer!J60</f>
        <v>0.43474999999999997</v>
      </c>
      <c r="E62" s="3">
        <f>Dimer!K60</f>
        <v>0.46782499999999999</v>
      </c>
      <c r="F62" s="3">
        <f>Dimer!L60</f>
        <v>1.9682249999999999</v>
      </c>
      <c r="G62" s="97">
        <f>Dimer!M60</f>
        <v>5.1654104578459474</v>
      </c>
      <c r="H62">
        <f t="shared" ref="H62:H64" si="47">E62-_Rd1*D62-_Ra1*F62</f>
        <v>0.28494101836480235</v>
      </c>
      <c r="I62">
        <f t="shared" ref="I62:I64" si="48">H62/F62</f>
        <v>0.14477055131644115</v>
      </c>
      <c r="J62" s="36">
        <f t="shared" ref="J62:J64" si="49">D62/F62</f>
        <v>0.22088429930521156</v>
      </c>
      <c r="K62" s="3">
        <f t="shared" ref="K62:K64" si="50">J62*(_Rd1/_Ra1)</f>
        <v>1.6734896016285834</v>
      </c>
      <c r="L62" s="39">
        <f t="shared" ref="L62:L64" si="51">I62/_Ra1</f>
        <v>4.1654104578459465</v>
      </c>
      <c r="M62" s="3"/>
      <c r="N62" s="39"/>
      <c r="O62" s="81">
        <f t="shared" ref="O62:O63" si="52">(G62-1)/$T$56</f>
        <v>0.2348032952562541</v>
      </c>
      <c r="P62" s="81">
        <f t="shared" ref="P62:P63" si="53">(E62-_Rd1*D62-_Ra1*F62)/((E62-_Rd1*D62-_Ra1*F62)+$T$57*D62*_Rd1)</f>
        <v>0.24167812169540118</v>
      </c>
      <c r="Y62" t="s">
        <v>91</v>
      </c>
      <c r="AA62" s="55"/>
    </row>
    <row r="63" spans="2:27">
      <c r="B63" s="39"/>
      <c r="C63" s="52">
        <v>2</v>
      </c>
      <c r="D63" s="3">
        <f>Dimer!J61</f>
        <v>0.57187500000000002</v>
      </c>
      <c r="E63" s="3">
        <f>Dimer!K61</f>
        <v>0.62</v>
      </c>
      <c r="F63" s="3">
        <f>Dimer!L61</f>
        <v>2.6390000000000002</v>
      </c>
      <c r="G63" s="97">
        <f>Dimer!M61</f>
        <v>5.1179395206679779</v>
      </c>
      <c r="H63">
        <f t="shared" si="47"/>
        <v>0.37769547292905292</v>
      </c>
      <c r="I63">
        <f t="shared" si="48"/>
        <v>0.14312067939714015</v>
      </c>
      <c r="J63" s="36">
        <f t="shared" si="49"/>
        <v>0.21670140204622962</v>
      </c>
      <c r="K63" s="3">
        <f t="shared" si="50"/>
        <v>1.6417986435586551</v>
      </c>
      <c r="L63" s="39">
        <f t="shared" si="51"/>
        <v>4.1179395206679779</v>
      </c>
      <c r="M63" s="3"/>
      <c r="N63" s="39"/>
      <c r="O63" s="81">
        <f t="shared" si="52"/>
        <v>0.23212736869605288</v>
      </c>
      <c r="P63" s="81">
        <f t="shared" si="53"/>
        <v>0.243084147867867</v>
      </c>
      <c r="V63" s="184"/>
      <c r="W63" s="125"/>
      <c r="AA63" s="55"/>
    </row>
    <row r="64" spans="2:27">
      <c r="B64" s="39"/>
      <c r="C64" s="52">
        <v>3</v>
      </c>
      <c r="D64" s="3">
        <f>Dimer!J62</f>
        <v>0.56037499999999996</v>
      </c>
      <c r="E64" s="3">
        <f>Dimer!K62</f>
        <v>0.56040000000000001</v>
      </c>
      <c r="F64" s="3">
        <f>Dimer!L62</f>
        <v>2.3492999999999999</v>
      </c>
      <c r="G64" s="97">
        <f>Dimer!M62</f>
        <v>5.0561993538280579</v>
      </c>
      <c r="H64">
        <f t="shared" si="47"/>
        <v>0.33119227275718516</v>
      </c>
      <c r="I64">
        <f t="shared" si="48"/>
        <v>0.14097487454015459</v>
      </c>
      <c r="J64" s="36">
        <f t="shared" si="49"/>
        <v>0.23852849785042352</v>
      </c>
      <c r="K64" s="3">
        <f t="shared" si="50"/>
        <v>1.8071676533840064</v>
      </c>
      <c r="L64" s="39">
        <f t="shared" si="51"/>
        <v>4.056199353828057</v>
      </c>
      <c r="M64" s="3"/>
      <c r="N64" s="39"/>
      <c r="O64" s="81">
        <f t="shared" ref="O64:O73" si="54">(G64-1)/$T$56</f>
        <v>0.22864708871635053</v>
      </c>
      <c r="P64" s="81">
        <f t="shared" ref="P64:P73" si="55">(E64-_Rd1*D64-_Ra1*F64)/((E64-_Rd1*D64-_Ra1*F64)+$T$57*D64*_Rd1)</f>
        <v>0.2232338720947723</v>
      </c>
      <c r="V64" s="43"/>
      <c r="W64" s="185"/>
    </row>
    <row r="65" spans="2:27">
      <c r="B65" s="39"/>
      <c r="C65" s="52">
        <v>4</v>
      </c>
      <c r="D65" s="3">
        <f>Dimer!J63</f>
        <v>0.54667500000000002</v>
      </c>
      <c r="E65" s="3">
        <f>Dimer!K63</f>
        <v>0.55620000000000003</v>
      </c>
      <c r="F65" s="3">
        <f>Dimer!L63</f>
        <v>2.3148</v>
      </c>
      <c r="G65" s="97">
        <f>Dimer!M63</f>
        <v>5.1241922410432474</v>
      </c>
      <c r="H65">
        <f t="shared" ref="H65:H73" si="56">E65-_Rd1*D65-_Ra1*F65</f>
        <v>0.33179879143237334</v>
      </c>
      <c r="I65">
        <f t="shared" ref="I65:I73" si="57">H65/F65</f>
        <v>0.14333799526195495</v>
      </c>
      <c r="J65" s="36">
        <f t="shared" ref="J65:J73" si="58">D65/F65</f>
        <v>0.23616511145671334</v>
      </c>
      <c r="K65" s="3">
        <f t="shared" ref="K65:K73" si="59">J65*(_Rd1/_Ra1)</f>
        <v>1.7892618874832829</v>
      </c>
      <c r="L65" s="39">
        <f t="shared" ref="L65:L73" si="60">I65/_Ra1</f>
        <v>4.1241922410432474</v>
      </c>
      <c r="M65" s="3"/>
      <c r="N65" s="39"/>
      <c r="O65" s="81">
        <f t="shared" si="54"/>
        <v>0.2324798332042417</v>
      </c>
      <c r="P65" s="81">
        <f t="shared" si="55"/>
        <v>0.2278769804719126</v>
      </c>
      <c r="V65" s="43"/>
      <c r="W65" s="43"/>
    </row>
    <row r="66" spans="2:27">
      <c r="B66" s="39"/>
      <c r="C66" s="52">
        <v>5</v>
      </c>
      <c r="D66" s="3">
        <f>Dimer!J64</f>
        <v>0.44239999999999996</v>
      </c>
      <c r="E66" s="3">
        <f>Dimer!K64</f>
        <v>0.4491</v>
      </c>
      <c r="F66" s="3">
        <f>Dimer!L64</f>
        <v>1.8706</v>
      </c>
      <c r="G66" s="97">
        <f>Dimer!M64</f>
        <v>5.1159874564771473</v>
      </c>
      <c r="H66">
        <f t="shared" si="56"/>
        <v>0.26759463241102599</v>
      </c>
      <c r="I66">
        <f t="shared" si="57"/>
        <v>0.14305283460441889</v>
      </c>
      <c r="J66" s="36">
        <f t="shared" si="58"/>
        <v>0.23650165722228159</v>
      </c>
      <c r="K66" s="3">
        <f t="shared" si="59"/>
        <v>1.7918116650859561</v>
      </c>
      <c r="L66" s="39">
        <f t="shared" si="60"/>
        <v>4.1159874564771473</v>
      </c>
      <c r="M66" s="3"/>
      <c r="N66" s="39"/>
      <c r="O66" s="81">
        <f t="shared" si="54"/>
        <v>0.23201733125575805</v>
      </c>
      <c r="P66" s="81">
        <f t="shared" si="55"/>
        <v>0.22727659564126665</v>
      </c>
      <c r="V66" s="38"/>
      <c r="W66" s="38"/>
      <c r="AA66" s="55"/>
    </row>
    <row r="67" spans="2:27">
      <c r="B67" s="39"/>
      <c r="C67" s="52">
        <v>6</v>
      </c>
      <c r="D67" s="3">
        <f>Dimer!J65</f>
        <v>0.48602499999999998</v>
      </c>
      <c r="E67" s="3">
        <f>Dimer!K65</f>
        <v>0.45880000000000004</v>
      </c>
      <c r="F67" s="3">
        <f>Dimer!L65</f>
        <v>1.8851</v>
      </c>
      <c r="G67" s="97">
        <f>Dimer!M65</f>
        <v>5.0493568064968279</v>
      </c>
      <c r="H67">
        <f t="shared" si="56"/>
        <v>0.26530342991567168</v>
      </c>
      <c r="I67">
        <f t="shared" si="57"/>
        <v>0.14073705899722649</v>
      </c>
      <c r="J67" s="36">
        <f t="shared" si="58"/>
        <v>0.25782451859317806</v>
      </c>
      <c r="K67" s="3">
        <f t="shared" si="59"/>
        <v>1.9533604347060933</v>
      </c>
      <c r="L67" s="39">
        <f t="shared" si="60"/>
        <v>4.0493568064968279</v>
      </c>
      <c r="M67" s="3"/>
      <c r="N67" s="39"/>
      <c r="O67" s="81">
        <f t="shared" si="54"/>
        <v>0.22826137578899822</v>
      </c>
      <c r="P67" s="81">
        <f t="shared" si="55"/>
        <v>0.20975578622286306</v>
      </c>
      <c r="AA67" s="55"/>
    </row>
    <row r="68" spans="2:27">
      <c r="B68" s="39"/>
      <c r="C68" s="52">
        <v>7</v>
      </c>
      <c r="D68" s="3">
        <f>Dimer!J66</f>
        <v>0.63275000000000003</v>
      </c>
      <c r="E68" s="3">
        <f>Dimer!K66</f>
        <v>0.62097500000000005</v>
      </c>
      <c r="F68" s="3">
        <f>Dimer!L66</f>
        <v>2.633575</v>
      </c>
      <c r="G68" s="97">
        <f>Dimer!M66</f>
        <v>4.9640079541518247</v>
      </c>
      <c r="H68">
        <f t="shared" si="56"/>
        <v>0.36282953598246809</v>
      </c>
      <c r="I68">
        <f t="shared" si="57"/>
        <v>0.1377707245787449</v>
      </c>
      <c r="J68" s="36">
        <f t="shared" si="58"/>
        <v>0.2402627606960121</v>
      </c>
      <c r="K68" s="3">
        <f t="shared" si="59"/>
        <v>1.8203069794823861</v>
      </c>
      <c r="L68" s="39">
        <f t="shared" si="60"/>
        <v>3.9640079541518243</v>
      </c>
      <c r="M68" s="3"/>
      <c r="N68" s="39"/>
      <c r="O68" s="81">
        <f t="shared" si="54"/>
        <v>0.22345027926447716</v>
      </c>
      <c r="P68" s="81">
        <f t="shared" si="55"/>
        <v>0.21803498029924631</v>
      </c>
    </row>
    <row r="69" spans="2:27">
      <c r="B69" s="65"/>
      <c r="C69" s="52">
        <v>8</v>
      </c>
      <c r="D69" s="3">
        <f>Dimer!J67</f>
        <v>0.50354999999999994</v>
      </c>
      <c r="E69" s="3">
        <f>Dimer!K67</f>
        <v>0.49530000000000002</v>
      </c>
      <c r="F69" s="3">
        <f>Dimer!L67</f>
        <v>2.17</v>
      </c>
      <c r="G69" s="97">
        <f>Dimer!M67</f>
        <v>4.8091998812172978</v>
      </c>
      <c r="H69">
        <f t="shared" si="56"/>
        <v>0.28728696493090666</v>
      </c>
      <c r="I69">
        <f t="shared" si="57"/>
        <v>0.13239030641977265</v>
      </c>
      <c r="J69" s="36">
        <f t="shared" si="58"/>
        <v>0.2320506912442396</v>
      </c>
      <c r="K69" s="3">
        <f t="shared" si="59"/>
        <v>1.7580897332651546</v>
      </c>
      <c r="L69" s="39">
        <f t="shared" si="60"/>
        <v>3.8091998812172978</v>
      </c>
      <c r="M69" s="3">
        <f>AVERAGE(K62:K76)</f>
        <v>1.8050787125303911</v>
      </c>
      <c r="N69" s="39">
        <f>AVERAGE(L62:L76)</f>
        <v>4.0457598347913759</v>
      </c>
      <c r="O69" s="81">
        <f t="shared" si="54"/>
        <v>0.21472378135384995</v>
      </c>
      <c r="P69" s="81">
        <f t="shared" si="55"/>
        <v>0.2171736482590616</v>
      </c>
    </row>
    <row r="70" spans="2:27">
      <c r="B70" s="65"/>
      <c r="C70" s="52">
        <v>9</v>
      </c>
      <c r="D70" s="3">
        <f>Dimer!J68</f>
        <v>0.63475000000000004</v>
      </c>
      <c r="E70" s="3">
        <f>Dimer!K68</f>
        <v>0.611375</v>
      </c>
      <c r="F70" s="3">
        <f>Dimer!L68</f>
        <v>2.5854750000000002</v>
      </c>
      <c r="G70" s="97">
        <f>Dimer!M68</f>
        <v>4.9436635929281465</v>
      </c>
      <c r="H70">
        <f t="shared" si="56"/>
        <v>0.35437463517939227</v>
      </c>
      <c r="I70">
        <f t="shared" si="57"/>
        <v>0.13706364794840106</v>
      </c>
      <c r="J70" s="36">
        <f t="shared" si="58"/>
        <v>0.24550614490567496</v>
      </c>
      <c r="K70" s="3">
        <f t="shared" si="59"/>
        <v>1.8600325234880721</v>
      </c>
      <c r="L70" s="39">
        <f t="shared" si="60"/>
        <v>3.9436635929281465</v>
      </c>
      <c r="M70" s="3"/>
      <c r="N70" s="39"/>
      <c r="O70" s="81">
        <f t="shared" si="54"/>
        <v>0.22230347198016612</v>
      </c>
      <c r="P70" s="81">
        <f t="shared" si="55"/>
        <v>0.21351126579341984</v>
      </c>
    </row>
    <row r="71" spans="2:27">
      <c r="B71" s="65"/>
      <c r="C71" s="52">
        <v>10</v>
      </c>
      <c r="D71" s="3">
        <f>Dimer!J69</f>
        <v>0.52294999999999991</v>
      </c>
      <c r="E71" s="3">
        <f>Dimer!K69</f>
        <v>0.5252</v>
      </c>
      <c r="F71" s="3">
        <f>Dimer!L69</f>
        <v>2.2163999999999997</v>
      </c>
      <c r="G71" s="97">
        <f>Dimer!M69</f>
        <v>5.0303559301392484</v>
      </c>
      <c r="H71">
        <f t="shared" si="56"/>
        <v>0.31046594409952355</v>
      </c>
      <c r="I71">
        <f t="shared" si="57"/>
        <v>0.14007667573521188</v>
      </c>
      <c r="J71" s="36">
        <f t="shared" si="58"/>
        <v>0.23594567767550984</v>
      </c>
      <c r="K71" s="3">
        <f t="shared" si="59"/>
        <v>1.7875993874674592</v>
      </c>
      <c r="L71" s="39">
        <f t="shared" si="60"/>
        <v>4.0303559301392493</v>
      </c>
      <c r="M71" s="3"/>
      <c r="N71" s="39"/>
      <c r="O71" s="81">
        <f t="shared" si="54"/>
        <v>0.2271903004588077</v>
      </c>
      <c r="P71" s="81">
        <f t="shared" si="55"/>
        <v>0.22401435840671302</v>
      </c>
    </row>
    <row r="72" spans="2:27">
      <c r="B72" s="65"/>
      <c r="C72" s="52">
        <v>11</v>
      </c>
      <c r="D72" s="3">
        <f>Dimer!J70</f>
        <v>0.44824999999999998</v>
      </c>
      <c r="E72" s="3">
        <f>Dimer!K70</f>
        <v>0.42504999999999998</v>
      </c>
      <c r="F72" s="3">
        <f>Dimer!L70</f>
        <v>1.7263500000000001</v>
      </c>
      <c r="G72" s="97">
        <f>Dimer!M70</f>
        <v>5.1169612716960415</v>
      </c>
      <c r="H72">
        <f t="shared" si="56"/>
        <v>0.24701768993569712</v>
      </c>
      <c r="I72">
        <f t="shared" si="57"/>
        <v>0.14308667995232549</v>
      </c>
      <c r="J72" s="36">
        <f t="shared" si="58"/>
        <v>0.2596518666550815</v>
      </c>
      <c r="K72" s="3">
        <f t="shared" si="59"/>
        <v>1.9672050039659754</v>
      </c>
      <c r="L72" s="39">
        <f t="shared" si="60"/>
        <v>4.1169612716960415</v>
      </c>
      <c r="M72" s="3"/>
      <c r="N72" s="39"/>
      <c r="O72" s="81">
        <f t="shared" si="54"/>
        <v>0.23207222501105085</v>
      </c>
      <c r="P72" s="81">
        <f t="shared" si="55"/>
        <v>0.21133395109432862</v>
      </c>
    </row>
    <row r="73" spans="2:27">
      <c r="B73" s="65"/>
      <c r="C73" s="52">
        <v>12</v>
      </c>
      <c r="D73" s="3">
        <f>Dimer!J71</f>
        <v>0.46870000000000001</v>
      </c>
      <c r="E73" s="3">
        <f>Dimer!K71</f>
        <v>0.46799999999999997</v>
      </c>
      <c r="F73" s="3">
        <f>Dimer!L71</f>
        <v>1.9610000000000001</v>
      </c>
      <c r="G73" s="97">
        <f>Dimer!M71</f>
        <v>5.0558435510047488</v>
      </c>
      <c r="H73">
        <f t="shared" si="56"/>
        <v>0.27642747910357535</v>
      </c>
      <c r="I73">
        <f t="shared" si="57"/>
        <v>0.14096250846689207</v>
      </c>
      <c r="J73" s="36">
        <f t="shared" si="58"/>
        <v>0.23901070882202957</v>
      </c>
      <c r="K73" s="3">
        <f t="shared" si="59"/>
        <v>1.8108210368490705</v>
      </c>
      <c r="L73" s="39">
        <f t="shared" si="60"/>
        <v>4.0558435510047497</v>
      </c>
      <c r="M73" s="3"/>
      <c r="N73" s="39"/>
      <c r="O73" s="81">
        <f t="shared" si="54"/>
        <v>0.2286270321874154</v>
      </c>
      <c r="P73" s="81">
        <f t="shared" si="55"/>
        <v>0.22286868026449136</v>
      </c>
    </row>
    <row r="74" spans="2:27">
      <c r="B74" s="65"/>
      <c r="C74" s="52"/>
      <c r="D74" s="3"/>
      <c r="E74" s="3"/>
      <c r="F74" s="3"/>
      <c r="G74" s="97"/>
      <c r="J74" s="36"/>
      <c r="K74" s="3"/>
      <c r="L74" s="39"/>
      <c r="M74" s="3"/>
      <c r="N74" s="39"/>
      <c r="O74" s="81"/>
      <c r="P74" s="81"/>
    </row>
    <row r="75" spans="2:27">
      <c r="B75" s="65"/>
      <c r="C75" s="52"/>
      <c r="D75" s="3"/>
      <c r="E75" s="3"/>
      <c r="F75" s="3"/>
      <c r="G75" s="97"/>
      <c r="J75" s="36"/>
      <c r="K75" s="3"/>
      <c r="L75" s="39"/>
      <c r="M75" s="3"/>
      <c r="N75" s="39"/>
      <c r="O75" s="81"/>
      <c r="P75" s="81"/>
    </row>
    <row r="76" spans="2:27">
      <c r="B76" s="65"/>
      <c r="C76" s="52"/>
      <c r="D76" s="121"/>
      <c r="E76" s="121"/>
      <c r="F76" s="121"/>
      <c r="G76" s="181"/>
      <c r="J76" s="36"/>
      <c r="K76" s="3"/>
      <c r="L76" s="39"/>
      <c r="M76" s="3"/>
      <c r="N76" s="39"/>
      <c r="O76" s="81"/>
      <c r="P76" s="81"/>
    </row>
    <row r="77" spans="2:27">
      <c r="B77" s="65"/>
      <c r="C77" s="65"/>
      <c r="D77" s="180"/>
      <c r="E77" s="121"/>
      <c r="F77" s="121"/>
      <c r="G77" s="182"/>
      <c r="H77" s="7"/>
      <c r="I77" s="7"/>
      <c r="J77" s="7"/>
      <c r="K77" s="7"/>
      <c r="L77" s="7"/>
      <c r="M77" s="65"/>
      <c r="N77" s="3"/>
    </row>
    <row r="78" spans="2:27">
      <c r="B78" s="65"/>
      <c r="C78" s="65"/>
      <c r="D78" s="65"/>
      <c r="E78" s="3"/>
      <c r="F78" s="3"/>
      <c r="G78" s="82"/>
      <c r="H78" s="7"/>
      <c r="I78" s="7"/>
      <c r="J78" s="7"/>
      <c r="K78" s="7"/>
      <c r="L78" s="7"/>
      <c r="M78" s="7"/>
    </row>
    <row r="79" spans="2:27">
      <c r="B79" s="65"/>
      <c r="C79" s="65"/>
      <c r="D79" s="65"/>
      <c r="E79" s="3"/>
      <c r="F79" s="3"/>
      <c r="G79" s="82"/>
      <c r="H79" s="7"/>
      <c r="I79" s="7"/>
      <c r="J79" s="7"/>
      <c r="K79" s="7"/>
      <c r="L79" s="7"/>
      <c r="M79" s="7"/>
    </row>
    <row r="80" spans="2:27">
      <c r="B80" s="65"/>
      <c r="C80" s="65"/>
      <c r="D80" s="65"/>
      <c r="E80" s="3"/>
      <c r="F80" s="3"/>
      <c r="G80" s="82"/>
      <c r="H80" s="7"/>
      <c r="I80" s="7"/>
      <c r="J80" s="7"/>
      <c r="K80" s="7"/>
      <c r="L80" s="7"/>
      <c r="M80" s="7"/>
      <c r="N80" s="7"/>
      <c r="P80" s="7"/>
    </row>
    <row r="81" spans="2:16">
      <c r="B81" s="65"/>
      <c r="C81" s="65"/>
      <c r="D81" s="65"/>
      <c r="E81" s="3"/>
      <c r="F81" s="3"/>
      <c r="G81" s="65"/>
      <c r="H81" s="7"/>
      <c r="I81" s="7"/>
      <c r="J81" s="7"/>
      <c r="K81" s="7"/>
      <c r="L81" s="7"/>
      <c r="M81" s="7"/>
      <c r="N81" s="7"/>
      <c r="P81" s="7"/>
    </row>
    <row r="82" spans="2:16">
      <c r="B82" s="7"/>
      <c r="C82" s="65"/>
      <c r="D82" s="65"/>
      <c r="E82" s="3"/>
      <c r="F82" s="3"/>
      <c r="G82" s="65"/>
      <c r="H82" s="7"/>
      <c r="I82" s="7"/>
      <c r="J82" s="7"/>
      <c r="K82" s="7"/>
      <c r="L82" s="7"/>
      <c r="M82" s="7"/>
      <c r="N82" s="7"/>
      <c r="O82" s="7"/>
      <c r="P82" s="7"/>
    </row>
    <row r="83" spans="2:16">
      <c r="B83" s="7"/>
      <c r="C83" s="65"/>
      <c r="D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2:16">
      <c r="B84" s="7"/>
      <c r="C84" s="65"/>
      <c r="D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2:16">
      <c r="B85" s="7"/>
      <c r="C85" s="65"/>
      <c r="D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2:16">
      <c r="B86" s="7"/>
      <c r="C86" s="65"/>
      <c r="D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2:16">
      <c r="B87" s="7"/>
      <c r="C87" s="65"/>
      <c r="D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2:16">
      <c r="B88" s="7"/>
      <c r="C88" s="65"/>
      <c r="D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2:16">
      <c r="B89" s="7"/>
      <c r="C89" s="65"/>
      <c r="D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2:16">
      <c r="B90" s="7"/>
      <c r="C90" s="65"/>
      <c r="D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2:16">
      <c r="B91" s="7"/>
      <c r="C91" s="65"/>
      <c r="D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2:16">
      <c r="B92" s="7"/>
      <c r="C92" s="65"/>
      <c r="D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2:16">
      <c r="B93" s="7"/>
      <c r="C93" s="65"/>
      <c r="D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2:16">
      <c r="B94" s="7"/>
      <c r="C94" s="65"/>
      <c r="D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2:16">
      <c r="B95" s="7"/>
      <c r="C95" s="65"/>
      <c r="D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2:16">
      <c r="G96" s="7"/>
      <c r="H96" s="7"/>
      <c r="I96" s="7"/>
      <c r="J96" s="7"/>
      <c r="K96" s="7"/>
      <c r="L96" s="7"/>
      <c r="M96" s="7"/>
      <c r="N96" s="7"/>
      <c r="O96" s="7"/>
      <c r="P96" s="7"/>
    </row>
  </sheetData>
  <mergeCells count="4">
    <mergeCell ref="D7:G7"/>
    <mergeCell ref="AH5:AI5"/>
    <mergeCell ref="K6:L6"/>
    <mergeCell ref="H7:J7"/>
  </mergeCells>
  <pageMargins left="0.70866141732283472" right="0.70866141732283472" top="0.78740157480314965" bottom="0.78740157480314965" header="0.31496062992125984" footer="0.31496062992125984"/>
  <pageSetup paperSize="9" scale="45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3:P153"/>
  <sheetViews>
    <sheetView workbookViewId="0">
      <selection activeCell="J23" sqref="J23"/>
    </sheetView>
  </sheetViews>
  <sheetFormatPr baseColWidth="10" defaultColWidth="11.5" defaultRowHeight="14" x14ac:dyDescent="0"/>
  <cols>
    <col min="2" max="2" width="11.5" style="3"/>
    <col min="13" max="13" width="11.5" customWidth="1"/>
  </cols>
  <sheetData>
    <row r="3" spans="2:16" ht="16">
      <c r="D3" s="179"/>
      <c r="E3" s="128" t="s">
        <v>139</v>
      </c>
      <c r="F3" s="144">
        <f>'RA-value (YFP) '!P9</f>
        <v>3.4755410728791937E-2</v>
      </c>
    </row>
    <row r="4" spans="2:16" ht="17" thickBot="1">
      <c r="D4" s="179"/>
      <c r="E4" s="128" t="s">
        <v>140</v>
      </c>
      <c r="F4" s="144">
        <f>' RD-value (CFP)'!P9</f>
        <v>0.26331802956531603</v>
      </c>
    </row>
    <row r="5" spans="2:16" ht="15" thickBot="1">
      <c r="D5" s="179"/>
      <c r="E5" s="178" t="s">
        <v>132</v>
      </c>
      <c r="F5" s="144">
        <f>'Dimer Analysis'!W59</f>
        <v>0.14148885257514798</v>
      </c>
      <c r="O5" s="158" t="s">
        <v>79</v>
      </c>
      <c r="P5" s="159"/>
    </row>
    <row r="6" spans="2:16" ht="16">
      <c r="D6" s="179"/>
      <c r="E6" s="137" t="s">
        <v>150</v>
      </c>
      <c r="F6" s="144">
        <f>EYFP_ECFP</f>
        <v>5.6369785794813984E-2</v>
      </c>
      <c r="O6" s="162"/>
      <c r="P6" s="163"/>
    </row>
    <row r="7" spans="2:16" ht="24.75" customHeight="1" thickBot="1">
      <c r="E7" s="146"/>
      <c r="F7" s="147"/>
      <c r="O7" s="160" t="s">
        <v>123</v>
      </c>
      <c r="P7" s="164">
        <v>1.2500000000000001E-2</v>
      </c>
    </row>
    <row r="8" spans="2:16">
      <c r="C8" s="114"/>
      <c r="D8" s="114"/>
      <c r="E8" s="114"/>
      <c r="F8" s="114"/>
      <c r="G8" s="114"/>
      <c r="H8" s="200" t="s">
        <v>80</v>
      </c>
      <c r="I8" s="200"/>
      <c r="J8" s="200"/>
      <c r="K8" s="148"/>
      <c r="L8" s="153"/>
      <c r="M8" s="153"/>
    </row>
    <row r="9" spans="2:16" ht="16">
      <c r="B9" s="115" t="s">
        <v>86</v>
      </c>
      <c r="C9" s="114" t="s">
        <v>15</v>
      </c>
      <c r="D9" s="114" t="s">
        <v>0</v>
      </c>
      <c r="E9" s="114" t="s">
        <v>1</v>
      </c>
      <c r="F9" s="114" t="s">
        <v>2</v>
      </c>
      <c r="G9" s="114"/>
      <c r="H9" s="148" t="s">
        <v>0</v>
      </c>
      <c r="I9" s="148" t="s">
        <v>1</v>
      </c>
      <c r="J9" s="148" t="s">
        <v>2</v>
      </c>
      <c r="K9" s="148" t="s">
        <v>134</v>
      </c>
      <c r="L9" s="157" t="s">
        <v>133</v>
      </c>
      <c r="M9" s="157" t="s">
        <v>130</v>
      </c>
    </row>
    <row r="10" spans="2:16">
      <c r="B10" s="121">
        <v>1</v>
      </c>
      <c r="C10" s="61">
        <v>700</v>
      </c>
      <c r="D10" s="61">
        <v>0.61919999999999997</v>
      </c>
      <c r="E10" s="61">
        <v>0.31909999999999999</v>
      </c>
      <c r="F10" s="61">
        <v>2.3428</v>
      </c>
      <c r="G10">
        <f>C10</f>
        <v>700</v>
      </c>
      <c r="H10">
        <f>D10-VLOOKUP(C10,Background,2)</f>
        <v>0.61224999999999996</v>
      </c>
      <c r="I10">
        <f t="shared" ref="I10:I29" si="0">E10-VLOOKUP(C10,Background,3)</f>
        <v>0.31212499999999999</v>
      </c>
      <c r="J10">
        <f t="shared" ref="J10:J29" si="1">F10-VLOOKUP(C10,Background,4)</f>
        <v>2.3364500000000001</v>
      </c>
      <c r="K10" s="4">
        <f>(I10-$F$4*H10)/($F$3*J10)</f>
        <v>1.8583815719898999</v>
      </c>
      <c r="L10" s="4">
        <f t="shared" ref="L10:L29" si="2">$F$4*H10/VLOOKUP(C10,HV_lookup,2)/$F$5</f>
        <v>3.0712364690504477</v>
      </c>
      <c r="M10" s="81">
        <f>(K10-1)*$F$6</f>
        <v>4.8386785343286359E-2</v>
      </c>
    </row>
    <row r="11" spans="2:16">
      <c r="B11" s="121">
        <v>2</v>
      </c>
      <c r="C11" s="61">
        <v>650</v>
      </c>
      <c r="D11" s="61">
        <v>0.63919999999999999</v>
      </c>
      <c r="E11" s="61">
        <v>0.2949</v>
      </c>
      <c r="F11" s="61">
        <v>1.7797000000000001</v>
      </c>
      <c r="G11">
        <f t="shared" ref="G11:G29" si="3">C11</f>
        <v>650</v>
      </c>
      <c r="H11">
        <f t="shared" ref="H11:H29" si="4">D11-VLOOKUP(C11,Background,2)</f>
        <v>0.63300000000000001</v>
      </c>
      <c r="I11">
        <f t="shared" si="0"/>
        <v>0.28872500000000001</v>
      </c>
      <c r="J11">
        <f t="shared" si="1"/>
        <v>1.7739</v>
      </c>
      <c r="K11" s="4">
        <f t="shared" ref="K11:K29" si="5">(I11-$F$4*H11)/($F$3*J11)</f>
        <v>1.979553848072676</v>
      </c>
      <c r="L11" s="4">
        <f t="shared" si="2"/>
        <v>5.5048857332667875</v>
      </c>
      <c r="M11" s="81">
        <f t="shared" ref="M11:M29" si="6">(K11-1)*$F$6</f>
        <v>5.5217240590342505E-2</v>
      </c>
    </row>
    <row r="12" spans="2:16">
      <c r="B12" s="121">
        <v>3</v>
      </c>
      <c r="C12" s="61">
        <v>700</v>
      </c>
      <c r="D12" s="61">
        <v>1.012</v>
      </c>
      <c r="E12" s="61">
        <v>0.4919</v>
      </c>
      <c r="F12" s="61">
        <v>2.9047000000000001</v>
      </c>
      <c r="G12" s="61">
        <f t="shared" si="3"/>
        <v>700</v>
      </c>
      <c r="H12" s="61">
        <f t="shared" si="4"/>
        <v>1.00505</v>
      </c>
      <c r="I12" s="61">
        <f t="shared" si="0"/>
        <v>0.48492499999999999</v>
      </c>
      <c r="J12" s="61">
        <f t="shared" si="1"/>
        <v>2.8983500000000002</v>
      </c>
      <c r="K12" s="113">
        <f t="shared" si="5"/>
        <v>2.1867358328313666</v>
      </c>
      <c r="L12" s="4">
        <f t="shared" si="2"/>
        <v>5.0416434678957165</v>
      </c>
      <c r="M12" s="81">
        <f t="shared" si="6"/>
        <v>6.689604469173431E-2</v>
      </c>
      <c r="O12" t="s">
        <v>91</v>
      </c>
    </row>
    <row r="13" spans="2:16">
      <c r="B13" s="121">
        <v>4</v>
      </c>
      <c r="C13" s="61">
        <v>700</v>
      </c>
      <c r="D13" s="61">
        <v>0.7571</v>
      </c>
      <c r="E13" s="61">
        <v>0.35420000000000001</v>
      </c>
      <c r="F13" s="61">
        <v>2.2812000000000001</v>
      </c>
      <c r="G13" s="61">
        <f t="shared" si="3"/>
        <v>700</v>
      </c>
      <c r="H13" s="61">
        <f t="shared" si="4"/>
        <v>0.75014999999999998</v>
      </c>
      <c r="I13" s="61">
        <f t="shared" si="0"/>
        <v>0.34722500000000001</v>
      </c>
      <c r="J13" s="61">
        <f t="shared" si="1"/>
        <v>2.2748500000000003</v>
      </c>
      <c r="K13" s="113">
        <f t="shared" si="5"/>
        <v>1.8933802768614274</v>
      </c>
      <c r="L13" s="4">
        <f t="shared" si="2"/>
        <v>3.7629857693069715</v>
      </c>
      <c r="M13" s="81">
        <f t="shared" si="6"/>
        <v>5.0359654839990275E-2</v>
      </c>
    </row>
    <row r="14" spans="2:16">
      <c r="B14" s="121">
        <v>5</v>
      </c>
      <c r="C14" s="61">
        <v>800</v>
      </c>
      <c r="D14" s="61">
        <v>1.1585000000000001</v>
      </c>
      <c r="E14" s="61">
        <v>0.4723</v>
      </c>
      <c r="F14" s="61">
        <v>2.7185999999999999</v>
      </c>
      <c r="G14">
        <f t="shared" si="3"/>
        <v>800</v>
      </c>
      <c r="H14">
        <f t="shared" si="4"/>
        <v>1.1486500000000002</v>
      </c>
      <c r="I14">
        <f t="shared" si="0"/>
        <v>0.46242499999999997</v>
      </c>
      <c r="J14">
        <f t="shared" si="1"/>
        <v>2.7102749999999998</v>
      </c>
      <c r="K14" s="4">
        <f t="shared" si="5"/>
        <v>1.6981986629598562</v>
      </c>
      <c r="L14" s="4">
        <f t="shared" si="2"/>
        <v>2.1376967100610043</v>
      </c>
      <c r="M14" s="81">
        <f t="shared" si="6"/>
        <v>3.9357309073272617E-2</v>
      </c>
    </row>
    <row r="15" spans="2:16">
      <c r="B15" s="121">
        <v>6</v>
      </c>
      <c r="C15" s="61">
        <v>650</v>
      </c>
      <c r="D15" s="61">
        <v>1.1712</v>
      </c>
      <c r="E15" s="61">
        <v>0.59930000000000005</v>
      </c>
      <c r="F15" s="61">
        <v>3.0137999999999998</v>
      </c>
      <c r="G15">
        <f t="shared" si="3"/>
        <v>650</v>
      </c>
      <c r="H15">
        <f t="shared" si="4"/>
        <v>1.165</v>
      </c>
      <c r="I15">
        <f t="shared" si="0"/>
        <v>0.59312500000000001</v>
      </c>
      <c r="J15">
        <f t="shared" si="1"/>
        <v>3.008</v>
      </c>
      <c r="K15" s="4">
        <f t="shared" si="5"/>
        <v>2.7391217191278692</v>
      </c>
      <c r="L15" s="4">
        <f t="shared" si="2"/>
        <v>10.131424769756411</v>
      </c>
      <c r="M15" s="81">
        <f t="shared" si="6"/>
        <v>9.8033918778346635E-2</v>
      </c>
    </row>
    <row r="16" spans="2:16">
      <c r="B16" s="121">
        <v>7</v>
      </c>
      <c r="C16" s="61">
        <v>700</v>
      </c>
      <c r="D16" s="61">
        <v>0.69769999999999999</v>
      </c>
      <c r="E16" s="61">
        <v>0.29730000000000001</v>
      </c>
      <c r="F16" s="61">
        <v>1.6445000000000001</v>
      </c>
      <c r="G16">
        <f t="shared" si="3"/>
        <v>700</v>
      </c>
      <c r="H16">
        <f t="shared" si="4"/>
        <v>0.69074999999999998</v>
      </c>
      <c r="I16">
        <f t="shared" si="0"/>
        <v>0.290325</v>
      </c>
      <c r="J16">
        <f t="shared" si="1"/>
        <v>1.63815</v>
      </c>
      <c r="K16" s="4">
        <f t="shared" si="5"/>
        <v>1.9046083862143905</v>
      </c>
      <c r="L16" s="4">
        <f t="shared" si="2"/>
        <v>3.4650168901536902</v>
      </c>
      <c r="M16" s="81">
        <f t="shared" si="6"/>
        <v>5.0992580959097554E-2</v>
      </c>
    </row>
    <row r="17" spans="2:13">
      <c r="B17" s="121">
        <v>8</v>
      </c>
      <c r="C17" s="61">
        <v>750</v>
      </c>
      <c r="D17" s="61">
        <v>1.1574</v>
      </c>
      <c r="E17" s="61">
        <v>0.49049999999999999</v>
      </c>
      <c r="F17" s="61">
        <v>2.7696999999999998</v>
      </c>
      <c r="G17">
        <f t="shared" si="3"/>
        <v>750</v>
      </c>
      <c r="H17">
        <f t="shared" si="4"/>
        <v>1.1493249999999999</v>
      </c>
      <c r="I17">
        <f t="shared" si="0"/>
        <v>0.48230000000000001</v>
      </c>
      <c r="J17">
        <f t="shared" si="1"/>
        <v>2.7625249999999997</v>
      </c>
      <c r="K17" s="4">
        <f t="shared" si="5"/>
        <v>1.8712318523159046</v>
      </c>
      <c r="L17" s="4">
        <f t="shared" si="2"/>
        <v>3.4666984112924379</v>
      </c>
      <c r="M17" s="81">
        <f t="shared" si="6"/>
        <v>4.9111152892666557E-2</v>
      </c>
    </row>
    <row r="18" spans="2:13">
      <c r="B18" s="121">
        <v>9</v>
      </c>
      <c r="C18" s="61">
        <v>700</v>
      </c>
      <c r="D18" s="61">
        <v>1.0979000000000001</v>
      </c>
      <c r="E18" s="61">
        <v>0.53349999999999997</v>
      </c>
      <c r="F18" s="61">
        <v>2.6065</v>
      </c>
      <c r="G18">
        <f t="shared" si="3"/>
        <v>700</v>
      </c>
      <c r="H18">
        <f t="shared" si="4"/>
        <v>1.0909500000000001</v>
      </c>
      <c r="I18">
        <f t="shared" si="0"/>
        <v>0.52652500000000002</v>
      </c>
      <c r="J18">
        <f t="shared" si="1"/>
        <v>2.6001500000000002</v>
      </c>
      <c r="K18" s="4">
        <f t="shared" si="5"/>
        <v>2.6475611231108598</v>
      </c>
      <c r="L18" s="4">
        <f t="shared" si="2"/>
        <v>5.4725445911156987</v>
      </c>
      <c r="M18" s="81">
        <f t="shared" si="6"/>
        <v>9.2872667593622324E-2</v>
      </c>
    </row>
    <row r="19" spans="2:13">
      <c r="B19" s="121">
        <v>10</v>
      </c>
      <c r="C19" s="61">
        <v>800</v>
      </c>
      <c r="D19" s="61">
        <v>0.83389999999999997</v>
      </c>
      <c r="E19" s="61">
        <v>0.34029999999999999</v>
      </c>
      <c r="F19" s="61">
        <v>2.1635</v>
      </c>
      <c r="G19">
        <f t="shared" si="3"/>
        <v>800</v>
      </c>
      <c r="H19">
        <f t="shared" si="4"/>
        <v>0.82404999999999995</v>
      </c>
      <c r="I19">
        <f t="shared" si="0"/>
        <v>0.33042499999999997</v>
      </c>
      <c r="J19">
        <f t="shared" si="1"/>
        <v>2.1551749999999998</v>
      </c>
      <c r="K19" s="4">
        <f t="shared" si="5"/>
        <v>1.5144423444878707</v>
      </c>
      <c r="L19" s="4">
        <f t="shared" si="2"/>
        <v>1.533599420124294</v>
      </c>
      <c r="M19" s="81">
        <f t="shared" si="6"/>
        <v>2.8999004762563178E-2</v>
      </c>
    </row>
    <row r="20" spans="2:13">
      <c r="B20" s="121">
        <v>11</v>
      </c>
      <c r="C20" s="61">
        <v>900</v>
      </c>
      <c r="D20" s="61">
        <v>0.97</v>
      </c>
      <c r="E20" s="61">
        <v>0.35699999999999998</v>
      </c>
      <c r="F20" s="61">
        <v>2.1560999999999999</v>
      </c>
      <c r="G20">
        <f t="shared" si="3"/>
        <v>900</v>
      </c>
      <c r="H20">
        <f t="shared" si="4"/>
        <v>0.95384999999999998</v>
      </c>
      <c r="I20">
        <f t="shared" si="0"/>
        <v>0.34097499999999997</v>
      </c>
      <c r="J20">
        <f t="shared" si="1"/>
        <v>2.1437249999999999</v>
      </c>
      <c r="K20" s="4">
        <f t="shared" si="5"/>
        <v>1.2053934693909099</v>
      </c>
      <c r="L20" s="4">
        <f t="shared" si="2"/>
        <v>0.73353879919103326</v>
      </c>
      <c r="M20" s="81">
        <f t="shared" si="6"/>
        <v>1.1577985873219272E-2</v>
      </c>
    </row>
    <row r="21" spans="2:13">
      <c r="B21" s="121">
        <v>12</v>
      </c>
      <c r="C21" s="61">
        <v>800</v>
      </c>
      <c r="D21" s="61">
        <v>0.96189999999999998</v>
      </c>
      <c r="E21" s="61">
        <v>0.39350000000000002</v>
      </c>
      <c r="F21" s="61">
        <v>2.6185999999999998</v>
      </c>
      <c r="G21">
        <f t="shared" si="3"/>
        <v>800</v>
      </c>
      <c r="H21">
        <f t="shared" si="4"/>
        <v>0.95204999999999995</v>
      </c>
      <c r="I21">
        <f t="shared" si="0"/>
        <v>0.38362499999999999</v>
      </c>
      <c r="J21">
        <f t="shared" si="1"/>
        <v>2.6102749999999997</v>
      </c>
      <c r="K21" s="4">
        <f t="shared" si="5"/>
        <v>1.465292562697865</v>
      </c>
      <c r="L21" s="4">
        <f t="shared" si="2"/>
        <v>1.7718140014918198</v>
      </c>
      <c r="M21" s="81">
        <f t="shared" si="6"/>
        <v>2.6228442091198706E-2</v>
      </c>
    </row>
    <row r="22" spans="2:13">
      <c r="B22" s="121">
        <v>13</v>
      </c>
      <c r="C22" s="61">
        <v>750</v>
      </c>
      <c r="D22" s="61">
        <v>1.3153999999999999</v>
      </c>
      <c r="E22" s="61">
        <v>0.54159999999999997</v>
      </c>
      <c r="F22" s="61">
        <v>2.6747999999999998</v>
      </c>
      <c r="G22">
        <f t="shared" si="3"/>
        <v>750</v>
      </c>
      <c r="H22">
        <f t="shared" si="4"/>
        <v>1.3073249999999998</v>
      </c>
      <c r="I22">
        <f t="shared" si="0"/>
        <v>0.53339999999999999</v>
      </c>
      <c r="J22">
        <f t="shared" si="1"/>
        <v>2.6676249999999997</v>
      </c>
      <c r="K22" s="4">
        <f t="shared" si="5"/>
        <v>2.0402197695866118</v>
      </c>
      <c r="L22" s="4">
        <f t="shared" si="2"/>
        <v>3.9432723559853704</v>
      </c>
      <c r="M22" s="81">
        <f t="shared" si="6"/>
        <v>5.8636965591128062E-2</v>
      </c>
    </row>
    <row r="23" spans="2:13">
      <c r="B23" s="121">
        <v>14</v>
      </c>
      <c r="C23" s="61">
        <v>650</v>
      </c>
      <c r="D23" s="61">
        <v>0.85709999999999997</v>
      </c>
      <c r="E23" s="61">
        <v>0.40710000000000002</v>
      </c>
      <c r="F23" s="61">
        <v>1.9890000000000001</v>
      </c>
      <c r="G23">
        <f t="shared" si="3"/>
        <v>650</v>
      </c>
      <c r="H23">
        <f t="shared" si="4"/>
        <v>0.85089999999999999</v>
      </c>
      <c r="I23">
        <f t="shared" si="0"/>
        <v>0.40092500000000003</v>
      </c>
      <c r="J23">
        <f t="shared" si="1"/>
        <v>1.9832000000000001</v>
      </c>
      <c r="K23" s="4">
        <f t="shared" si="5"/>
        <v>2.5660171896924493</v>
      </c>
      <c r="L23" s="4">
        <f t="shared" si="2"/>
        <v>7.399853507798908</v>
      </c>
      <c r="M23" s="81">
        <f t="shared" si="6"/>
        <v>8.8276053533959939E-2</v>
      </c>
    </row>
    <row r="24" spans="2:13">
      <c r="B24" s="121">
        <v>15</v>
      </c>
      <c r="C24" s="61">
        <v>650</v>
      </c>
      <c r="D24" s="61">
        <v>0.79339999999999999</v>
      </c>
      <c r="E24" s="61">
        <v>0.38640000000000002</v>
      </c>
      <c r="F24" s="61">
        <v>1.9689000000000001</v>
      </c>
      <c r="G24">
        <f t="shared" si="3"/>
        <v>650</v>
      </c>
      <c r="H24">
        <f t="shared" si="4"/>
        <v>0.78720000000000001</v>
      </c>
      <c r="I24">
        <f t="shared" si="0"/>
        <v>0.38022500000000004</v>
      </c>
      <c r="J24">
        <f t="shared" si="1"/>
        <v>1.9631000000000001</v>
      </c>
      <c r="K24" s="4">
        <f t="shared" si="5"/>
        <v>2.5347389352528742</v>
      </c>
      <c r="L24" s="4">
        <f t="shared" si="2"/>
        <v>6.8458863336929152</v>
      </c>
      <c r="M24" s="81">
        <f t="shared" si="6"/>
        <v>8.6512905031165405E-2</v>
      </c>
    </row>
    <row r="25" spans="2:13">
      <c r="B25" s="121">
        <v>16</v>
      </c>
      <c r="C25" s="61">
        <v>850</v>
      </c>
      <c r="D25" s="61">
        <v>1.0411999999999999</v>
      </c>
      <c r="E25" s="61">
        <v>0.39629999999999999</v>
      </c>
      <c r="F25" s="61">
        <v>2.6046999999999998</v>
      </c>
      <c r="G25">
        <f t="shared" si="3"/>
        <v>850</v>
      </c>
      <c r="H25">
        <f t="shared" si="4"/>
        <v>1.0287999999999999</v>
      </c>
      <c r="I25">
        <f t="shared" si="0"/>
        <v>0.38389999999999996</v>
      </c>
      <c r="J25">
        <f t="shared" si="1"/>
        <v>2.5946499999999997</v>
      </c>
      <c r="K25" s="4">
        <f t="shared" si="5"/>
        <v>1.2530578715120961</v>
      </c>
      <c r="L25" s="4">
        <f t="shared" si="2"/>
        <v>1.2125710562010694</v>
      </c>
      <c r="M25" s="81">
        <f t="shared" si="6"/>
        <v>1.4264818010828418E-2</v>
      </c>
    </row>
    <row r="26" spans="2:13">
      <c r="B26" s="121">
        <v>17</v>
      </c>
      <c r="C26" s="61">
        <v>750</v>
      </c>
      <c r="D26" s="61">
        <v>0.99519999999999997</v>
      </c>
      <c r="E26" s="61">
        <v>0.41360000000000002</v>
      </c>
      <c r="F26" s="61">
        <v>2.5448</v>
      </c>
      <c r="G26">
        <f t="shared" si="3"/>
        <v>750</v>
      </c>
      <c r="H26">
        <f t="shared" si="4"/>
        <v>0.98712499999999992</v>
      </c>
      <c r="I26">
        <f t="shared" si="0"/>
        <v>0.40540000000000004</v>
      </c>
      <c r="J26">
        <f t="shared" si="1"/>
        <v>2.5376249999999998</v>
      </c>
      <c r="K26" s="4">
        <f t="shared" si="5"/>
        <v>1.6494156377062457</v>
      </c>
      <c r="L26" s="4">
        <f t="shared" si="2"/>
        <v>2.9774560452848831</v>
      </c>
      <c r="M26" s="81">
        <f t="shared" si="6"/>
        <v>3.6607420389303591E-2</v>
      </c>
    </row>
    <row r="27" spans="2:13">
      <c r="B27" s="121">
        <v>18</v>
      </c>
      <c r="C27" s="61">
        <v>900</v>
      </c>
      <c r="D27" s="61">
        <v>1.2706</v>
      </c>
      <c r="E27" s="61">
        <v>0.44109999999999999</v>
      </c>
      <c r="F27" s="61">
        <v>2.1713</v>
      </c>
      <c r="G27">
        <f t="shared" si="3"/>
        <v>900</v>
      </c>
      <c r="H27">
        <f t="shared" si="4"/>
        <v>1.2544499999999998</v>
      </c>
      <c r="I27">
        <f t="shared" si="0"/>
        <v>0.42507499999999998</v>
      </c>
      <c r="J27">
        <f t="shared" si="1"/>
        <v>2.158925</v>
      </c>
      <c r="K27" s="4">
        <f t="shared" si="5"/>
        <v>1.2628313465315577</v>
      </c>
      <c r="L27" s="4">
        <f t="shared" si="2"/>
        <v>0.96470907023661123</v>
      </c>
      <c r="M27" s="81">
        <f t="shared" si="6"/>
        <v>1.4815746704146433E-2</v>
      </c>
    </row>
    <row r="28" spans="2:13">
      <c r="B28" s="121">
        <v>19</v>
      </c>
      <c r="C28" s="61">
        <v>700</v>
      </c>
      <c r="D28" s="61">
        <v>1.0052000000000001</v>
      </c>
      <c r="E28" s="61">
        <v>0.43880000000000002</v>
      </c>
      <c r="F28" s="61">
        <v>2.1276999999999999</v>
      </c>
      <c r="G28">
        <f t="shared" si="3"/>
        <v>700</v>
      </c>
      <c r="H28">
        <f t="shared" si="4"/>
        <v>0.99825000000000008</v>
      </c>
      <c r="I28">
        <f t="shared" si="0"/>
        <v>0.43182500000000001</v>
      </c>
      <c r="J28">
        <f t="shared" si="1"/>
        <v>2.1213500000000001</v>
      </c>
      <c r="K28" s="4">
        <f t="shared" si="5"/>
        <v>2.2917600089605776</v>
      </c>
      <c r="L28" s="4">
        <f t="shared" si="2"/>
        <v>5.0075325524370928</v>
      </c>
      <c r="M28" s="81">
        <f t="shared" si="6"/>
        <v>7.2816235003414748E-2</v>
      </c>
    </row>
    <row r="29" spans="2:13">
      <c r="B29" s="121">
        <v>20</v>
      </c>
      <c r="C29" s="61">
        <v>1000</v>
      </c>
      <c r="D29" s="61">
        <v>0.80169999999999997</v>
      </c>
      <c r="E29" s="61">
        <v>0.31419999999999998</v>
      </c>
      <c r="F29" s="61">
        <v>2.2038000000000002</v>
      </c>
      <c r="G29">
        <f t="shared" si="3"/>
        <v>1000</v>
      </c>
      <c r="H29">
        <f t="shared" si="4"/>
        <v>0.77274999999999994</v>
      </c>
      <c r="I29">
        <f t="shared" si="0"/>
        <v>0.28549999999999998</v>
      </c>
      <c r="J29">
        <f t="shared" si="1"/>
        <v>2.1832250000000002</v>
      </c>
      <c r="K29" s="4">
        <f t="shared" si="5"/>
        <v>1.0809462519275841</v>
      </c>
      <c r="L29" s="4">
        <f t="shared" si="2"/>
        <v>0.26499492950720294</v>
      </c>
      <c r="M29" s="81">
        <f t="shared" si="6"/>
        <v>4.562922882050964E-3</v>
      </c>
    </row>
    <row r="30" spans="2:13">
      <c r="C30" s="38"/>
      <c r="D30" s="38"/>
      <c r="E30" s="38"/>
      <c r="F30" s="38"/>
      <c r="G30" s="7"/>
      <c r="H30" s="7"/>
      <c r="I30" s="7"/>
      <c r="J30" s="7"/>
      <c r="K30" s="82"/>
      <c r="L30" s="82"/>
    </row>
    <row r="31" spans="2:13">
      <c r="C31" s="38"/>
      <c r="D31" s="38"/>
      <c r="E31" s="38"/>
      <c r="F31" s="38"/>
      <c r="G31" s="7"/>
      <c r="H31" s="7"/>
      <c r="I31" s="7"/>
      <c r="J31" s="7"/>
      <c r="K31" s="82"/>
      <c r="L31" s="82"/>
    </row>
    <row r="32" spans="2:13">
      <c r="C32" s="38"/>
      <c r="D32" s="38"/>
      <c r="E32" s="38"/>
      <c r="F32" s="38"/>
      <c r="G32" s="7"/>
      <c r="H32" s="7"/>
      <c r="I32" s="7"/>
      <c r="J32" s="7"/>
      <c r="K32" s="82"/>
      <c r="L32" s="82"/>
    </row>
    <row r="33" spans="3:12">
      <c r="C33" s="38"/>
      <c r="D33" s="38"/>
      <c r="E33" s="38"/>
      <c r="F33" s="38"/>
      <c r="G33" s="7"/>
      <c r="H33" s="7"/>
      <c r="I33" s="7"/>
      <c r="J33" s="7"/>
      <c r="K33" s="82"/>
      <c r="L33" s="82"/>
    </row>
    <row r="34" spans="3:12">
      <c r="C34" s="38"/>
      <c r="D34" s="38"/>
      <c r="E34" s="38"/>
      <c r="F34" s="38"/>
      <c r="G34" s="7"/>
      <c r="H34" s="7"/>
      <c r="I34" s="7"/>
      <c r="J34" s="7"/>
      <c r="K34" s="82"/>
      <c r="L34" s="82"/>
    </row>
    <row r="35" spans="3:12">
      <c r="C35" s="38"/>
      <c r="D35" s="38"/>
      <c r="E35" s="38"/>
      <c r="F35" s="38"/>
      <c r="G35" s="7"/>
      <c r="H35" s="7"/>
      <c r="I35" s="7"/>
      <c r="J35" s="7"/>
      <c r="K35" s="82"/>
      <c r="L35" s="82"/>
    </row>
    <row r="36" spans="3:12">
      <c r="C36" s="38"/>
      <c r="D36" s="38"/>
      <c r="E36" s="38"/>
      <c r="F36" s="38"/>
      <c r="G36" s="7"/>
      <c r="H36" s="7"/>
      <c r="I36" s="7"/>
      <c r="J36" s="7"/>
      <c r="K36" s="82"/>
      <c r="L36" s="82"/>
    </row>
    <row r="37" spans="3:12">
      <c r="C37" s="38"/>
      <c r="D37" s="38"/>
      <c r="E37" s="38"/>
      <c r="F37" s="38"/>
      <c r="G37" s="7"/>
      <c r="H37" s="7"/>
      <c r="I37" s="7"/>
      <c r="J37" s="7"/>
      <c r="K37" s="82"/>
      <c r="L37" s="82"/>
    </row>
    <row r="38" spans="3:12">
      <c r="C38" s="38"/>
      <c r="D38" s="38"/>
      <c r="E38" s="38"/>
      <c r="F38" s="38"/>
      <c r="G38" s="7"/>
      <c r="H38" s="7"/>
      <c r="I38" s="7"/>
      <c r="J38" s="7"/>
      <c r="K38" s="82"/>
      <c r="L38" s="82"/>
    </row>
    <row r="39" spans="3:12">
      <c r="C39" s="38"/>
      <c r="D39" s="38"/>
      <c r="E39" s="38"/>
      <c r="F39" s="38"/>
      <c r="G39" s="7"/>
      <c r="H39" s="7"/>
      <c r="I39" s="7"/>
      <c r="J39" s="7"/>
      <c r="K39" s="82"/>
      <c r="L39" s="82"/>
    </row>
    <row r="40" spans="3:12">
      <c r="C40" s="38"/>
      <c r="D40" s="38"/>
      <c r="E40" s="38"/>
      <c r="F40" s="38"/>
      <c r="G40" s="7"/>
      <c r="H40" s="7"/>
      <c r="I40" s="7"/>
      <c r="J40" s="7"/>
      <c r="K40" s="82"/>
      <c r="L40" s="82"/>
    </row>
    <row r="41" spans="3:12">
      <c r="C41" s="38"/>
      <c r="D41" s="38"/>
      <c r="E41" s="38"/>
      <c r="F41" s="38"/>
      <c r="G41" s="7"/>
      <c r="H41" s="7"/>
      <c r="I41" s="7"/>
      <c r="J41" s="7"/>
      <c r="K41" s="82"/>
      <c r="L41" s="82"/>
    </row>
    <row r="42" spans="3:12">
      <c r="C42" s="38"/>
      <c r="D42" s="38"/>
      <c r="E42" s="38"/>
      <c r="F42" s="38"/>
      <c r="G42" s="7"/>
      <c r="H42" s="7"/>
      <c r="I42" s="7"/>
      <c r="J42" s="7"/>
      <c r="K42" s="82"/>
      <c r="L42" s="82"/>
    </row>
    <row r="43" spans="3:12">
      <c r="C43" s="38"/>
      <c r="D43" s="38"/>
      <c r="E43" s="38"/>
      <c r="F43" s="38"/>
      <c r="G43" s="7"/>
      <c r="H43" s="7"/>
      <c r="I43" s="7"/>
      <c r="J43" s="7"/>
      <c r="K43" s="82"/>
      <c r="L43" s="82"/>
    </row>
    <row r="44" spans="3:12">
      <c r="C44" s="38"/>
      <c r="D44" s="38"/>
      <c r="E44" s="38"/>
      <c r="F44" s="38"/>
      <c r="G44" s="7"/>
      <c r="H44" s="7"/>
      <c r="I44" s="7"/>
      <c r="J44" s="7"/>
      <c r="K44" s="82"/>
      <c r="L44" s="82"/>
    </row>
    <row r="45" spans="3:12">
      <c r="C45" s="38"/>
      <c r="D45" s="38"/>
      <c r="E45" s="38"/>
      <c r="F45" s="38"/>
      <c r="G45" s="7"/>
      <c r="H45" s="7"/>
      <c r="I45" s="7"/>
      <c r="J45" s="7"/>
      <c r="K45" s="82"/>
      <c r="L45" s="82"/>
    </row>
    <row r="46" spans="3:12">
      <c r="C46" s="38"/>
      <c r="D46" s="38"/>
      <c r="E46" s="38"/>
      <c r="F46" s="38"/>
      <c r="G46" s="7"/>
      <c r="H46" s="7"/>
      <c r="I46" s="7"/>
      <c r="J46" s="7"/>
      <c r="K46" s="82"/>
      <c r="L46" s="82"/>
    </row>
    <row r="47" spans="3:12">
      <c r="C47" s="38"/>
      <c r="D47" s="38"/>
      <c r="E47" s="38"/>
      <c r="F47" s="38"/>
      <c r="G47" s="7"/>
      <c r="H47" s="7"/>
      <c r="I47" s="7"/>
      <c r="J47" s="7"/>
      <c r="K47" s="82"/>
      <c r="L47" s="82"/>
    </row>
    <row r="48" spans="3:12">
      <c r="C48" s="38"/>
      <c r="D48" s="38"/>
      <c r="E48" s="38"/>
      <c r="F48" s="38"/>
      <c r="G48" s="7"/>
      <c r="H48" s="7"/>
      <c r="I48" s="7"/>
      <c r="J48" s="7"/>
      <c r="K48" s="82"/>
      <c r="L48" s="82"/>
    </row>
    <row r="49" spans="3:12">
      <c r="C49" s="38"/>
      <c r="D49" s="38"/>
      <c r="E49" s="38"/>
      <c r="F49" s="38"/>
      <c r="G49" s="7"/>
      <c r="H49" s="7"/>
      <c r="I49" s="7"/>
      <c r="J49" s="7"/>
      <c r="K49" s="82"/>
      <c r="L49" s="82"/>
    </row>
    <row r="50" spans="3:12">
      <c r="C50" s="38"/>
      <c r="D50" s="38"/>
      <c r="E50" s="38"/>
      <c r="F50" s="38"/>
      <c r="G50" s="7"/>
      <c r="H50" s="7"/>
      <c r="I50" s="7"/>
      <c r="J50" s="7"/>
      <c r="K50" s="82"/>
      <c r="L50" s="82"/>
    </row>
    <row r="51" spans="3:12">
      <c r="C51" s="38"/>
      <c r="D51" s="38"/>
      <c r="E51" s="38"/>
      <c r="F51" s="38"/>
      <c r="G51" s="7"/>
      <c r="H51" s="7"/>
      <c r="I51" s="7"/>
      <c r="J51" s="7"/>
      <c r="K51" s="82"/>
      <c r="L51" s="82"/>
    </row>
    <row r="52" spans="3:12">
      <c r="C52" s="38"/>
      <c r="D52" s="38"/>
      <c r="E52" s="38"/>
      <c r="F52" s="38"/>
      <c r="G52" s="7"/>
      <c r="H52" s="7"/>
      <c r="I52" s="7"/>
      <c r="J52" s="7"/>
      <c r="K52" s="82"/>
      <c r="L52" s="82"/>
    </row>
    <row r="53" spans="3:12">
      <c r="C53" s="38"/>
      <c r="D53" s="38"/>
      <c r="E53" s="38"/>
      <c r="F53" s="38"/>
      <c r="G53" s="7"/>
      <c r="H53" s="7"/>
      <c r="I53" s="7"/>
      <c r="J53" s="7"/>
      <c r="K53" s="82"/>
      <c r="L53" s="82"/>
    </row>
    <row r="54" spans="3:12">
      <c r="C54" s="38"/>
      <c r="D54" s="38"/>
      <c r="E54" s="38"/>
      <c r="F54" s="38"/>
      <c r="G54" s="7"/>
      <c r="H54" s="7"/>
      <c r="I54" s="7"/>
      <c r="J54" s="7"/>
      <c r="K54" s="82"/>
      <c r="L54" s="82"/>
    </row>
    <row r="55" spans="3:12">
      <c r="C55" s="38"/>
      <c r="D55" s="38"/>
      <c r="E55" s="38"/>
      <c r="F55" s="38"/>
      <c r="G55" s="7"/>
      <c r="H55" s="7"/>
      <c r="I55" s="7"/>
      <c r="J55" s="7"/>
      <c r="K55" s="82"/>
      <c r="L55" s="82"/>
    </row>
    <row r="56" spans="3:12">
      <c r="C56" s="38"/>
      <c r="D56" s="38"/>
      <c r="E56" s="38"/>
      <c r="F56" s="38"/>
      <c r="G56" s="7"/>
      <c r="H56" s="7"/>
      <c r="I56" s="7"/>
      <c r="J56" s="7"/>
      <c r="K56" s="82"/>
      <c r="L56" s="82"/>
    </row>
    <row r="57" spans="3:12">
      <c r="C57" s="38"/>
      <c r="D57" s="38"/>
      <c r="E57" s="38"/>
      <c r="F57" s="38"/>
      <c r="G57" s="7"/>
      <c r="H57" s="7"/>
      <c r="I57" s="7"/>
      <c r="J57" s="7"/>
      <c r="K57" s="82"/>
      <c r="L57" s="82"/>
    </row>
    <row r="58" spans="3:12">
      <c r="C58" s="38"/>
      <c r="D58" s="38"/>
      <c r="E58" s="38"/>
      <c r="F58" s="38"/>
      <c r="G58" s="7"/>
      <c r="H58" s="7"/>
      <c r="I58" s="7"/>
      <c r="J58" s="7"/>
      <c r="K58" s="82"/>
      <c r="L58" s="82"/>
    </row>
    <row r="59" spans="3:12">
      <c r="C59" s="38"/>
      <c r="D59" s="38"/>
      <c r="E59" s="38"/>
      <c r="F59" s="38"/>
      <c r="G59" s="7"/>
      <c r="H59" s="7"/>
      <c r="I59" s="7"/>
      <c r="J59" s="7"/>
      <c r="K59" s="82"/>
      <c r="L59" s="82"/>
    </row>
    <row r="60" spans="3:12">
      <c r="C60" s="38"/>
      <c r="D60" s="38"/>
      <c r="E60" s="38"/>
      <c r="F60" s="38"/>
      <c r="G60" s="7"/>
      <c r="H60" s="7"/>
      <c r="I60" s="7"/>
      <c r="J60" s="7"/>
      <c r="K60" s="82"/>
      <c r="L60" s="82"/>
    </row>
    <row r="61" spans="3:12">
      <c r="C61" s="38"/>
      <c r="D61" s="38"/>
      <c r="E61" s="38"/>
      <c r="F61" s="38"/>
      <c r="G61" s="7"/>
      <c r="H61" s="7"/>
      <c r="I61" s="7"/>
      <c r="J61" s="7"/>
      <c r="K61" s="82"/>
      <c r="L61" s="82"/>
    </row>
    <row r="62" spans="3:12">
      <c r="C62" s="38"/>
      <c r="D62" s="38"/>
      <c r="E62" s="38"/>
      <c r="F62" s="38"/>
      <c r="G62" s="7"/>
      <c r="H62" s="7"/>
      <c r="I62" s="7"/>
      <c r="J62" s="7"/>
      <c r="K62" s="82"/>
      <c r="L62" s="82"/>
    </row>
    <row r="63" spans="3:12">
      <c r="C63" s="38"/>
      <c r="D63" s="38"/>
      <c r="E63" s="38"/>
      <c r="F63" s="38"/>
      <c r="G63" s="7"/>
      <c r="H63" s="7"/>
      <c r="I63" s="7"/>
      <c r="J63" s="7"/>
      <c r="K63" s="82"/>
      <c r="L63" s="82"/>
    </row>
    <row r="64" spans="3:12">
      <c r="C64" s="38"/>
      <c r="D64" s="38"/>
      <c r="E64" s="38"/>
      <c r="F64" s="38"/>
      <c r="G64" s="7"/>
      <c r="H64" s="7"/>
      <c r="I64" s="7"/>
      <c r="J64" s="7"/>
      <c r="K64" s="82"/>
      <c r="L64" s="82"/>
    </row>
    <row r="65" spans="2:12">
      <c r="C65" s="38"/>
      <c r="D65" s="38"/>
      <c r="E65" s="38"/>
      <c r="F65" s="38"/>
      <c r="G65" s="7"/>
      <c r="H65" s="7"/>
      <c r="I65" s="7"/>
      <c r="J65" s="7"/>
      <c r="K65" s="82"/>
      <c r="L65" s="82"/>
    </row>
    <row r="66" spans="2:12">
      <c r="C66" s="38"/>
      <c r="D66" s="38"/>
      <c r="E66" s="38"/>
      <c r="F66" s="38"/>
      <c r="G66" s="7"/>
      <c r="H66" s="7"/>
      <c r="I66" s="7"/>
      <c r="J66" s="7"/>
      <c r="K66" s="82"/>
      <c r="L66" s="82"/>
    </row>
    <row r="67" spans="2:12">
      <c r="C67" s="38"/>
      <c r="D67" s="38"/>
      <c r="E67" s="38"/>
      <c r="F67" s="38"/>
      <c r="G67" s="7"/>
      <c r="H67" s="7"/>
      <c r="I67" s="7"/>
      <c r="J67" s="7"/>
      <c r="K67" s="82"/>
      <c r="L67" s="82"/>
    </row>
    <row r="68" spans="2:12">
      <c r="C68" s="38"/>
      <c r="D68" s="38"/>
      <c r="E68" s="38"/>
      <c r="F68" s="38"/>
      <c r="G68" s="7"/>
      <c r="H68" s="7"/>
      <c r="I68" s="7"/>
      <c r="J68" s="7"/>
      <c r="K68" s="82"/>
      <c r="L68" s="82"/>
    </row>
    <row r="69" spans="2:12">
      <c r="C69" s="38"/>
      <c r="D69" s="38"/>
      <c r="E69" s="38"/>
      <c r="F69" s="38"/>
      <c r="G69" s="7"/>
      <c r="H69" s="7"/>
      <c r="I69" s="7"/>
      <c r="J69" s="7"/>
      <c r="K69" s="82"/>
      <c r="L69" s="82"/>
    </row>
    <row r="70" spans="2:12">
      <c r="C70" s="38"/>
      <c r="D70" s="38"/>
      <c r="E70" s="38"/>
      <c r="F70" s="38"/>
      <c r="G70" s="7"/>
      <c r="H70" s="7"/>
      <c r="I70" s="7"/>
      <c r="J70" s="7"/>
      <c r="K70" s="82"/>
      <c r="L70" s="82"/>
    </row>
    <row r="71" spans="2:12">
      <c r="C71" s="38"/>
      <c r="D71" s="38"/>
      <c r="E71" s="38"/>
      <c r="F71" s="38"/>
      <c r="G71" s="7"/>
      <c r="H71" s="7"/>
      <c r="I71" s="7"/>
      <c r="J71" s="7"/>
      <c r="K71" s="82"/>
      <c r="L71" s="82"/>
    </row>
    <row r="72" spans="2:12">
      <c r="C72" s="38"/>
      <c r="D72" s="38"/>
      <c r="E72" s="38"/>
      <c r="F72" s="38"/>
      <c r="G72" s="7"/>
      <c r="H72" s="7"/>
      <c r="I72" s="7"/>
      <c r="J72" s="7"/>
      <c r="K72" s="82"/>
      <c r="L72" s="82"/>
    </row>
    <row r="73" spans="2:12">
      <c r="C73" s="38"/>
      <c r="D73" s="38"/>
      <c r="E73" s="38"/>
      <c r="F73" s="38"/>
      <c r="G73" s="7"/>
      <c r="H73" s="7"/>
      <c r="I73" s="7"/>
      <c r="J73" s="7"/>
      <c r="K73" s="82"/>
      <c r="L73" s="82"/>
    </row>
    <row r="74" spans="2:12">
      <c r="C74" s="38"/>
      <c r="D74" s="38"/>
      <c r="E74" s="38"/>
      <c r="F74" s="38"/>
      <c r="G74" s="7"/>
      <c r="H74" s="7"/>
      <c r="I74" s="7"/>
      <c r="J74" s="7"/>
      <c r="K74" s="82"/>
      <c r="L74" s="82"/>
    </row>
    <row r="75" spans="2:12">
      <c r="C75" s="38"/>
      <c r="D75" s="38"/>
      <c r="E75" s="38"/>
      <c r="F75" s="38"/>
      <c r="G75" s="7"/>
      <c r="H75" s="7"/>
      <c r="I75" s="7"/>
      <c r="J75" s="7"/>
      <c r="K75" s="82"/>
      <c r="L75" s="82"/>
    </row>
    <row r="76" spans="2:12">
      <c r="C76" s="38"/>
      <c r="D76" s="38"/>
      <c r="E76" s="38"/>
      <c r="F76" s="38"/>
      <c r="G76" s="7"/>
      <c r="H76" s="7"/>
      <c r="I76" s="7"/>
      <c r="J76" s="7"/>
      <c r="K76" s="82"/>
      <c r="L76" s="82"/>
    </row>
    <row r="77" spans="2:12">
      <c r="C77" s="38"/>
      <c r="D77" s="38"/>
      <c r="E77" s="38"/>
      <c r="F77" s="38"/>
      <c r="G77" s="7"/>
      <c r="H77" s="7"/>
      <c r="I77" s="7"/>
      <c r="J77" s="7"/>
      <c r="K77" s="82"/>
      <c r="L77" s="82"/>
    </row>
    <row r="78" spans="2:12">
      <c r="C78" s="38"/>
      <c r="D78" s="38"/>
      <c r="E78" s="38"/>
      <c r="F78" s="38"/>
      <c r="G78" s="7"/>
      <c r="H78" s="7"/>
      <c r="I78" s="7"/>
      <c r="J78" s="7"/>
      <c r="K78" s="82"/>
      <c r="L78" s="82"/>
    </row>
    <row r="79" spans="2:12">
      <c r="C79" s="38"/>
      <c r="D79" s="38"/>
      <c r="E79" s="38"/>
      <c r="F79" s="38"/>
      <c r="G79" s="7"/>
      <c r="H79" s="7"/>
      <c r="I79" s="7"/>
      <c r="J79" s="7"/>
      <c r="K79" s="82"/>
      <c r="L79" s="82"/>
    </row>
    <row r="80" spans="2:12">
      <c r="B80" s="65"/>
      <c r="C80" s="38"/>
      <c r="D80" s="38"/>
      <c r="E80" s="38"/>
      <c r="F80" s="38"/>
      <c r="G80" s="7"/>
      <c r="H80" s="7"/>
      <c r="I80" s="7"/>
      <c r="J80" s="7"/>
      <c r="K80" s="82"/>
      <c r="L80" s="82"/>
    </row>
    <row r="81" spans="2:13">
      <c r="B81" s="65"/>
      <c r="C81" s="38"/>
      <c r="D81" s="38"/>
      <c r="E81" s="38"/>
      <c r="F81" s="38"/>
      <c r="G81" s="7"/>
      <c r="H81" s="7"/>
      <c r="I81" s="7"/>
      <c r="J81" s="7"/>
      <c r="K81" s="82"/>
      <c r="L81" s="82"/>
      <c r="M81" s="7"/>
    </row>
    <row r="82" spans="2:13">
      <c r="B82" s="65"/>
      <c r="C82" s="38"/>
      <c r="D82" s="38"/>
      <c r="E82" s="38"/>
      <c r="F82" s="38"/>
      <c r="G82" s="7"/>
      <c r="H82" s="7"/>
      <c r="I82" s="7"/>
      <c r="J82" s="7"/>
      <c r="K82" s="82"/>
      <c r="L82" s="82"/>
      <c r="M82" s="7"/>
    </row>
    <row r="83" spans="2:13">
      <c r="B83" s="65"/>
      <c r="C83" s="38"/>
      <c r="D83" s="38"/>
      <c r="E83" s="38"/>
      <c r="F83" s="38"/>
      <c r="G83" s="7"/>
      <c r="H83" s="7"/>
      <c r="I83" s="7"/>
      <c r="J83" s="7"/>
      <c r="K83" s="82"/>
      <c r="L83" s="82"/>
      <c r="M83" s="7"/>
    </row>
    <row r="84" spans="2:13">
      <c r="B84" s="65"/>
      <c r="C84" s="38"/>
      <c r="D84" s="38"/>
      <c r="E84" s="38"/>
      <c r="F84" s="38"/>
      <c r="G84" s="7"/>
      <c r="H84" s="7"/>
      <c r="I84" s="7"/>
      <c r="J84" s="7"/>
      <c r="K84" s="82"/>
      <c r="L84" s="82"/>
      <c r="M84" s="7"/>
    </row>
    <row r="85" spans="2:13">
      <c r="B85" s="65"/>
      <c r="C85" s="38"/>
      <c r="D85" s="38"/>
      <c r="E85" s="38"/>
      <c r="F85" s="38"/>
      <c r="G85" s="7"/>
      <c r="H85" s="7"/>
      <c r="I85" s="7"/>
      <c r="J85" s="7"/>
      <c r="K85" s="82"/>
      <c r="L85" s="82"/>
      <c r="M85" s="7"/>
    </row>
    <row r="86" spans="2:13">
      <c r="B86" s="65"/>
      <c r="C86" s="38"/>
      <c r="D86" s="38"/>
      <c r="E86" s="38"/>
      <c r="F86" s="38"/>
      <c r="G86" s="7"/>
      <c r="H86" s="7"/>
      <c r="I86" s="7"/>
      <c r="J86" s="7"/>
      <c r="K86" s="82"/>
      <c r="L86" s="82"/>
      <c r="M86" s="7"/>
    </row>
    <row r="87" spans="2:13">
      <c r="C87" s="38"/>
      <c r="D87" s="38"/>
      <c r="E87" s="38"/>
      <c r="F87" s="38"/>
      <c r="K87" s="4"/>
      <c r="L87" s="4"/>
    </row>
    <row r="88" spans="2:13">
      <c r="C88" s="38"/>
      <c r="D88" s="38"/>
      <c r="E88" s="38"/>
      <c r="F88" s="38"/>
      <c r="K88" s="4"/>
      <c r="L88" s="4"/>
    </row>
    <row r="89" spans="2:13">
      <c r="C89" s="38"/>
      <c r="D89" s="38"/>
      <c r="E89" s="38"/>
      <c r="F89" s="38"/>
      <c r="K89" s="4"/>
      <c r="L89" s="4"/>
    </row>
    <row r="90" spans="2:13">
      <c r="C90" s="38"/>
      <c r="D90" s="38"/>
      <c r="E90" s="38"/>
      <c r="F90" s="38"/>
      <c r="K90" s="4"/>
      <c r="L90" s="4"/>
    </row>
    <row r="91" spans="2:13">
      <c r="C91" s="38"/>
      <c r="D91" s="38"/>
      <c r="E91" s="38"/>
      <c r="F91" s="38"/>
      <c r="K91" s="4"/>
      <c r="L91" s="4"/>
    </row>
    <row r="92" spans="2:13">
      <c r="C92" s="38"/>
      <c r="D92" s="38"/>
      <c r="E92" s="38"/>
      <c r="F92" s="38"/>
      <c r="K92" s="4"/>
      <c r="L92" s="4"/>
    </row>
    <row r="93" spans="2:13">
      <c r="C93" s="38"/>
      <c r="D93" s="38"/>
      <c r="E93" s="38"/>
      <c r="F93" s="38"/>
      <c r="K93" s="4"/>
      <c r="L93" s="4"/>
    </row>
    <row r="94" spans="2:13">
      <c r="C94" s="38"/>
      <c r="D94" s="38"/>
      <c r="E94" s="38"/>
      <c r="F94" s="38"/>
      <c r="K94" s="4"/>
      <c r="L94" s="4"/>
    </row>
    <row r="95" spans="2:13">
      <c r="C95" s="38"/>
      <c r="D95" s="38"/>
      <c r="E95" s="38"/>
      <c r="F95" s="38"/>
      <c r="K95" s="4"/>
      <c r="L95" s="4"/>
    </row>
    <row r="96" spans="2:13">
      <c r="C96" s="38"/>
      <c r="D96" s="38"/>
      <c r="E96" s="38"/>
      <c r="F96" s="38"/>
      <c r="K96" s="4"/>
      <c r="L96" s="4"/>
    </row>
    <row r="97" spans="3:14">
      <c r="C97" s="38"/>
      <c r="D97" s="38"/>
      <c r="E97" s="38"/>
      <c r="F97" s="38"/>
      <c r="K97" s="4"/>
      <c r="L97" s="4"/>
    </row>
    <row r="98" spans="3:14">
      <c r="C98" s="38"/>
      <c r="D98" s="38"/>
      <c r="E98" s="38"/>
      <c r="F98" s="38"/>
      <c r="K98" s="4"/>
      <c r="L98" s="4"/>
    </row>
    <row r="99" spans="3:14">
      <c r="C99" s="38"/>
      <c r="D99" s="38"/>
      <c r="E99" s="38"/>
      <c r="F99" s="38"/>
      <c r="K99" s="4"/>
      <c r="L99" s="4"/>
    </row>
    <row r="100" spans="3:14">
      <c r="C100" s="38"/>
      <c r="D100" s="38"/>
      <c r="E100" s="38"/>
      <c r="F100" s="38"/>
      <c r="K100" s="4"/>
      <c r="L100" s="4"/>
    </row>
    <row r="101" spans="3:14">
      <c r="C101" s="38"/>
      <c r="D101" s="38"/>
      <c r="E101" s="38"/>
      <c r="F101" s="38"/>
      <c r="K101" s="4"/>
      <c r="L101" s="4"/>
    </row>
    <row r="102" spans="3:14">
      <c r="C102" s="38"/>
      <c r="D102" s="38"/>
      <c r="E102" s="38"/>
      <c r="F102" s="38"/>
      <c r="K102" s="4"/>
      <c r="L102" s="4"/>
    </row>
    <row r="103" spans="3:14">
      <c r="C103" s="38"/>
      <c r="D103" s="38"/>
      <c r="E103" s="38"/>
      <c r="F103" s="38"/>
      <c r="K103" s="4"/>
      <c r="L103" s="4"/>
    </row>
    <row r="104" spans="3:14">
      <c r="C104" s="38"/>
      <c r="D104" s="38"/>
      <c r="E104" s="38"/>
      <c r="F104" s="38"/>
      <c r="K104" s="4"/>
      <c r="L104" s="4"/>
    </row>
    <row r="105" spans="3:14">
      <c r="C105" s="38"/>
      <c r="D105" s="38"/>
      <c r="E105" s="38"/>
      <c r="F105" s="38"/>
      <c r="K105" s="4"/>
      <c r="L105" s="4"/>
    </row>
    <row r="106" spans="3:14">
      <c r="C106" s="38"/>
      <c r="D106" s="38"/>
      <c r="E106" s="38"/>
      <c r="F106" s="38"/>
      <c r="K106" s="4"/>
      <c r="L106" s="4"/>
    </row>
    <row r="107" spans="3:14">
      <c r="C107" s="38"/>
      <c r="D107" s="38"/>
      <c r="E107" s="38"/>
      <c r="F107" s="38"/>
      <c r="K107" s="4"/>
      <c r="L107" s="4"/>
    </row>
    <row r="108" spans="3:14">
      <c r="C108" s="38"/>
      <c r="D108" s="38"/>
      <c r="E108" s="38"/>
      <c r="F108" s="38"/>
      <c r="G108" s="7"/>
      <c r="H108" s="7"/>
      <c r="I108" s="7"/>
      <c r="J108" s="7"/>
      <c r="K108" s="82"/>
      <c r="L108" s="82"/>
      <c r="M108" s="7"/>
      <c r="N108" s="7"/>
    </row>
    <row r="109" spans="3:14">
      <c r="C109" s="38"/>
      <c r="D109" s="38"/>
      <c r="E109" s="38"/>
      <c r="F109" s="38"/>
      <c r="G109" s="7"/>
      <c r="H109" s="7"/>
      <c r="I109" s="7"/>
      <c r="J109" s="7"/>
      <c r="K109" s="82"/>
      <c r="L109" s="82"/>
      <c r="M109" s="7"/>
      <c r="N109" s="7"/>
    </row>
    <row r="110" spans="3:14">
      <c r="C110" s="38"/>
      <c r="D110" s="38"/>
      <c r="E110" s="38"/>
      <c r="F110" s="38"/>
      <c r="G110" s="7"/>
      <c r="H110" s="7"/>
      <c r="I110" s="7"/>
      <c r="J110" s="7"/>
      <c r="K110" s="82"/>
      <c r="L110" s="82"/>
      <c r="M110" s="7"/>
      <c r="N110" s="7"/>
    </row>
    <row r="111" spans="3:14">
      <c r="C111" s="38"/>
      <c r="D111" s="38"/>
      <c r="E111" s="38"/>
      <c r="F111" s="38"/>
      <c r="G111" s="7"/>
      <c r="H111" s="7"/>
      <c r="I111" s="7"/>
      <c r="J111" s="7"/>
      <c r="K111" s="82"/>
      <c r="L111" s="82"/>
      <c r="M111" s="7"/>
      <c r="N111" s="7"/>
    </row>
    <row r="112" spans="3:14">
      <c r="C112" s="38"/>
      <c r="D112" s="38"/>
      <c r="E112" s="38"/>
      <c r="F112" s="38"/>
      <c r="G112" s="7"/>
      <c r="H112" s="7"/>
      <c r="I112" s="7"/>
      <c r="J112" s="7"/>
      <c r="K112" s="82"/>
      <c r="L112" s="82"/>
      <c r="M112" s="7"/>
      <c r="N112" s="7"/>
    </row>
    <row r="113" spans="3:14">
      <c r="C113" s="38"/>
      <c r="D113" s="38"/>
      <c r="E113" s="38"/>
      <c r="F113" s="38"/>
      <c r="G113" s="7"/>
      <c r="H113" s="7"/>
      <c r="I113" s="7"/>
      <c r="J113" s="7"/>
      <c r="K113" s="82"/>
      <c r="L113" s="82"/>
      <c r="M113" s="7"/>
      <c r="N113" s="7"/>
    </row>
    <row r="114" spans="3:14">
      <c r="C114" s="38"/>
      <c r="D114" s="38"/>
      <c r="E114" s="38"/>
      <c r="F114" s="38"/>
      <c r="G114" s="7"/>
      <c r="H114" s="7"/>
      <c r="I114" s="7"/>
      <c r="J114" s="7"/>
      <c r="K114" s="82"/>
      <c r="L114" s="82"/>
      <c r="M114" s="7"/>
      <c r="N114" s="7"/>
    </row>
    <row r="115" spans="3:14">
      <c r="C115" s="38"/>
      <c r="D115" s="38"/>
      <c r="E115" s="38"/>
      <c r="F115" s="38"/>
      <c r="G115" s="7"/>
      <c r="H115" s="7"/>
      <c r="I115" s="7"/>
      <c r="J115" s="7"/>
      <c r="K115" s="82"/>
      <c r="L115" s="82"/>
      <c r="M115" s="7"/>
      <c r="N115" s="7"/>
    </row>
    <row r="116" spans="3:14">
      <c r="C116" s="38"/>
      <c r="D116" s="38"/>
      <c r="E116" s="38"/>
      <c r="F116" s="38"/>
      <c r="G116" s="7"/>
      <c r="H116" s="7"/>
      <c r="I116" s="7"/>
      <c r="J116" s="7"/>
      <c r="K116" s="82"/>
      <c r="L116" s="82"/>
      <c r="M116" s="7"/>
      <c r="N116" s="7"/>
    </row>
    <row r="117" spans="3:14">
      <c r="C117" s="38"/>
      <c r="D117" s="38"/>
      <c r="E117" s="38"/>
      <c r="F117" s="38"/>
      <c r="K117" s="4"/>
      <c r="L117" s="4"/>
    </row>
    <row r="118" spans="3:14">
      <c r="C118" s="38"/>
      <c r="D118" s="38"/>
      <c r="E118" s="38"/>
      <c r="F118" s="38"/>
      <c r="K118" s="4"/>
      <c r="L118" s="4"/>
    </row>
    <row r="119" spans="3:14">
      <c r="C119" s="38"/>
      <c r="D119" s="38"/>
      <c r="E119" s="38"/>
      <c r="F119" s="38"/>
      <c r="K119" s="4"/>
      <c r="L119" s="4"/>
    </row>
    <row r="120" spans="3:14">
      <c r="C120" s="38"/>
      <c r="D120" s="38"/>
      <c r="E120" s="38"/>
      <c r="F120" s="38"/>
      <c r="K120" s="4"/>
      <c r="L120" s="4"/>
    </row>
    <row r="121" spans="3:14">
      <c r="C121" s="38"/>
      <c r="D121" s="38"/>
      <c r="E121" s="38"/>
      <c r="F121" s="38"/>
      <c r="K121" s="4"/>
      <c r="L121" s="4"/>
    </row>
    <row r="122" spans="3:14">
      <c r="C122" s="38"/>
      <c r="D122" s="38"/>
      <c r="E122" s="38"/>
      <c r="F122" s="38"/>
      <c r="K122" s="4"/>
      <c r="L122" s="4"/>
    </row>
    <row r="123" spans="3:14">
      <c r="C123" s="38"/>
      <c r="D123" s="38"/>
      <c r="E123" s="38"/>
      <c r="F123" s="38"/>
      <c r="K123" s="4"/>
      <c r="L123" s="4"/>
    </row>
    <row r="124" spans="3:14">
      <c r="C124" s="38"/>
      <c r="D124" s="38"/>
      <c r="E124" s="38"/>
      <c r="F124" s="38"/>
      <c r="K124" s="4"/>
      <c r="L124" s="4"/>
    </row>
    <row r="125" spans="3:14">
      <c r="C125" s="38"/>
      <c r="D125" s="38"/>
      <c r="E125" s="38"/>
      <c r="F125" s="38"/>
    </row>
    <row r="126" spans="3:14">
      <c r="C126" s="38"/>
      <c r="D126" s="38"/>
      <c r="E126" s="38"/>
      <c r="F126" s="38"/>
    </row>
    <row r="127" spans="3:14">
      <c r="C127" s="38"/>
      <c r="D127" s="38"/>
      <c r="E127" s="38"/>
      <c r="F127" s="38"/>
    </row>
    <row r="128" spans="3:14">
      <c r="C128" s="38"/>
      <c r="D128" s="38"/>
      <c r="E128" s="38"/>
      <c r="F128" s="38"/>
    </row>
    <row r="129" spans="3:6">
      <c r="C129" s="38"/>
      <c r="D129" s="38"/>
      <c r="E129" s="38"/>
      <c r="F129" s="38"/>
    </row>
    <row r="130" spans="3:6">
      <c r="C130" s="38"/>
      <c r="D130" s="38"/>
      <c r="E130" s="38"/>
      <c r="F130" s="38"/>
    </row>
    <row r="131" spans="3:6">
      <c r="C131" s="38"/>
      <c r="D131" s="38"/>
      <c r="E131" s="38"/>
      <c r="F131" s="38"/>
    </row>
    <row r="132" spans="3:6">
      <c r="C132" s="38"/>
      <c r="D132" s="38"/>
      <c r="E132" s="38"/>
      <c r="F132" s="38"/>
    </row>
    <row r="133" spans="3:6">
      <c r="C133" s="38"/>
      <c r="D133" s="38"/>
      <c r="E133" s="38"/>
      <c r="F133" s="38"/>
    </row>
    <row r="134" spans="3:6">
      <c r="C134" s="38"/>
      <c r="D134" s="38"/>
      <c r="E134" s="38"/>
      <c r="F134" s="38"/>
    </row>
    <row r="135" spans="3:6">
      <c r="C135" s="38"/>
      <c r="D135" s="38"/>
      <c r="E135" s="38"/>
      <c r="F135" s="38"/>
    </row>
    <row r="136" spans="3:6">
      <c r="C136" s="38"/>
      <c r="D136" s="38"/>
      <c r="E136" s="38"/>
      <c r="F136" s="38"/>
    </row>
    <row r="137" spans="3:6">
      <c r="C137" s="38"/>
      <c r="D137" s="38"/>
      <c r="E137" s="38"/>
      <c r="F137" s="38"/>
    </row>
    <row r="138" spans="3:6">
      <c r="C138" s="38"/>
      <c r="D138" s="38"/>
      <c r="E138" s="38"/>
      <c r="F138" s="38"/>
    </row>
    <row r="139" spans="3:6">
      <c r="C139" s="38"/>
      <c r="D139" s="38"/>
      <c r="E139" s="38"/>
      <c r="F139" s="38"/>
    </row>
    <row r="140" spans="3:6">
      <c r="C140" s="38"/>
      <c r="D140" s="38"/>
      <c r="E140" s="38"/>
      <c r="F140" s="38"/>
    </row>
    <row r="141" spans="3:6">
      <c r="C141" s="38"/>
      <c r="D141" s="38"/>
      <c r="E141" s="38"/>
      <c r="F141" s="38"/>
    </row>
    <row r="142" spans="3:6">
      <c r="C142" s="38"/>
      <c r="D142" s="38"/>
      <c r="E142" s="38"/>
      <c r="F142" s="38"/>
    </row>
    <row r="143" spans="3:6">
      <c r="C143" s="38"/>
      <c r="D143" s="38"/>
      <c r="E143" s="38"/>
      <c r="F143" s="38"/>
    </row>
    <row r="144" spans="3:6">
      <c r="C144" s="38"/>
      <c r="D144" s="38"/>
      <c r="E144" s="38"/>
      <c r="F144" s="38"/>
    </row>
    <row r="145" spans="3:6">
      <c r="C145" s="38"/>
      <c r="D145" s="38"/>
      <c r="E145" s="38"/>
      <c r="F145" s="38"/>
    </row>
    <row r="146" spans="3:6">
      <c r="C146" s="38"/>
      <c r="D146" s="38"/>
      <c r="E146" s="38"/>
      <c r="F146" s="38"/>
    </row>
    <row r="147" spans="3:6">
      <c r="C147" s="38"/>
      <c r="D147" s="38"/>
      <c r="E147" s="38"/>
      <c r="F147" s="38"/>
    </row>
    <row r="148" spans="3:6">
      <c r="C148" s="38"/>
      <c r="D148" s="38"/>
      <c r="E148" s="38"/>
      <c r="F148" s="38"/>
    </row>
    <row r="149" spans="3:6">
      <c r="C149" s="38"/>
      <c r="D149" s="38"/>
      <c r="E149" s="38"/>
      <c r="F149" s="38"/>
    </row>
    <row r="150" spans="3:6">
      <c r="C150" s="38"/>
      <c r="D150" s="38"/>
      <c r="E150" s="38"/>
      <c r="F150" s="38"/>
    </row>
    <row r="151" spans="3:6">
      <c r="C151" s="38"/>
      <c r="D151" s="38"/>
      <c r="E151" s="38"/>
      <c r="F151" s="38"/>
    </row>
    <row r="152" spans="3:6">
      <c r="C152" s="38"/>
      <c r="D152" s="38"/>
      <c r="E152" s="38"/>
      <c r="F152" s="38"/>
    </row>
    <row r="153" spans="3:6">
      <c r="C153" s="38"/>
      <c r="D153" s="38"/>
      <c r="E153" s="38"/>
      <c r="F153" s="38"/>
    </row>
  </sheetData>
  <mergeCells count="1">
    <mergeCell ref="H8:J8"/>
  </mergeCells>
  <pageMargins left="0.7" right="0.7" top="0.78740157499999996" bottom="0.78740157499999996" header="0.3" footer="0.3"/>
  <pageSetup paperSize="9" scale="57" fitToHeight="0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O54"/>
  <sheetViews>
    <sheetView topLeftCell="A4" workbookViewId="0">
      <selection activeCell="C37" sqref="C37"/>
    </sheetView>
  </sheetViews>
  <sheetFormatPr baseColWidth="10" defaultColWidth="11.5" defaultRowHeight="14" x14ac:dyDescent="0"/>
  <cols>
    <col min="14" max="15" width="12.83203125" customWidth="1"/>
  </cols>
  <sheetData>
    <row r="2" spans="2:15" ht="16">
      <c r="F2" s="128" t="s">
        <v>139</v>
      </c>
      <c r="G2" s="144">
        <f>'RA-value (YFP) '!P9</f>
        <v>3.4755410728791937E-2</v>
      </c>
    </row>
    <row r="3" spans="2:15" ht="16">
      <c r="B3" s="61"/>
      <c r="C3" s="61"/>
      <c r="D3" s="61"/>
      <c r="E3" s="61"/>
      <c r="F3" s="128" t="s">
        <v>140</v>
      </c>
      <c r="G3" s="144">
        <f>' RD-value (CFP)'!P9</f>
        <v>0.26331802956531603</v>
      </c>
      <c r="H3" s="61"/>
    </row>
    <row r="4" spans="2:15">
      <c r="B4" s="61"/>
      <c r="C4" s="61"/>
      <c r="D4" s="61"/>
      <c r="E4" s="61"/>
      <c r="F4" s="63"/>
      <c r="G4" s="147"/>
      <c r="H4" s="61"/>
    </row>
    <row r="5" spans="2:15">
      <c r="B5" s="61"/>
      <c r="C5" s="61"/>
      <c r="D5" s="116"/>
      <c r="E5" s="116"/>
      <c r="F5" s="116" t="s">
        <v>120</v>
      </c>
      <c r="G5" s="116"/>
      <c r="H5" s="146"/>
      <c r="I5" s="8"/>
      <c r="J5" s="201" t="s">
        <v>80</v>
      </c>
      <c r="K5" s="201"/>
      <c r="L5" s="201"/>
      <c r="M5" s="116"/>
      <c r="N5" s="61"/>
      <c r="O5" s="61"/>
    </row>
    <row r="6" spans="2:15" ht="16">
      <c r="B6" s="61"/>
      <c r="C6" s="61"/>
      <c r="D6" s="116" t="s">
        <v>15</v>
      </c>
      <c r="E6" s="116" t="s">
        <v>0</v>
      </c>
      <c r="F6" s="116" t="s">
        <v>1</v>
      </c>
      <c r="G6" s="116" t="s">
        <v>2</v>
      </c>
      <c r="H6" s="146"/>
      <c r="I6" s="8"/>
      <c r="J6" s="116" t="s">
        <v>0</v>
      </c>
      <c r="K6" s="116" t="s">
        <v>1</v>
      </c>
      <c r="L6" s="116" t="s">
        <v>2</v>
      </c>
      <c r="M6" s="116" t="s">
        <v>134</v>
      </c>
      <c r="N6" s="146"/>
      <c r="O6" s="146"/>
    </row>
    <row r="7" spans="2:15">
      <c r="B7" s="38"/>
      <c r="C7" s="38" t="s">
        <v>92</v>
      </c>
      <c r="D7" s="38">
        <v>950</v>
      </c>
      <c r="E7" s="38">
        <v>1.2448999999999999</v>
      </c>
      <c r="F7" s="38">
        <v>0.60040000000000004</v>
      </c>
      <c r="G7" s="38">
        <v>2.3805999999999998</v>
      </c>
      <c r="H7" s="38"/>
      <c r="I7">
        <f>D7</f>
        <v>950</v>
      </c>
      <c r="J7">
        <f t="shared" ref="J7:J35" si="0">E7-VLOOKUP(D7,Background,2)</f>
        <v>1.2233749999999999</v>
      </c>
      <c r="K7">
        <f t="shared" ref="K7:K35" si="1">F7-VLOOKUP(D7,Background,3)</f>
        <v>0.57900000000000007</v>
      </c>
      <c r="L7">
        <f t="shared" ref="L7:L35" si="2">G7-VLOOKUP(D7,Background,3)</f>
        <v>2.3592</v>
      </c>
      <c r="M7" s="4">
        <f>(K7-$G$3*J7)/($G$2*L7)</f>
        <v>3.132671690360247</v>
      </c>
      <c r="N7" s="61"/>
      <c r="O7" s="61"/>
    </row>
    <row r="8" spans="2:15">
      <c r="B8" s="38"/>
      <c r="C8" s="38" t="s">
        <v>93</v>
      </c>
      <c r="D8" s="38">
        <v>950</v>
      </c>
      <c r="E8" s="38">
        <v>1.6615</v>
      </c>
      <c r="F8" s="38">
        <v>0.81799999999999995</v>
      </c>
      <c r="G8" s="38">
        <v>2.8005</v>
      </c>
      <c r="H8" s="38"/>
      <c r="I8">
        <f t="shared" ref="I8:I35" si="3">D8</f>
        <v>950</v>
      </c>
      <c r="J8">
        <f t="shared" si="0"/>
        <v>1.639975</v>
      </c>
      <c r="K8">
        <f t="shared" si="1"/>
        <v>0.79659999999999997</v>
      </c>
      <c r="L8">
        <f t="shared" si="2"/>
        <v>2.7791000000000001</v>
      </c>
      <c r="M8" s="4">
        <f t="shared" ref="M8:M35" si="4">(K8-$G$3*J8)/($G$2*L8)</f>
        <v>3.7764746858265896</v>
      </c>
      <c r="N8" s="61"/>
      <c r="O8" s="61"/>
    </row>
    <row r="9" spans="2:15">
      <c r="B9" s="38"/>
      <c r="C9" s="38" t="s">
        <v>94</v>
      </c>
      <c r="D9" s="38">
        <v>1150</v>
      </c>
      <c r="E9" s="38">
        <v>0.8972</v>
      </c>
      <c r="F9" s="38">
        <v>0.42249999999999999</v>
      </c>
      <c r="G9" s="38">
        <v>2.2214999999999998</v>
      </c>
      <c r="H9" s="38"/>
      <c r="I9">
        <f t="shared" si="3"/>
        <v>1150</v>
      </c>
      <c r="J9">
        <f t="shared" si="0"/>
        <v>0.82325000000000004</v>
      </c>
      <c r="K9">
        <f t="shared" si="1"/>
        <v>0.348325</v>
      </c>
      <c r="L9">
        <f t="shared" si="2"/>
        <v>2.1473249999999999</v>
      </c>
      <c r="M9" s="4">
        <f t="shared" si="4"/>
        <v>1.7626475058154312</v>
      </c>
      <c r="N9" s="61"/>
      <c r="O9" s="61"/>
    </row>
    <row r="10" spans="2:15">
      <c r="B10" s="38"/>
      <c r="C10" s="38" t="s">
        <v>95</v>
      </c>
      <c r="D10" s="38">
        <v>1150</v>
      </c>
      <c r="E10" s="38">
        <v>1.0403</v>
      </c>
      <c r="F10" s="38">
        <v>0.49159999999999998</v>
      </c>
      <c r="G10" s="38">
        <v>2.3809999999999998</v>
      </c>
      <c r="H10" s="38"/>
      <c r="I10">
        <f t="shared" si="3"/>
        <v>1150</v>
      </c>
      <c r="J10">
        <f t="shared" si="0"/>
        <v>0.96635000000000004</v>
      </c>
      <c r="K10">
        <f t="shared" si="1"/>
        <v>0.41742499999999999</v>
      </c>
      <c r="L10">
        <f t="shared" si="2"/>
        <v>2.3068249999999999</v>
      </c>
      <c r="M10" s="4">
        <f t="shared" si="4"/>
        <v>2.0326577217248913</v>
      </c>
      <c r="N10" s="61"/>
      <c r="O10" s="61"/>
    </row>
    <row r="11" spans="2:15">
      <c r="B11" s="38"/>
      <c r="C11" s="38" t="s">
        <v>96</v>
      </c>
      <c r="D11" s="38">
        <v>1100</v>
      </c>
      <c r="E11" s="38">
        <v>1.3061</v>
      </c>
      <c r="F11" s="38">
        <v>0.54910000000000003</v>
      </c>
      <c r="G11" s="38">
        <v>2.0720999999999998</v>
      </c>
      <c r="H11" s="38"/>
      <c r="I11">
        <f t="shared" si="3"/>
        <v>1100</v>
      </c>
      <c r="J11">
        <f t="shared" si="0"/>
        <v>1.2517750000000001</v>
      </c>
      <c r="K11">
        <f t="shared" si="1"/>
        <v>0.49552500000000005</v>
      </c>
      <c r="L11">
        <f t="shared" si="2"/>
        <v>2.0185249999999999</v>
      </c>
      <c r="M11" s="4">
        <f t="shared" si="4"/>
        <v>2.3649186051584143</v>
      </c>
      <c r="N11" s="61"/>
      <c r="O11" s="61"/>
    </row>
    <row r="12" spans="2:15">
      <c r="B12" s="38"/>
      <c r="C12" s="38" t="s">
        <v>97</v>
      </c>
      <c r="D12" s="38">
        <v>1000</v>
      </c>
      <c r="E12" s="38">
        <v>0.67779999999999996</v>
      </c>
      <c r="F12" s="38">
        <v>0.51649999999999996</v>
      </c>
      <c r="G12" s="38">
        <v>3.1917</v>
      </c>
      <c r="H12" s="38"/>
      <c r="I12">
        <f t="shared" si="3"/>
        <v>1000</v>
      </c>
      <c r="J12">
        <f t="shared" si="0"/>
        <v>0.64884999999999993</v>
      </c>
      <c r="K12">
        <f t="shared" si="1"/>
        <v>0.48779999999999996</v>
      </c>
      <c r="L12">
        <f t="shared" si="2"/>
        <v>3.1629999999999998</v>
      </c>
      <c r="M12" s="4">
        <f t="shared" si="4"/>
        <v>2.8831271130851754</v>
      </c>
      <c r="N12" s="61"/>
      <c r="O12" s="61"/>
    </row>
    <row r="13" spans="2:15">
      <c r="B13" s="38"/>
      <c r="C13" s="38" t="s">
        <v>98</v>
      </c>
      <c r="D13" s="38">
        <v>1050</v>
      </c>
      <c r="E13" s="38">
        <v>0.26</v>
      </c>
      <c r="F13" s="38">
        <v>0.23380000000000001</v>
      </c>
      <c r="G13" s="38">
        <v>2.7313000000000001</v>
      </c>
      <c r="H13" s="38"/>
      <c r="I13">
        <f t="shared" si="3"/>
        <v>1050</v>
      </c>
      <c r="J13">
        <f t="shared" si="0"/>
        <v>0.22065000000000001</v>
      </c>
      <c r="K13">
        <f t="shared" si="1"/>
        <v>0.19415000000000002</v>
      </c>
      <c r="L13">
        <f t="shared" si="2"/>
        <v>2.6916500000000001</v>
      </c>
      <c r="M13" s="4">
        <f t="shared" si="4"/>
        <v>1.4542998127519002</v>
      </c>
      <c r="N13" s="61"/>
      <c r="O13" s="61"/>
    </row>
    <row r="14" spans="2:15">
      <c r="B14" s="38"/>
      <c r="C14" s="38" t="s">
        <v>99</v>
      </c>
      <c r="D14" s="38">
        <v>1150</v>
      </c>
      <c r="E14" s="38">
        <v>0.3085</v>
      </c>
      <c r="F14" s="38">
        <v>0.20369999999999999</v>
      </c>
      <c r="G14" s="38">
        <v>1.327</v>
      </c>
      <c r="H14" s="38"/>
      <c r="I14">
        <f t="shared" si="3"/>
        <v>1150</v>
      </c>
      <c r="J14">
        <f t="shared" si="0"/>
        <v>0.23455000000000001</v>
      </c>
      <c r="K14">
        <f t="shared" si="1"/>
        <v>0.129525</v>
      </c>
      <c r="L14">
        <f t="shared" si="2"/>
        <v>1.2528249999999999</v>
      </c>
      <c r="M14" s="4">
        <f t="shared" si="4"/>
        <v>1.5562688856438009</v>
      </c>
      <c r="N14" s="61"/>
      <c r="O14" s="61"/>
    </row>
    <row r="15" spans="2:15">
      <c r="B15" s="38"/>
      <c r="C15" s="38" t="s">
        <v>100</v>
      </c>
      <c r="D15" s="38">
        <v>1100</v>
      </c>
      <c r="E15" s="38">
        <v>2.9834000000000001</v>
      </c>
      <c r="F15" s="38">
        <v>1.0687</v>
      </c>
      <c r="G15" s="38">
        <v>2.3788</v>
      </c>
      <c r="H15" s="38"/>
      <c r="I15">
        <f t="shared" si="3"/>
        <v>1100</v>
      </c>
      <c r="J15">
        <f t="shared" si="0"/>
        <v>2.9290750000000001</v>
      </c>
      <c r="K15">
        <f t="shared" si="1"/>
        <v>1.0151250000000001</v>
      </c>
      <c r="L15">
        <f t="shared" si="2"/>
        <v>2.3252250000000001</v>
      </c>
      <c r="M15" s="4">
        <f t="shared" si="4"/>
        <v>3.0173768185019321</v>
      </c>
      <c r="N15" s="61"/>
      <c r="O15" s="61"/>
    </row>
    <row r="16" spans="2:15">
      <c r="B16" s="143"/>
      <c r="C16" s="38" t="s">
        <v>101</v>
      </c>
      <c r="D16" s="38">
        <v>950</v>
      </c>
      <c r="E16" s="38">
        <v>2.0278</v>
      </c>
      <c r="F16" s="38">
        <v>0.68720000000000003</v>
      </c>
      <c r="G16" s="38">
        <v>1.2871999999999999</v>
      </c>
      <c r="H16" s="38"/>
      <c r="I16">
        <f t="shared" si="3"/>
        <v>950</v>
      </c>
      <c r="J16">
        <f t="shared" si="0"/>
        <v>2.006275</v>
      </c>
      <c r="K16">
        <f t="shared" si="1"/>
        <v>0.66580000000000006</v>
      </c>
      <c r="L16">
        <f t="shared" si="2"/>
        <v>1.2657999999999998</v>
      </c>
      <c r="M16" s="4">
        <f t="shared" si="4"/>
        <v>3.1257330342863714</v>
      </c>
      <c r="N16" s="61"/>
      <c r="O16" s="61"/>
    </row>
    <row r="17" spans="2:15">
      <c r="B17" s="38"/>
      <c r="C17" s="38" t="s">
        <v>102</v>
      </c>
      <c r="D17" s="38">
        <v>850</v>
      </c>
      <c r="E17" s="38">
        <v>2.5724999999999998</v>
      </c>
      <c r="F17" s="38">
        <v>1.0008999999999999</v>
      </c>
      <c r="G17" s="38">
        <v>2.0053000000000001</v>
      </c>
      <c r="H17" s="38"/>
      <c r="I17">
        <f t="shared" si="3"/>
        <v>850</v>
      </c>
      <c r="J17">
        <f t="shared" si="0"/>
        <v>2.5600999999999998</v>
      </c>
      <c r="K17">
        <f t="shared" si="1"/>
        <v>0.98849999999999993</v>
      </c>
      <c r="L17">
        <f t="shared" si="2"/>
        <v>1.9929000000000001</v>
      </c>
      <c r="M17" s="4">
        <f t="shared" si="4"/>
        <v>4.5388549472784705</v>
      </c>
      <c r="N17" s="61"/>
      <c r="O17" s="61"/>
    </row>
    <row r="18" spans="2:15">
      <c r="B18" s="38"/>
      <c r="C18" s="38" t="s">
        <v>103</v>
      </c>
      <c r="D18" s="38">
        <v>850</v>
      </c>
      <c r="E18" s="38">
        <v>3.0356999999999998</v>
      </c>
      <c r="F18" s="38">
        <v>0.99970000000000003</v>
      </c>
      <c r="G18" s="38">
        <v>1.2487999999999999</v>
      </c>
      <c r="H18" s="38"/>
      <c r="I18">
        <f t="shared" si="3"/>
        <v>850</v>
      </c>
      <c r="J18">
        <f t="shared" si="0"/>
        <v>3.0232999999999999</v>
      </c>
      <c r="K18">
        <f t="shared" si="1"/>
        <v>0.98730000000000007</v>
      </c>
      <c r="L18">
        <f t="shared" si="2"/>
        <v>1.2363999999999999</v>
      </c>
      <c r="M18" s="4">
        <f t="shared" si="4"/>
        <v>4.4496980910766561</v>
      </c>
      <c r="N18" s="61"/>
      <c r="O18" s="61"/>
    </row>
    <row r="19" spans="2:15">
      <c r="B19" s="38"/>
      <c r="C19" s="38" t="s">
        <v>104</v>
      </c>
      <c r="D19" s="38">
        <v>850</v>
      </c>
      <c r="E19" s="38">
        <v>1.9381999999999999</v>
      </c>
      <c r="F19" s="38">
        <v>0.72260000000000002</v>
      </c>
      <c r="G19" s="38">
        <v>1.1676</v>
      </c>
      <c r="H19" s="38"/>
      <c r="I19">
        <f t="shared" si="3"/>
        <v>850</v>
      </c>
      <c r="J19">
        <f t="shared" si="0"/>
        <v>1.9258</v>
      </c>
      <c r="K19">
        <f t="shared" si="1"/>
        <v>0.71020000000000005</v>
      </c>
      <c r="L19">
        <f t="shared" si="2"/>
        <v>1.1552</v>
      </c>
      <c r="M19" s="4">
        <f t="shared" si="4"/>
        <v>5.0586530143206581</v>
      </c>
      <c r="N19" s="61"/>
      <c r="O19" s="61"/>
    </row>
    <row r="20" spans="2:15">
      <c r="B20" s="38"/>
      <c r="C20" s="38" t="s">
        <v>105</v>
      </c>
      <c r="D20" s="38">
        <v>1000</v>
      </c>
      <c r="E20" s="38">
        <v>3.0225</v>
      </c>
      <c r="F20" s="38">
        <v>1.0304</v>
      </c>
      <c r="G20" s="38">
        <v>1.9535</v>
      </c>
      <c r="H20" s="38"/>
      <c r="I20">
        <f t="shared" si="3"/>
        <v>1000</v>
      </c>
      <c r="J20">
        <f t="shared" si="0"/>
        <v>2.9935499999999999</v>
      </c>
      <c r="K20">
        <f t="shared" si="1"/>
        <v>1.0017</v>
      </c>
      <c r="L20">
        <f t="shared" si="2"/>
        <v>1.9248000000000001</v>
      </c>
      <c r="M20" s="4">
        <f t="shared" si="4"/>
        <v>3.1906307902987425</v>
      </c>
      <c r="N20" s="61"/>
      <c r="O20" s="61"/>
    </row>
    <row r="21" spans="2:15">
      <c r="B21" s="38"/>
      <c r="C21" s="38" t="s">
        <v>106</v>
      </c>
      <c r="D21" s="38">
        <v>900</v>
      </c>
      <c r="E21" s="38">
        <v>1.7663</v>
      </c>
      <c r="F21" s="38">
        <v>0.65049999999999997</v>
      </c>
      <c r="G21" s="38">
        <v>1.0840000000000001</v>
      </c>
      <c r="H21" s="38"/>
      <c r="I21">
        <f t="shared" si="3"/>
        <v>900</v>
      </c>
      <c r="J21">
        <f t="shared" si="0"/>
        <v>1.7501499999999999</v>
      </c>
      <c r="K21">
        <f t="shared" si="1"/>
        <v>0.63447500000000001</v>
      </c>
      <c r="L21">
        <f t="shared" si="2"/>
        <v>1.0679750000000001</v>
      </c>
      <c r="M21" s="4">
        <f t="shared" si="4"/>
        <v>4.6777674609840325</v>
      </c>
      <c r="N21" s="61"/>
      <c r="O21" s="61"/>
    </row>
    <row r="22" spans="2:15">
      <c r="B22" s="38"/>
      <c r="C22" s="38" t="s">
        <v>107</v>
      </c>
      <c r="D22" s="38">
        <v>800</v>
      </c>
      <c r="E22" s="38">
        <v>2.4097</v>
      </c>
      <c r="F22" s="38">
        <v>0.74119999999999997</v>
      </c>
      <c r="G22" s="38">
        <v>0.58520000000000005</v>
      </c>
      <c r="H22" s="38"/>
      <c r="I22">
        <f t="shared" si="3"/>
        <v>800</v>
      </c>
      <c r="J22">
        <f t="shared" si="0"/>
        <v>2.3998499999999998</v>
      </c>
      <c r="K22">
        <f t="shared" si="1"/>
        <v>0.731325</v>
      </c>
      <c r="L22">
        <f t="shared" si="2"/>
        <v>0.57532500000000009</v>
      </c>
      <c r="M22" s="4">
        <f t="shared" si="4"/>
        <v>4.9711409007795746</v>
      </c>
      <c r="N22" s="61"/>
      <c r="O22" s="61"/>
    </row>
    <row r="23" spans="2:15">
      <c r="B23" s="38"/>
      <c r="C23" s="38" t="s">
        <v>108</v>
      </c>
      <c r="D23" s="38">
        <v>950</v>
      </c>
      <c r="E23" s="38">
        <v>1.9834000000000001</v>
      </c>
      <c r="F23" s="38">
        <v>0.66190000000000004</v>
      </c>
      <c r="G23" s="38">
        <v>0.8609</v>
      </c>
      <c r="H23" s="38"/>
      <c r="I23">
        <f t="shared" si="3"/>
        <v>950</v>
      </c>
      <c r="J23">
        <f t="shared" si="0"/>
        <v>1.961875</v>
      </c>
      <c r="K23">
        <f t="shared" si="1"/>
        <v>0.64050000000000007</v>
      </c>
      <c r="L23">
        <f t="shared" si="2"/>
        <v>0.83950000000000002</v>
      </c>
      <c r="M23" s="4">
        <f t="shared" si="4"/>
        <v>4.2465719664835513</v>
      </c>
      <c r="N23" s="61"/>
      <c r="O23" s="61"/>
    </row>
    <row r="24" spans="2:15">
      <c r="B24" s="38"/>
      <c r="C24" s="38" t="s">
        <v>109</v>
      </c>
      <c r="D24" s="38">
        <v>1050</v>
      </c>
      <c r="E24" s="38">
        <v>1.8782000000000001</v>
      </c>
      <c r="F24" s="38">
        <v>0.62319999999999998</v>
      </c>
      <c r="G24" s="38">
        <v>0.70240000000000002</v>
      </c>
      <c r="H24" s="38"/>
      <c r="I24">
        <f t="shared" si="3"/>
        <v>1050</v>
      </c>
      <c r="J24">
        <f t="shared" si="0"/>
        <v>1.8388500000000001</v>
      </c>
      <c r="K24">
        <f t="shared" si="1"/>
        <v>0.58355000000000001</v>
      </c>
      <c r="L24">
        <f t="shared" si="2"/>
        <v>0.66275000000000006</v>
      </c>
      <c r="M24" s="4">
        <f t="shared" si="4"/>
        <v>4.3130590003860947</v>
      </c>
      <c r="N24" s="61"/>
      <c r="O24" s="61"/>
    </row>
    <row r="25" spans="2:15">
      <c r="B25" s="38"/>
      <c r="C25" s="38" t="s">
        <v>110</v>
      </c>
      <c r="D25" s="38">
        <v>850</v>
      </c>
      <c r="E25" s="38">
        <v>2.3622999999999998</v>
      </c>
      <c r="F25" s="38">
        <v>0.75800000000000001</v>
      </c>
      <c r="G25" s="38">
        <v>0.71619999999999995</v>
      </c>
      <c r="H25" s="38"/>
      <c r="I25">
        <f t="shared" si="3"/>
        <v>850</v>
      </c>
      <c r="J25">
        <f t="shared" si="0"/>
        <v>2.3498999999999999</v>
      </c>
      <c r="K25">
        <f t="shared" si="1"/>
        <v>0.74560000000000004</v>
      </c>
      <c r="L25">
        <f t="shared" si="2"/>
        <v>0.70379999999999998</v>
      </c>
      <c r="M25" s="4">
        <f t="shared" si="4"/>
        <v>5.184976011746028</v>
      </c>
      <c r="N25" s="61"/>
      <c r="O25" s="61"/>
    </row>
    <row r="26" spans="2:15">
      <c r="B26" s="38"/>
      <c r="C26" s="38" t="s">
        <v>111</v>
      </c>
      <c r="D26" s="38">
        <v>850</v>
      </c>
      <c r="E26" s="38">
        <v>2.3542999999999998</v>
      </c>
      <c r="F26" s="38">
        <v>1.0563</v>
      </c>
      <c r="G26" s="38">
        <v>2.8725999999999998</v>
      </c>
      <c r="H26" s="38"/>
      <c r="I26">
        <f t="shared" si="3"/>
        <v>850</v>
      </c>
      <c r="J26">
        <f t="shared" si="0"/>
        <v>2.3418999999999999</v>
      </c>
      <c r="K26">
        <f t="shared" si="1"/>
        <v>1.0439000000000001</v>
      </c>
      <c r="L26">
        <f t="shared" si="2"/>
        <v>2.8601999999999999</v>
      </c>
      <c r="M26" s="4">
        <f t="shared" si="4"/>
        <v>4.2978228564591152</v>
      </c>
      <c r="N26" s="61"/>
      <c r="O26" s="61"/>
    </row>
    <row r="27" spans="2:15">
      <c r="B27" s="38"/>
      <c r="C27" s="38" t="s">
        <v>152</v>
      </c>
      <c r="D27" s="38">
        <v>850</v>
      </c>
      <c r="E27" s="38">
        <v>1.6039000000000001</v>
      </c>
      <c r="F27" s="38">
        <v>0.73839999999999995</v>
      </c>
      <c r="G27" s="38">
        <v>2.0516999999999999</v>
      </c>
      <c r="H27" s="38"/>
      <c r="I27">
        <f t="shared" si="3"/>
        <v>850</v>
      </c>
      <c r="J27">
        <f t="shared" si="0"/>
        <v>1.5915000000000001</v>
      </c>
      <c r="K27">
        <f t="shared" si="1"/>
        <v>0.72599999999999998</v>
      </c>
      <c r="L27">
        <f t="shared" si="2"/>
        <v>2.0392999999999999</v>
      </c>
      <c r="M27" s="4">
        <f t="shared" si="4"/>
        <v>4.3304684973043415</v>
      </c>
      <c r="N27" s="61"/>
      <c r="O27" s="61"/>
    </row>
    <row r="28" spans="2:15">
      <c r="B28" s="38"/>
      <c r="C28" s="38" t="s">
        <v>112</v>
      </c>
      <c r="D28" s="38">
        <v>1000</v>
      </c>
      <c r="E28" s="38">
        <v>1.4044000000000001</v>
      </c>
      <c r="F28" s="38">
        <v>0.59740000000000004</v>
      </c>
      <c r="G28" s="38">
        <v>2.177</v>
      </c>
      <c r="H28" s="38"/>
      <c r="I28">
        <f t="shared" si="3"/>
        <v>1000</v>
      </c>
      <c r="J28">
        <f t="shared" si="0"/>
        <v>1.3754500000000001</v>
      </c>
      <c r="K28">
        <f t="shared" si="1"/>
        <v>0.56870000000000009</v>
      </c>
      <c r="L28">
        <f t="shared" si="2"/>
        <v>2.1482999999999999</v>
      </c>
      <c r="M28" s="4">
        <f t="shared" si="4"/>
        <v>2.7659422897807882</v>
      </c>
      <c r="N28" s="61"/>
      <c r="O28" s="61"/>
    </row>
    <row r="29" spans="2:15">
      <c r="B29" s="38"/>
      <c r="C29" s="38" t="s">
        <v>113</v>
      </c>
      <c r="D29" s="38">
        <v>1000</v>
      </c>
      <c r="E29" s="38">
        <v>0.2177</v>
      </c>
      <c r="F29" s="38">
        <v>0.2364</v>
      </c>
      <c r="G29" s="38">
        <v>2.4053</v>
      </c>
      <c r="H29" s="38"/>
      <c r="I29">
        <f t="shared" si="3"/>
        <v>1000</v>
      </c>
      <c r="J29">
        <f t="shared" si="0"/>
        <v>0.18875</v>
      </c>
      <c r="K29">
        <f t="shared" si="1"/>
        <v>0.2077</v>
      </c>
      <c r="L29">
        <f t="shared" si="2"/>
        <v>2.3765999999999998</v>
      </c>
      <c r="M29" s="4">
        <f t="shared" si="4"/>
        <v>1.9128241923405216</v>
      </c>
      <c r="N29" s="61"/>
      <c r="O29" s="61"/>
    </row>
    <row r="30" spans="2:15">
      <c r="B30" s="38"/>
      <c r="C30" s="38" t="s">
        <v>114</v>
      </c>
      <c r="D30" s="38">
        <v>1000</v>
      </c>
      <c r="E30" s="38">
        <v>0.38650000000000001</v>
      </c>
      <c r="F30" s="38">
        <v>0.36280000000000001</v>
      </c>
      <c r="G30" s="38">
        <v>2.6374</v>
      </c>
      <c r="H30" s="38"/>
      <c r="I30">
        <f t="shared" si="3"/>
        <v>1000</v>
      </c>
      <c r="J30">
        <f t="shared" si="0"/>
        <v>0.35755000000000003</v>
      </c>
      <c r="K30">
        <f t="shared" si="1"/>
        <v>0.33410000000000001</v>
      </c>
      <c r="L30">
        <f t="shared" si="2"/>
        <v>2.6086999999999998</v>
      </c>
      <c r="M30" s="4">
        <f t="shared" si="4"/>
        <v>2.6465210127703465</v>
      </c>
      <c r="N30" s="61"/>
      <c r="O30" s="61"/>
    </row>
    <row r="31" spans="2:15">
      <c r="B31" s="38"/>
      <c r="C31" s="38" t="s">
        <v>115</v>
      </c>
      <c r="D31" s="38">
        <v>900</v>
      </c>
      <c r="E31" s="38">
        <v>0.4052</v>
      </c>
      <c r="F31" s="38">
        <v>0.34710000000000002</v>
      </c>
      <c r="G31" s="38">
        <v>2.1080999999999999</v>
      </c>
      <c r="H31" s="38"/>
      <c r="I31">
        <f t="shared" si="3"/>
        <v>900</v>
      </c>
      <c r="J31">
        <f t="shared" si="0"/>
        <v>0.38905000000000001</v>
      </c>
      <c r="K31">
        <f t="shared" si="1"/>
        <v>0.33107500000000001</v>
      </c>
      <c r="L31">
        <f t="shared" si="2"/>
        <v>2.0920749999999999</v>
      </c>
      <c r="M31" s="4">
        <f t="shared" si="4"/>
        <v>3.1443846680026737</v>
      </c>
      <c r="N31" s="61"/>
      <c r="O31" s="61"/>
    </row>
    <row r="32" spans="2:15">
      <c r="B32" s="38"/>
      <c r="C32" s="38" t="s">
        <v>116</v>
      </c>
      <c r="D32" s="38">
        <v>800</v>
      </c>
      <c r="E32" s="38">
        <v>0.23069999999999999</v>
      </c>
      <c r="F32" s="38">
        <v>0.24299999999999999</v>
      </c>
      <c r="G32" s="38">
        <v>1.8829</v>
      </c>
      <c r="H32" s="38"/>
      <c r="I32">
        <f t="shared" si="3"/>
        <v>800</v>
      </c>
      <c r="J32">
        <f t="shared" si="0"/>
        <v>0.22084999999999999</v>
      </c>
      <c r="K32">
        <f t="shared" si="1"/>
        <v>0.233125</v>
      </c>
      <c r="L32">
        <f t="shared" si="2"/>
        <v>1.8730249999999999</v>
      </c>
      <c r="M32" s="4">
        <f t="shared" si="4"/>
        <v>2.6878226147974358</v>
      </c>
      <c r="N32" s="61"/>
      <c r="O32" s="61"/>
    </row>
    <row r="33" spans="2:15">
      <c r="B33" s="38"/>
      <c r="C33" s="38" t="s">
        <v>117</v>
      </c>
      <c r="D33" s="38">
        <v>900</v>
      </c>
      <c r="E33" s="38">
        <v>0.60129999999999995</v>
      </c>
      <c r="F33" s="38">
        <v>0.42449999999999999</v>
      </c>
      <c r="G33" s="38">
        <v>2.4058999999999999</v>
      </c>
      <c r="H33" s="38"/>
      <c r="I33">
        <f t="shared" si="3"/>
        <v>900</v>
      </c>
      <c r="J33">
        <f t="shared" si="0"/>
        <v>0.58514999999999995</v>
      </c>
      <c r="K33">
        <f t="shared" si="1"/>
        <v>0.40847499999999998</v>
      </c>
      <c r="L33">
        <f t="shared" si="2"/>
        <v>2.389875</v>
      </c>
      <c r="M33" s="4">
        <f t="shared" si="4"/>
        <v>3.0627392865677514</v>
      </c>
      <c r="N33" s="61"/>
      <c r="O33" s="61"/>
    </row>
    <row r="34" spans="2:15">
      <c r="B34" s="38"/>
      <c r="C34" s="38" t="s">
        <v>118</v>
      </c>
      <c r="D34" s="38">
        <v>1100</v>
      </c>
      <c r="E34" s="38">
        <v>1.5325</v>
      </c>
      <c r="F34" s="38">
        <v>0.64690000000000003</v>
      </c>
      <c r="G34" s="38">
        <v>2.0188999999999999</v>
      </c>
      <c r="H34" s="38"/>
      <c r="I34">
        <f t="shared" si="3"/>
        <v>1100</v>
      </c>
      <c r="J34">
        <f t="shared" si="0"/>
        <v>1.478175</v>
      </c>
      <c r="K34">
        <f t="shared" si="1"/>
        <v>0.59332499999999999</v>
      </c>
      <c r="L34">
        <f t="shared" si="2"/>
        <v>1.965325</v>
      </c>
      <c r="M34" s="4">
        <f t="shared" si="4"/>
        <v>2.9879635023997819</v>
      </c>
      <c r="N34" s="61"/>
      <c r="O34" s="61"/>
    </row>
    <row r="35" spans="2:15">
      <c r="B35" s="61"/>
      <c r="C35" s="38" t="s">
        <v>119</v>
      </c>
      <c r="D35" s="61">
        <v>750</v>
      </c>
      <c r="E35" s="61">
        <v>0.43380000000000002</v>
      </c>
      <c r="F35" s="61">
        <v>0.3407</v>
      </c>
      <c r="G35" s="61">
        <v>1.9444999999999999</v>
      </c>
      <c r="H35" s="61"/>
      <c r="I35">
        <f t="shared" si="3"/>
        <v>750</v>
      </c>
      <c r="J35">
        <f t="shared" si="0"/>
        <v>0.42572500000000002</v>
      </c>
      <c r="K35">
        <f t="shared" si="1"/>
        <v>0.33250000000000002</v>
      </c>
      <c r="L35">
        <f t="shared" si="2"/>
        <v>1.9362999999999999</v>
      </c>
      <c r="M35" s="4">
        <f t="shared" si="4"/>
        <v>3.27502345557359</v>
      </c>
      <c r="N35" s="61"/>
      <c r="O35" s="61"/>
    </row>
    <row r="36" spans="2:15">
      <c r="B36" s="61"/>
      <c r="C36" s="61"/>
      <c r="D36" s="61"/>
      <c r="E36" s="61"/>
      <c r="F36" s="61"/>
      <c r="G36" s="61"/>
      <c r="H36" s="61"/>
      <c r="M36" s="4"/>
    </row>
    <row r="37" spans="2:15">
      <c r="B37" s="61"/>
      <c r="C37" s="61"/>
      <c r="D37" s="61"/>
      <c r="E37" s="61"/>
      <c r="F37" s="61"/>
      <c r="G37" s="61"/>
      <c r="H37" s="61"/>
      <c r="M37" s="4"/>
    </row>
    <row r="38" spans="2:15">
      <c r="M38" s="4"/>
    </row>
    <row r="39" spans="2:15">
      <c r="M39" s="4"/>
    </row>
    <row r="40" spans="2:15">
      <c r="M40" s="4"/>
    </row>
    <row r="41" spans="2:15">
      <c r="M41" s="4"/>
    </row>
    <row r="42" spans="2:15">
      <c r="M42" s="4"/>
    </row>
    <row r="43" spans="2:15">
      <c r="M43" s="4"/>
    </row>
    <row r="44" spans="2:15">
      <c r="M44" s="4"/>
    </row>
    <row r="45" spans="2:15">
      <c r="M45" s="4"/>
    </row>
    <row r="46" spans="2:15">
      <c r="M46" s="4"/>
    </row>
    <row r="47" spans="2:15">
      <c r="M47" s="4"/>
    </row>
    <row r="48" spans="2:15">
      <c r="M48" s="4"/>
    </row>
    <row r="49" spans="4:13">
      <c r="M49" s="4"/>
    </row>
    <row r="50" spans="4:13">
      <c r="M50" s="4"/>
    </row>
    <row r="51" spans="4:13">
      <c r="M51" s="4"/>
    </row>
    <row r="52" spans="4:13">
      <c r="M52" s="4"/>
    </row>
    <row r="53" spans="4:13">
      <c r="D53" s="38"/>
      <c r="E53" s="38"/>
      <c r="F53" s="38"/>
      <c r="G53" s="38"/>
      <c r="H53" s="38"/>
    </row>
    <row r="54" spans="4:13">
      <c r="D54" s="38"/>
      <c r="E54" s="38"/>
      <c r="F54" s="38"/>
      <c r="G54" s="38"/>
      <c r="H54" s="38"/>
    </row>
  </sheetData>
  <mergeCells count="1">
    <mergeCell ref="J5:L5"/>
  </mergeCells>
  <pageMargins left="0.7" right="0.7" top="0.78740157499999996" bottom="0.78740157499999996" header="0.3" footer="0.3"/>
  <pageSetup paperSize="9" scale="36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C118"/>
  <sheetViews>
    <sheetView tabSelected="1" zoomScale="85" zoomScaleNormal="85" zoomScalePageLayoutView="85" workbookViewId="0">
      <selection activeCell="F8" sqref="F8"/>
    </sheetView>
  </sheetViews>
  <sheetFormatPr baseColWidth="10" defaultColWidth="11.5" defaultRowHeight="14" x14ac:dyDescent="0"/>
  <cols>
    <col min="1" max="1" width="12.83203125" customWidth="1"/>
    <col min="2" max="2" width="7.83203125" customWidth="1"/>
    <col min="3" max="3" width="3.83203125" style="3" customWidth="1"/>
    <col min="4" max="4" width="12.5" style="3" customWidth="1"/>
    <col min="6" max="6" width="12" bestFit="1" customWidth="1"/>
    <col min="8" max="8" width="12.5" customWidth="1"/>
    <col min="9" max="9" width="12.33203125" bestFit="1" customWidth="1"/>
    <col min="10" max="10" width="15.5" customWidth="1"/>
    <col min="11" max="13" width="12.83203125" customWidth="1"/>
    <col min="14" max="14" width="12" bestFit="1" customWidth="1"/>
    <col min="16" max="16" width="11.5" style="3"/>
    <col min="21" max="24" width="12.83203125" customWidth="1"/>
  </cols>
  <sheetData>
    <row r="2" spans="1:29" ht="15" thickBot="1">
      <c r="C2" s="84"/>
      <c r="D2" s="84"/>
      <c r="E2" s="44"/>
      <c r="F2" s="44"/>
      <c r="J2" s="44"/>
      <c r="K2" s="44"/>
    </row>
    <row r="3" spans="1:29" ht="15" thickBot="1">
      <c r="C3" s="202" t="s">
        <v>37</v>
      </c>
      <c r="D3" s="203"/>
      <c r="E3" s="203"/>
      <c r="F3" s="204"/>
      <c r="G3" s="205" t="s">
        <v>38</v>
      </c>
      <c r="H3" s="206"/>
      <c r="I3" s="207"/>
      <c r="J3" t="s">
        <v>35</v>
      </c>
      <c r="K3" s="35"/>
    </row>
    <row r="4" spans="1:29" ht="16">
      <c r="C4" s="208" t="s">
        <v>39</v>
      </c>
      <c r="D4" s="209"/>
      <c r="E4" s="210"/>
      <c r="F4" s="39">
        <f>'RA-value (YFP) '!P9</f>
        <v>3.4755410728791937E-2</v>
      </c>
      <c r="G4" s="211"/>
      <c r="H4" s="212"/>
      <c r="I4" s="35"/>
      <c r="J4" s="85" t="s">
        <v>151</v>
      </c>
      <c r="K4" s="86">
        <v>0.20434331849717419</v>
      </c>
    </row>
    <row r="5" spans="1:29" ht="16">
      <c r="A5" s="7"/>
      <c r="B5" s="7"/>
      <c r="C5" s="208" t="s">
        <v>40</v>
      </c>
      <c r="D5" s="209"/>
      <c r="E5" s="210"/>
      <c r="F5" s="39">
        <f>' RD-value (CFP)'!P9</f>
        <v>0.26331802956531603</v>
      </c>
      <c r="G5" s="208" t="s">
        <v>41</v>
      </c>
      <c r="H5" s="210"/>
      <c r="I5" s="161">
        <f>'Spurious FRET'!P7</f>
        <v>1.2500000000000001E-2</v>
      </c>
      <c r="J5" s="87" t="s">
        <v>42</v>
      </c>
      <c r="K5" s="39">
        <v>1</v>
      </c>
    </row>
    <row r="6" spans="1:29" ht="17" thickBot="1">
      <c r="A6" s="7"/>
      <c r="B6" s="7"/>
      <c r="C6" s="208" t="s">
        <v>43</v>
      </c>
      <c r="D6" s="209"/>
      <c r="E6" s="210"/>
      <c r="F6" s="52"/>
      <c r="G6" s="213" t="s">
        <v>44</v>
      </c>
      <c r="H6" s="215"/>
      <c r="I6" s="45">
        <f>SpFRET_E_3Cube*MD/MA*_RA1/_RD1</f>
        <v>3.6934995950984617E-3</v>
      </c>
      <c r="J6" s="87" t="s">
        <v>45</v>
      </c>
      <c r="K6" s="39">
        <v>0.18893376186343941</v>
      </c>
    </row>
    <row r="7" spans="1:29" ht="16">
      <c r="A7" s="7"/>
      <c r="B7" s="7"/>
      <c r="C7" s="208" t="s">
        <v>148</v>
      </c>
      <c r="D7" s="209"/>
      <c r="E7" s="210"/>
      <c r="F7" s="175">
        <v>5.6369790000000003E-2</v>
      </c>
      <c r="G7" s="58"/>
      <c r="H7" s="7"/>
      <c r="I7" s="165"/>
      <c r="J7" s="166" t="s">
        <v>46</v>
      </c>
      <c r="K7" s="52">
        <v>0.22242622876038667</v>
      </c>
    </row>
    <row r="8" spans="1:29" ht="16">
      <c r="A8" s="7"/>
      <c r="B8" s="39"/>
      <c r="C8" s="208" t="s">
        <v>47</v>
      </c>
      <c r="D8" s="209"/>
      <c r="E8" s="210"/>
      <c r="F8" s="39">
        <f>'Dimer Analysis'!W58</f>
        <v>6.3202755148579384E-2</v>
      </c>
      <c r="G8" s="58"/>
      <c r="H8" s="7"/>
      <c r="J8" s="173" t="s">
        <v>48</v>
      </c>
      <c r="K8" s="39">
        <f>(SUM(U17:U45))</f>
        <v>2.2983714667021041E-2</v>
      </c>
    </row>
    <row r="9" spans="1:29" ht="16">
      <c r="A9" s="7"/>
      <c r="B9" s="39"/>
      <c r="C9" s="208" t="s">
        <v>49</v>
      </c>
      <c r="D9" s="209"/>
      <c r="E9" s="210"/>
      <c r="F9" s="39">
        <f>'Dimer Analysis'!W59</f>
        <v>0.14148885257514798</v>
      </c>
      <c r="G9" s="58"/>
      <c r="H9" s="7"/>
      <c r="I9" s="172"/>
      <c r="J9" s="173" t="s">
        <v>50</v>
      </c>
      <c r="K9" s="39">
        <f>SUM(W17:W45)</f>
        <v>1.0703107861157111E-2</v>
      </c>
    </row>
    <row r="10" spans="1:29" ht="17" thickBot="1">
      <c r="A10" s="7"/>
      <c r="B10" s="7"/>
      <c r="C10" s="213" t="s">
        <v>51</v>
      </c>
      <c r="D10" s="214"/>
      <c r="E10" s="215"/>
      <c r="F10" s="88">
        <f>'Dimer Analysis'!W57</f>
        <v>0.44024802705749722</v>
      </c>
      <c r="G10" s="58"/>
      <c r="H10" s="7"/>
      <c r="J10" s="173" t="s">
        <v>52</v>
      </c>
      <c r="K10" s="39">
        <f>SUM(K8+K9)</f>
        <v>3.3686822528178152E-2</v>
      </c>
      <c r="AA10" s="61"/>
    </row>
    <row r="11" spans="1:29" ht="17" thickBot="1">
      <c r="H11" s="7"/>
      <c r="J11" s="174" t="s">
        <v>53</v>
      </c>
      <c r="K11" s="45">
        <f>EAmax/EDmax</f>
        <v>0.84942213387510279</v>
      </c>
    </row>
    <row r="12" spans="1:29">
      <c r="L12" t="s">
        <v>91</v>
      </c>
    </row>
    <row r="13" spans="1:29">
      <c r="L13" t="s">
        <v>91</v>
      </c>
    </row>
    <row r="14" spans="1:29">
      <c r="K14" t="s">
        <v>91</v>
      </c>
    </row>
    <row r="15" spans="1:29" ht="15" thickBot="1">
      <c r="B15" s="36"/>
      <c r="C15" s="39"/>
      <c r="D15" s="65"/>
      <c r="E15" s="191" t="s">
        <v>122</v>
      </c>
      <c r="F15" s="192"/>
      <c r="G15" s="192"/>
      <c r="H15" s="193"/>
      <c r="I15" s="168" t="s">
        <v>54</v>
      </c>
      <c r="J15" s="169"/>
      <c r="K15" s="151" t="s">
        <v>55</v>
      </c>
      <c r="L15" s="42"/>
      <c r="M15" s="60" t="s">
        <v>56</v>
      </c>
      <c r="N15" s="44"/>
      <c r="O15" s="88"/>
      <c r="P15" s="60" t="s">
        <v>57</v>
      </c>
      <c r="Q15" s="37"/>
      <c r="R15" t="s">
        <v>58</v>
      </c>
      <c r="S15" s="36"/>
      <c r="T15" t="s">
        <v>59</v>
      </c>
      <c r="W15" s="37"/>
      <c r="X15" t="s">
        <v>60</v>
      </c>
      <c r="AB15" s="58"/>
      <c r="AC15" s="7"/>
    </row>
    <row r="16" spans="1:29" ht="17" thickBot="1">
      <c r="A16" s="44" t="s">
        <v>78</v>
      </c>
      <c r="B16" s="37" t="s">
        <v>121</v>
      </c>
      <c r="C16" s="45" t="s">
        <v>22</v>
      </c>
      <c r="D16" s="45" t="s">
        <v>15</v>
      </c>
      <c r="E16" s="150" t="s">
        <v>23</v>
      </c>
      <c r="F16" s="40" t="s">
        <v>24</v>
      </c>
      <c r="G16" s="40" t="s">
        <v>25</v>
      </c>
      <c r="H16" s="46" t="s">
        <v>129</v>
      </c>
      <c r="I16" s="170" t="s">
        <v>138</v>
      </c>
      <c r="J16" s="89" t="s">
        <v>135</v>
      </c>
      <c r="K16" s="76" t="s">
        <v>136</v>
      </c>
      <c r="L16" s="77" t="s">
        <v>137</v>
      </c>
      <c r="M16" s="84" t="s">
        <v>61</v>
      </c>
      <c r="N16" s="84" t="s">
        <v>62</v>
      </c>
      <c r="O16" s="88" t="s">
        <v>36</v>
      </c>
      <c r="P16" s="90" t="s">
        <v>63</v>
      </c>
      <c r="Q16" s="91" t="s">
        <v>64</v>
      </c>
      <c r="R16" s="92" t="s">
        <v>65</v>
      </c>
      <c r="S16" s="93" t="s">
        <v>66</v>
      </c>
      <c r="T16" s="94" t="s">
        <v>67</v>
      </c>
      <c r="U16" s="94" t="s">
        <v>70</v>
      </c>
      <c r="V16" s="94" t="s">
        <v>69</v>
      </c>
      <c r="W16" s="93" t="s">
        <v>68</v>
      </c>
      <c r="X16" s="92" t="s">
        <v>71</v>
      </c>
      <c r="Y16" s="94" t="s">
        <v>72</v>
      </c>
      <c r="Z16" s="94" t="s">
        <v>73</v>
      </c>
      <c r="AA16" s="93" t="s">
        <v>74</v>
      </c>
    </row>
    <row r="17" spans="1:27">
      <c r="A17" s="104"/>
      <c r="B17" s="95"/>
      <c r="C17" s="52">
        <v>1</v>
      </c>
      <c r="D17" s="65">
        <f>Samples!I7</f>
        <v>950</v>
      </c>
      <c r="E17" s="65">
        <f>Samples!J7</f>
        <v>1.2233749999999999</v>
      </c>
      <c r="F17" s="65">
        <f>Samples!K7</f>
        <v>0.57900000000000007</v>
      </c>
      <c r="G17" s="65">
        <f>Samples!L7</f>
        <v>2.3592</v>
      </c>
      <c r="H17" s="156">
        <f>Samples!M7</f>
        <v>3.132671690360247</v>
      </c>
      <c r="I17" s="167">
        <f t="shared" ref="I17:I45" si="0">(H17-1)*YFPext_CFPext</f>
        <v>0.12021825532455215</v>
      </c>
      <c r="J17" s="35">
        <f t="shared" ref="J17:J45" si="1">I17-SpFRET_E_3Cube*E17</f>
        <v>0.10492606782455215</v>
      </c>
      <c r="K17" s="3">
        <f t="shared" ref="K17:K45" si="2">((F17-E17*_RD1-G17*_RA1)*YFPext_CFPext*MD/MA)/(((F17-E17*_RD1-G17*_RA1)*YFPext_CFPext*MD/MA)+E17*_RD1)</f>
        <v>6.4110366371228689E-2</v>
      </c>
      <c r="L17" s="39">
        <f>K17-SpFRET_E_EFRET*G17</f>
        <v>5.5396662126472401E-2</v>
      </c>
      <c r="M17">
        <f t="shared" ref="M17:M45" si="3">_RD1*E17/VLOOKUP(D17,HV_lookup,2)/MD/(1-L17)</f>
        <v>0.66089540759997056</v>
      </c>
      <c r="N17">
        <f t="shared" ref="N17:N45" si="4">_RA1*(G17-_RD2*E17)/VLOOKUP(D17,HV_lookup,2)/MA</f>
        <v>0.35572583781619344</v>
      </c>
      <c r="O17" s="96">
        <f>M17/N17</f>
        <v>1.8578785607961963</v>
      </c>
      <c r="P17">
        <f t="shared" ref="P17:P45" si="5">(-(N17*ND_NA+Kd_EFF-M17)+SQRT((N17*ND_NA+Kd_EFF-M17)^2+4*M17*Kd_EFF))/2</f>
        <v>0.42134579339534489</v>
      </c>
      <c r="Q17" s="35">
        <f t="shared" ref="Q17:Q19" si="6">N17-(M17-P17)/ND_NA</f>
        <v>0.11617622361156776</v>
      </c>
      <c r="R17" s="56">
        <f>1-Q17/N17</f>
        <v>0.67341078082836092</v>
      </c>
      <c r="S17" s="35">
        <f>1-P17/M17</f>
        <v>0.36246221633547981</v>
      </c>
      <c r="T17">
        <f t="shared" ref="T17:T45" si="7">P17/(P17+Kd_EFF)*EAmax</f>
        <v>0.12723003210129832</v>
      </c>
      <c r="U17">
        <f>(J17-T17)^2</f>
        <v>4.9746682245836965E-4</v>
      </c>
      <c r="V17">
        <f t="shared" ref="V17:V45" si="8">EDmax*(1-(Kd_EFF/(Kd_EFF+Q17)))</f>
        <v>8.06211038476322E-2</v>
      </c>
      <c r="W17" s="35">
        <f>(L17-V17)^2</f>
        <v>6.3627246014418709E-4</v>
      </c>
      <c r="X17">
        <v>0</v>
      </c>
      <c r="Y17">
        <f t="shared" ref="Y17:Y48" si="9">X17/(X17+Kd_EFF)*EAmax</f>
        <v>0</v>
      </c>
      <c r="Z17">
        <v>0</v>
      </c>
      <c r="AA17" s="36">
        <f t="shared" ref="AA17:AA48" si="10">EDmax*(1-(Kd_EFF/(Kd_EFF+Z17))^ND_NA)</f>
        <v>0</v>
      </c>
    </row>
    <row r="18" spans="1:27">
      <c r="A18" s="3"/>
      <c r="B18" s="39"/>
      <c r="C18" s="52">
        <v>2</v>
      </c>
      <c r="D18" s="65">
        <f>Samples!I8</f>
        <v>950</v>
      </c>
      <c r="E18" s="65">
        <f>Samples!J8</f>
        <v>1.639975</v>
      </c>
      <c r="F18" s="65">
        <f>Samples!K8</f>
        <v>0.79659999999999997</v>
      </c>
      <c r="G18" s="65">
        <f>Samples!L8</f>
        <v>2.7791000000000001</v>
      </c>
      <c r="H18" s="39">
        <f>Samples!M8</f>
        <v>3.7764746858265896</v>
      </c>
      <c r="I18" s="7">
        <f>(H18-1)*YFPext_CFPext</f>
        <v>0.15650929498036084</v>
      </c>
      <c r="J18" s="36">
        <f>I18-SpFRET_E_3Cube*E18</f>
        <v>0.13600960748036084</v>
      </c>
      <c r="K18" s="3">
        <f>((F18-E18*_RD1-G18*_RA1)*YFPext_CFPext*MD/MA)/(((F18-E18*_RD1-G18*_RA1)*YFPext_CFPext*MD/MA)+E18*_RD1)</f>
        <v>7.2672214923849024E-2</v>
      </c>
      <c r="L18" s="39">
        <f t="shared" ref="L18:L45" si="11">K18-SpFRET_E_EFRET*G18</f>
        <v>6.240761019911089E-2</v>
      </c>
      <c r="M18">
        <f>_RD1*E18/VLOOKUP(D18,HV_lookup,2)/MD/(1-L18)</f>
        <v>0.8925771457938062</v>
      </c>
      <c r="N18">
        <f>_RA1*(G18-_RD2*E18)/VLOOKUP(D18,HV_lookup,2)/MA</f>
        <v>0.41903936752924015</v>
      </c>
      <c r="O18" s="97">
        <f>M18/N18</f>
        <v>2.1300555865589956</v>
      </c>
      <c r="P18">
        <f t="shared" si="5"/>
        <v>0.58237908556635631</v>
      </c>
      <c r="Q18" s="36">
        <f t="shared" si="6"/>
        <v>0.10884130730179026</v>
      </c>
      <c r="R18" s="7">
        <f>1-Q18/N18</f>
        <v>0.74025994754730196</v>
      </c>
      <c r="S18" s="36">
        <f>1-P18/M18</f>
        <v>0.34753081197432834</v>
      </c>
      <c r="T18">
        <f t="shared" si="7"/>
        <v>0.13986009664694407</v>
      </c>
      <c r="U18">
        <f>(J18-T18)^2</f>
        <v>1.4826266821974832E-5</v>
      </c>
      <c r="V18">
        <f t="shared" si="8"/>
        <v>7.7299967885484863E-2</v>
      </c>
      <c r="W18" s="36">
        <f>(L18-V18)^2</f>
        <v>2.2178231745890198E-4</v>
      </c>
      <c r="X18">
        <v>1E-3</v>
      </c>
      <c r="Y18">
        <f t="shared" si="9"/>
        <v>9.2008721416489327E-4</v>
      </c>
      <c r="Z18">
        <v>1E-3</v>
      </c>
      <c r="AA18" s="36">
        <f t="shared" si="10"/>
        <v>1.0831919459967732E-3</v>
      </c>
    </row>
    <row r="19" spans="1:27">
      <c r="A19" s="3"/>
      <c r="B19" s="39"/>
      <c r="C19" s="52">
        <v>3</v>
      </c>
      <c r="D19" s="65">
        <f>Samples!I9</f>
        <v>1150</v>
      </c>
      <c r="E19" s="65">
        <f>Samples!J9</f>
        <v>0.82325000000000004</v>
      </c>
      <c r="F19" s="65">
        <f>Samples!K9</f>
        <v>0.348325</v>
      </c>
      <c r="G19" s="65">
        <f>Samples!L9</f>
        <v>2.1473249999999999</v>
      </c>
      <c r="H19" s="39">
        <f>Samples!M9</f>
        <v>1.7626475058154312</v>
      </c>
      <c r="I19" s="7">
        <f t="shared" si="0"/>
        <v>4.2990279746839638E-2</v>
      </c>
      <c r="J19" s="36">
        <f t="shared" si="1"/>
        <v>3.269965474683964E-2</v>
      </c>
      <c r="K19" s="3">
        <f t="shared" si="2"/>
        <v>3.2070667985843182E-2</v>
      </c>
      <c r="L19" s="39">
        <f t="shared" si="11"/>
        <v>2.4139523967798379E-2</v>
      </c>
      <c r="M19">
        <f t="shared" si="3"/>
        <v>9.6729090621296088E-2</v>
      </c>
      <c r="N19">
        <f t="shared" si="4"/>
        <v>7.2750991621900185E-2</v>
      </c>
      <c r="O19" s="97">
        <f t="shared" ref="O19:O20" si="12">M19/N19</f>
        <v>1.3295913700257769</v>
      </c>
      <c r="P19">
        <f t="shared" si="5"/>
        <v>7.6846868110229977E-2</v>
      </c>
      <c r="Q19" s="36">
        <f t="shared" si="6"/>
        <v>5.2868769110834074E-2</v>
      </c>
      <c r="R19" s="7">
        <f>1-Q19/N19</f>
        <v>0.2732914296810901</v>
      </c>
      <c r="S19" s="36">
        <f>1-P19/M19</f>
        <v>0.20554542985322766</v>
      </c>
      <c r="T19">
        <f t="shared" si="7"/>
        <v>5.1633977894685962E-2</v>
      </c>
      <c r="U19">
        <f>(J19-T19)^2</f>
        <v>3.5850859306706904E-4</v>
      </c>
      <c r="V19">
        <f t="shared" si="8"/>
        <v>4.5718694801186024E-2</v>
      </c>
      <c r="W19" s="36">
        <f t="shared" ref="W19:W20" si="13">(L19-V19)^2</f>
        <v>4.6566061385652807E-4</v>
      </c>
      <c r="X19">
        <v>2E-3</v>
      </c>
      <c r="Y19">
        <f t="shared" si="9"/>
        <v>1.8312564054845013E-3</v>
      </c>
      <c r="Z19">
        <v>2E-3</v>
      </c>
      <c r="AA19" s="36">
        <f t="shared" si="10"/>
        <v>2.1558849627925638E-3</v>
      </c>
    </row>
    <row r="20" spans="1:27">
      <c r="A20" s="3"/>
      <c r="B20" s="39"/>
      <c r="C20" s="52">
        <v>4</v>
      </c>
      <c r="D20" s="65">
        <f>Samples!I10</f>
        <v>1150</v>
      </c>
      <c r="E20" s="65">
        <f>Samples!J10</f>
        <v>0.96635000000000004</v>
      </c>
      <c r="F20" s="65">
        <f>Samples!K10</f>
        <v>0.41742499999999999</v>
      </c>
      <c r="G20" s="65">
        <f>Samples!L10</f>
        <v>2.3068249999999999</v>
      </c>
      <c r="H20" s="39">
        <f>Samples!M10</f>
        <v>2.0326577217248913</v>
      </c>
      <c r="I20" s="7">
        <f t="shared" si="0"/>
        <v>5.8210698915510568E-2</v>
      </c>
      <c r="J20" s="36">
        <f t="shared" si="1"/>
        <v>4.6131323915510565E-2</v>
      </c>
      <c r="K20" s="3">
        <f t="shared" si="2"/>
        <v>3.9439881908158558E-2</v>
      </c>
      <c r="L20" s="39">
        <f t="shared" si="11"/>
        <v>3.0919624704695552E-2</v>
      </c>
      <c r="M20">
        <f t="shared" si="3"/>
        <v>0.11433725101358667</v>
      </c>
      <c r="N20">
        <f t="shared" si="4"/>
        <v>7.8154823442278129E-2</v>
      </c>
      <c r="O20" s="97">
        <f t="shared" si="12"/>
        <v>1.4629583431665145</v>
      </c>
      <c r="P20">
        <f t="shared" si="5"/>
        <v>9.0371767504417971E-2</v>
      </c>
      <c r="Q20" s="36">
        <f t="shared" ref="Q20" si="14">N20-(M20-P20)/ND_NA</f>
        <v>5.4189339933109426E-2</v>
      </c>
      <c r="R20" s="7">
        <f t="shared" ref="R20" si="15">1-Q20/N20</f>
        <v>0.30664113171298513</v>
      </c>
      <c r="S20" s="36">
        <f t="shared" ref="S20" si="16">1-P20/M20</f>
        <v>0.20960346078567949</v>
      </c>
      <c r="T20">
        <f t="shared" si="7"/>
        <v>5.7934862556596703E-2</v>
      </c>
      <c r="U20">
        <f>(J20-T20)^2</f>
        <v>1.393235244516136E-4</v>
      </c>
      <c r="V20">
        <f t="shared" si="8"/>
        <v>4.6621307317684282E-2</v>
      </c>
      <c r="W20" s="36">
        <f t="shared" si="13"/>
        <v>2.4654283687903264E-4</v>
      </c>
      <c r="X20">
        <v>3.0000000000000001E-3</v>
      </c>
      <c r="Y20">
        <f t="shared" si="9"/>
        <v>2.7336366066603827E-3</v>
      </c>
      <c r="Z20">
        <v>3.0000000000000001E-3</v>
      </c>
      <c r="AA20" s="36">
        <f t="shared" si="10"/>
        <v>3.2182309568381598E-3</v>
      </c>
    </row>
    <row r="21" spans="1:27">
      <c r="A21" s="3"/>
      <c r="B21" s="39"/>
      <c r="C21" s="52">
        <v>5</v>
      </c>
      <c r="D21" s="65">
        <f>Samples!I11</f>
        <v>1100</v>
      </c>
      <c r="E21" s="65">
        <f>Samples!J11</f>
        <v>1.2517750000000001</v>
      </c>
      <c r="F21" s="65">
        <f>Samples!K11</f>
        <v>0.49552500000000005</v>
      </c>
      <c r="G21" s="65">
        <f>Samples!L11</f>
        <v>2.0185249999999999</v>
      </c>
      <c r="H21" s="39">
        <f>Samples!M11</f>
        <v>2.3649186051584143</v>
      </c>
      <c r="I21" s="7">
        <f t="shared" si="0"/>
        <v>7.6940175139872738E-2</v>
      </c>
      <c r="J21" s="36">
        <f t="shared" si="1"/>
        <v>6.1292987639872731E-2</v>
      </c>
      <c r="K21" s="3">
        <f t="shared" si="2"/>
        <v>3.5363305317302599E-2</v>
      </c>
      <c r="L21" s="39">
        <f t="shared" si="11"/>
        <v>2.7907884047106476E-2</v>
      </c>
      <c r="M21">
        <f t="shared" si="3"/>
        <v>0.21727097456405625</v>
      </c>
      <c r="N21">
        <f t="shared" si="4"/>
        <v>0.10063406940153652</v>
      </c>
      <c r="O21" s="97">
        <f t="shared" ref="O21:O42" si="17">M21/N21</f>
        <v>2.1590200600666445</v>
      </c>
      <c r="P21">
        <f t="shared" si="5"/>
        <v>0.17136987687749539</v>
      </c>
      <c r="Q21" s="36">
        <f>N21-(M21-P21)/ND_NA</f>
        <v>5.4732971714975653E-2</v>
      </c>
      <c r="R21" s="7">
        <f>1-Q21/N21</f>
        <v>0.45611886669724633</v>
      </c>
      <c r="S21" s="36">
        <f>1-P21/M21</f>
        <v>0.21126198646026795</v>
      </c>
      <c r="T21">
        <f t="shared" si="7"/>
        <v>8.6176253341999395E-2</v>
      </c>
      <c r="U21">
        <f t="shared" ref="U21:U42" si="18">(J21-T21)^2</f>
        <v>6.1917691200263317E-4</v>
      </c>
      <c r="V21">
        <f t="shared" si="8"/>
        <v>4.6990206928785271E-2</v>
      </c>
      <c r="W21" s="36">
        <f>(L21-V21)^2</f>
        <v>3.6413504656064208E-4</v>
      </c>
      <c r="X21">
        <v>4.0000000000000001E-3</v>
      </c>
      <c r="Y21">
        <f t="shared" si="9"/>
        <v>3.6273543730849607E-3</v>
      </c>
      <c r="Z21">
        <v>4.0000000000000001E-3</v>
      </c>
      <c r="AA21" s="36">
        <f t="shared" si="10"/>
        <v>4.2703789181202691E-3</v>
      </c>
    </row>
    <row r="22" spans="1:27" s="61" customFormat="1">
      <c r="A22" s="3"/>
      <c r="B22" s="98"/>
      <c r="C22" s="99">
        <v>6</v>
      </c>
      <c r="D22" s="65">
        <f>Samples!I12</f>
        <v>1000</v>
      </c>
      <c r="E22" s="65">
        <f>Samples!J12</f>
        <v>0.64884999999999993</v>
      </c>
      <c r="F22" s="65">
        <f>Samples!K12</f>
        <v>0.48779999999999996</v>
      </c>
      <c r="G22" s="65">
        <f>Samples!L12</f>
        <v>3.1629999999999998</v>
      </c>
      <c r="H22" s="39">
        <f>Samples!M12</f>
        <v>2.8831271130851754</v>
      </c>
      <c r="I22" s="38">
        <f t="shared" si="0"/>
        <v>0.1061514799079176</v>
      </c>
      <c r="J22" s="36">
        <f t="shared" si="1"/>
        <v>9.8040854907917599E-2</v>
      </c>
      <c r="K22" s="3">
        <f t="shared" si="2"/>
        <v>0.13262247903764265</v>
      </c>
      <c r="L22" s="39">
        <f t="shared" si="11"/>
        <v>0.12093993981834622</v>
      </c>
      <c r="M22">
        <f t="shared" si="3"/>
        <v>0.25311874636031562</v>
      </c>
      <c r="N22">
        <f t="shared" si="4"/>
        <v>0.32049834040842101</v>
      </c>
      <c r="O22" s="97">
        <f t="shared" si="17"/>
        <v>0.78976616864149285</v>
      </c>
      <c r="P22">
        <f t="shared" si="5"/>
        <v>0.12905637986836799</v>
      </c>
      <c r="Q22" s="36">
        <f t="shared" ref="Q22:Q42" si="19">N22-(M22-P22)/ND_NA</f>
        <v>0.19643597391647338</v>
      </c>
      <c r="R22" s="7">
        <f t="shared" ref="R22:R42" si="20">1-Q22/N22</f>
        <v>0.38709207147173086</v>
      </c>
      <c r="S22" s="36">
        <f t="shared" ref="S22:S42" si="21">1-P22/M22</f>
        <v>0.490135038498272</v>
      </c>
      <c r="T22">
        <f t="shared" si="7"/>
        <v>7.3134761250665481E-2</v>
      </c>
      <c r="U22">
        <f>(J22-T22)^2</f>
        <v>6.2031350126381414E-4</v>
      </c>
      <c r="V22">
        <f t="shared" si="8"/>
        <v>0.10901888819649758</v>
      </c>
      <c r="W22" s="36">
        <f>(L22-V22)^2</f>
        <v>1.4211147177078018E-4</v>
      </c>
      <c r="X22" s="61">
        <v>5.0000000000000001E-3</v>
      </c>
      <c r="Y22">
        <f t="shared" si="9"/>
        <v>4.5125338420100979E-3</v>
      </c>
      <c r="Z22" s="61">
        <v>5.0000000000000001E-3</v>
      </c>
      <c r="AA22" s="36">
        <f t="shared" si="10"/>
        <v>5.3124749898189241E-3</v>
      </c>
    </row>
    <row r="23" spans="1:27">
      <c r="A23" s="3"/>
      <c r="B23" s="39"/>
      <c r="C23" s="52">
        <v>7</v>
      </c>
      <c r="D23" s="65">
        <f>Samples!I13</f>
        <v>1050</v>
      </c>
      <c r="E23" s="65">
        <f>Samples!J13</f>
        <v>0.22065000000000001</v>
      </c>
      <c r="F23" s="65">
        <f>Samples!K13</f>
        <v>0.19415000000000002</v>
      </c>
      <c r="G23" s="65">
        <f>Samples!L13</f>
        <v>2.6916500000000001</v>
      </c>
      <c r="H23" s="39">
        <f>Samples!M13</f>
        <v>1.4542998127519002</v>
      </c>
      <c r="I23" s="7">
        <f t="shared" si="0"/>
        <v>2.5608785041863938E-2</v>
      </c>
      <c r="J23" s="36">
        <f t="shared" si="1"/>
        <v>2.2850660041863938E-2</v>
      </c>
      <c r="K23" s="3">
        <f t="shared" si="2"/>
        <v>8.4505934059094928E-2</v>
      </c>
      <c r="L23" s="39">
        <f t="shared" si="11"/>
        <v>7.4564325873948151E-2</v>
      </c>
      <c r="M23">
        <f t="shared" si="3"/>
        <v>5.5737622895325863E-2</v>
      </c>
      <c r="N23">
        <f t="shared" si="4"/>
        <v>0.18592482351029288</v>
      </c>
      <c r="O23" s="97">
        <f t="shared" si="17"/>
        <v>0.29978580505276209</v>
      </c>
      <c r="P23">
        <f t="shared" si="5"/>
        <v>3.1146629911104784E-2</v>
      </c>
      <c r="Q23" s="36">
        <f t="shared" si="19"/>
        <v>0.16133383052607181</v>
      </c>
      <c r="R23" s="7">
        <f t="shared" si="20"/>
        <v>0.13226309709450768</v>
      </c>
      <c r="S23" s="36">
        <f t="shared" si="21"/>
        <v>0.44119199396792486</v>
      </c>
      <c r="T23">
        <f t="shared" si="7"/>
        <v>2.4988964489774661E-2</v>
      </c>
      <c r="U23">
        <f t="shared" si="18"/>
        <v>4.5723459119547819E-6</v>
      </c>
      <c r="V23">
        <f t="shared" si="8"/>
        <v>9.8132671377560737E-2</v>
      </c>
      <c r="W23" s="36">
        <f>(L23-V23)^2</f>
        <v>5.5546690977765567E-4</v>
      </c>
      <c r="X23">
        <v>6.0000000000000001E-3</v>
      </c>
      <c r="Y23">
        <f t="shared" si="9"/>
        <v>5.3892967900278973E-3</v>
      </c>
      <c r="Z23">
        <v>6.0000000000000001E-3</v>
      </c>
      <c r="AA23" s="36">
        <f t="shared" si="10"/>
        <v>6.3446625359780606E-3</v>
      </c>
    </row>
    <row r="24" spans="1:27">
      <c r="A24" s="3"/>
      <c r="B24" s="39"/>
      <c r="C24" s="52">
        <v>8</v>
      </c>
      <c r="D24" s="65">
        <f>Samples!I14</f>
        <v>1150</v>
      </c>
      <c r="E24" s="65">
        <f>Samples!J14</f>
        <v>0.23455000000000001</v>
      </c>
      <c r="F24" s="65">
        <f>Samples!K14</f>
        <v>0.129525</v>
      </c>
      <c r="G24" s="65">
        <f>Samples!L14</f>
        <v>1.2528249999999999</v>
      </c>
      <c r="H24" s="39">
        <f>Samples!M14</f>
        <v>1.5562688856438009</v>
      </c>
      <c r="I24" s="7">
        <f t="shared" si="0"/>
        <v>3.1356760267275074E-2</v>
      </c>
      <c r="J24" s="36">
        <f t="shared" si="1"/>
        <v>2.8424885267275074E-2</v>
      </c>
      <c r="K24" s="3">
        <f t="shared" si="2"/>
        <v>4.7155901382735836E-2</v>
      </c>
      <c r="L24" s="39">
        <f t="shared" si="11"/>
        <v>4.2528592752506603E-2</v>
      </c>
      <c r="M24">
        <f t="shared" si="3"/>
        <v>2.8088122974539935E-2</v>
      </c>
      <c r="N24">
        <f t="shared" si="4"/>
        <v>4.2445489657460832E-2</v>
      </c>
      <c r="O24" s="97">
        <f t="shared" si="17"/>
        <v>0.66174576383059258</v>
      </c>
      <c r="P24">
        <f t="shared" si="5"/>
        <v>2.368017151681058E-2</v>
      </c>
      <c r="Q24" s="36">
        <f t="shared" si="19"/>
        <v>3.8037538199731477E-2</v>
      </c>
      <c r="R24" s="7">
        <f t="shared" si="20"/>
        <v>0.10384970213094358</v>
      </c>
      <c r="S24" s="36">
        <f t="shared" si="21"/>
        <v>0.15693293075243497</v>
      </c>
      <c r="T24">
        <f t="shared" si="7"/>
        <v>1.9620714891996873E-2</v>
      </c>
      <c r="U24">
        <f t="shared" si="18"/>
        <v>7.7513415996926293E-5</v>
      </c>
      <c r="V24">
        <f t="shared" si="8"/>
        <v>3.4905999955579144E-2</v>
      </c>
      <c r="W24" s="36">
        <f t="shared" ref="W24:W42" si="22">(L24-V24)^2</f>
        <v>5.8103920947770385E-5</v>
      </c>
      <c r="X24">
        <v>7.0000000000000001E-3</v>
      </c>
      <c r="Y24">
        <f t="shared" si="9"/>
        <v>6.2577626889196358E-3</v>
      </c>
      <c r="Z24">
        <v>7.0000000000000001E-3</v>
      </c>
      <c r="AA24" s="36">
        <f t="shared" si="10"/>
        <v>7.3670822072547573E-3</v>
      </c>
    </row>
    <row r="25" spans="1:27">
      <c r="A25" s="3"/>
      <c r="B25" s="39"/>
      <c r="C25" s="52">
        <v>9</v>
      </c>
      <c r="D25" s="65">
        <f>Samples!I15</f>
        <v>1100</v>
      </c>
      <c r="E25" s="65">
        <f>Samples!J15</f>
        <v>2.9290750000000001</v>
      </c>
      <c r="F25" s="65">
        <f>Samples!K15</f>
        <v>1.0151250000000001</v>
      </c>
      <c r="G25" s="65">
        <f>Samples!L15</f>
        <v>2.3252250000000001</v>
      </c>
      <c r="H25" s="39">
        <f>Samples!M15</f>
        <v>3.0173768185019321</v>
      </c>
      <c r="I25" s="171">
        <f t="shared" si="0"/>
        <v>0.11371910760982203</v>
      </c>
      <c r="J25" s="36">
        <f t="shared" si="1"/>
        <v>7.7105670109822028E-2</v>
      </c>
      <c r="K25" s="3">
        <f t="shared" si="2"/>
        <v>2.5981439532668141E-2</v>
      </c>
      <c r="L25" s="39">
        <f t="shared" si="11"/>
        <v>1.739322193665532E-2</v>
      </c>
      <c r="M25">
        <f t="shared" si="3"/>
        <v>0.5029601721566781</v>
      </c>
      <c r="N25">
        <f t="shared" si="4"/>
        <v>0.11592467471256872</v>
      </c>
      <c r="O25" s="97">
        <f t="shared" si="17"/>
        <v>4.338680901229619</v>
      </c>
      <c r="P25">
        <f t="shared" si="5"/>
        <v>0.42469374390124415</v>
      </c>
      <c r="Q25" s="36">
        <f t="shared" si="19"/>
        <v>3.7658246457134767E-2</v>
      </c>
      <c r="R25" s="7">
        <f t="shared" si="20"/>
        <v>0.67514900041335368</v>
      </c>
      <c r="S25" s="36">
        <f t="shared" si="21"/>
        <v>0.15561158236412609</v>
      </c>
      <c r="T25">
        <f t="shared" si="7"/>
        <v>0.12755844046643561</v>
      </c>
      <c r="U25">
        <f t="shared" si="18"/>
        <v>2.5454820366571859E-3</v>
      </c>
      <c r="V25">
        <f t="shared" si="8"/>
        <v>3.4612097416688789E-2</v>
      </c>
      <c r="W25" s="36">
        <f t="shared" si="22"/>
        <v>2.9648967279689782E-4</v>
      </c>
      <c r="X25">
        <v>8.0000000000000002E-3</v>
      </c>
      <c r="Y25">
        <f t="shared" si="9"/>
        <v>7.118048759926626E-3</v>
      </c>
      <c r="Z25">
        <v>8.0000000000000002E-3</v>
      </c>
      <c r="AA25" s="36">
        <f t="shared" si="10"/>
        <v>8.3798720048108011E-3</v>
      </c>
    </row>
    <row r="26" spans="1:27" s="103" customFormat="1">
      <c r="A26" s="3"/>
      <c r="B26" s="102"/>
      <c r="C26" s="99">
        <v>10</v>
      </c>
      <c r="D26" s="65">
        <f>Samples!I16</f>
        <v>950</v>
      </c>
      <c r="E26" s="65">
        <f>Samples!J16</f>
        <v>2.006275</v>
      </c>
      <c r="F26" s="65">
        <f>Samples!K16</f>
        <v>0.66580000000000006</v>
      </c>
      <c r="G26" s="65">
        <f>Samples!L16</f>
        <v>1.2657999999999998</v>
      </c>
      <c r="H26" s="39">
        <f>Samples!M16</f>
        <v>3.1257330342863714</v>
      </c>
      <c r="I26" s="171">
        <f t="shared" si="0"/>
        <v>0.11982712473878557</v>
      </c>
      <c r="J26" s="36">
        <f t="shared" si="1"/>
        <v>9.4748687238785573E-2</v>
      </c>
      <c r="K26" s="3">
        <f t="shared" si="2"/>
        <v>2.1850582141496107E-2</v>
      </c>
      <c r="L26" s="39">
        <f t="shared" si="11"/>
        <v>1.7175350354020475E-2</v>
      </c>
      <c r="M26">
        <f t="shared" si="3"/>
        <v>1.0416864856862877</v>
      </c>
      <c r="N26">
        <f t="shared" si="4"/>
        <v>0.1908603617784578</v>
      </c>
      <c r="O26" s="97">
        <f t="shared" si="17"/>
        <v>5.4578461236253499</v>
      </c>
      <c r="P26">
        <f t="shared" si="5"/>
        <v>0.8865767182516755</v>
      </c>
      <c r="Q26" s="36">
        <f t="shared" si="19"/>
        <v>3.575059434384556E-2</v>
      </c>
      <c r="R26" s="7">
        <f t="shared" si="20"/>
        <v>0.8126871708157859</v>
      </c>
      <c r="S26" s="36">
        <f t="shared" si="21"/>
        <v>0.14890254367889033</v>
      </c>
      <c r="T26">
        <f t="shared" si="7"/>
        <v>0.15354404440038197</v>
      </c>
      <c r="U26">
        <f t="shared" si="18"/>
        <v>3.4568940237596846E-3</v>
      </c>
      <c r="V26">
        <f t="shared" si="8"/>
        <v>3.3119831243324252E-2</v>
      </c>
      <c r="W26" s="36">
        <f t="shared" si="22"/>
        <v>2.5422647082937335E-4</v>
      </c>
      <c r="X26" s="105">
        <v>8.9999999999999993E-3</v>
      </c>
      <c r="Y26">
        <f t="shared" si="9"/>
        <v>7.9702700264947697E-3</v>
      </c>
      <c r="Z26" s="105">
        <v>8.9999999999999993E-3</v>
      </c>
      <c r="AA26" s="36">
        <f t="shared" si="10"/>
        <v>9.3831673424072948E-3</v>
      </c>
    </row>
    <row r="27" spans="1:27">
      <c r="A27" s="3"/>
      <c r="B27" s="39"/>
      <c r="C27" s="52">
        <v>11</v>
      </c>
      <c r="D27" s="65">
        <f>Samples!I17</f>
        <v>850</v>
      </c>
      <c r="E27" s="65">
        <f>Samples!J17</f>
        <v>2.5600999999999998</v>
      </c>
      <c r="F27" s="65">
        <f>Samples!K17</f>
        <v>0.98849999999999993</v>
      </c>
      <c r="G27" s="65">
        <f>Samples!L17</f>
        <v>1.9929000000000001</v>
      </c>
      <c r="H27" s="39">
        <f>Samples!M17</f>
        <v>4.5388549472784705</v>
      </c>
      <c r="I27" s="7">
        <f t="shared" si="0"/>
        <v>0.19948451021854846</v>
      </c>
      <c r="J27" s="36">
        <f t="shared" si="1"/>
        <v>0.16748326021854845</v>
      </c>
      <c r="K27" s="3">
        <f t="shared" si="2"/>
        <v>4.3871459362824279E-2</v>
      </c>
      <c r="L27" s="39">
        <f t="shared" si="11"/>
        <v>3.6510684019752555E-2</v>
      </c>
      <c r="M27">
        <f t="shared" si="3"/>
        <v>3.1317441032293334</v>
      </c>
      <c r="N27">
        <f t="shared" si="4"/>
        <v>0.69404845507054969</v>
      </c>
      <c r="O27" s="97">
        <f t="shared" si="17"/>
        <v>4.5122845247324888</v>
      </c>
      <c r="P27">
        <f t="shared" si="5"/>
        <v>2.4903270083274602</v>
      </c>
      <c r="Q27" s="36">
        <f t="shared" si="19"/>
        <v>5.2631360168676533E-2</v>
      </c>
      <c r="R27" s="7">
        <f t="shared" si="20"/>
        <v>0.9241675998496004</v>
      </c>
      <c r="S27" s="36">
        <f t="shared" si="21"/>
        <v>0.20481146407858442</v>
      </c>
      <c r="T27">
        <f t="shared" si="7"/>
        <v>0.17460646123189075</v>
      </c>
      <c r="U27">
        <f t="shared" si="18"/>
        <v>5.0739992676480698E-5</v>
      </c>
      <c r="V27">
        <f t="shared" si="8"/>
        <v>4.5555441561892833E-2</v>
      </c>
      <c r="W27" s="36">
        <f t="shared" si="22"/>
        <v>8.1807638996103438E-5</v>
      </c>
      <c r="X27">
        <v>0.01</v>
      </c>
      <c r="Y27">
        <f t="shared" si="9"/>
        <v>8.8145393655426774E-3</v>
      </c>
      <c r="Z27">
        <v>0.01</v>
      </c>
      <c r="AA27" s="36">
        <f t="shared" si="10"/>
        <v>1.0377101106761068E-2</v>
      </c>
    </row>
    <row r="28" spans="1:27">
      <c r="A28" s="3"/>
      <c r="B28" s="39"/>
      <c r="C28" s="52">
        <v>12</v>
      </c>
      <c r="D28" s="65">
        <f>Samples!I18</f>
        <v>850</v>
      </c>
      <c r="E28" s="65">
        <f>Samples!J18</f>
        <v>3.0232999999999999</v>
      </c>
      <c r="F28" s="65">
        <f>Samples!K18</f>
        <v>0.98730000000000007</v>
      </c>
      <c r="G28" s="65">
        <f>Samples!L18</f>
        <v>1.2363999999999999</v>
      </c>
      <c r="H28" s="39">
        <f>Samples!M18</f>
        <v>4.4496980910766561</v>
      </c>
      <c r="I28" s="7">
        <f t="shared" si="0"/>
        <v>0.19445875695739198</v>
      </c>
      <c r="J28" s="36">
        <f t="shared" si="1"/>
        <v>0.15666750695739198</v>
      </c>
      <c r="K28" s="3">
        <f t="shared" si="2"/>
        <v>2.2958644687350347E-2</v>
      </c>
      <c r="L28" s="39">
        <f t="shared" si="11"/>
        <v>1.839200178797061E-2</v>
      </c>
      <c r="M28">
        <f t="shared" si="3"/>
        <v>3.6301067595343262</v>
      </c>
      <c r="N28">
        <f t="shared" si="4"/>
        <v>0.4305893471068431</v>
      </c>
      <c r="O28" s="97">
        <f t="shared" si="17"/>
        <v>8.4305540393073866</v>
      </c>
      <c r="P28">
        <f t="shared" si="5"/>
        <v>3.2251735209166261</v>
      </c>
      <c r="Q28" s="36">
        <f t="shared" si="19"/>
        <v>2.565610848914307E-2</v>
      </c>
      <c r="R28" s="7">
        <f t="shared" si="20"/>
        <v>0.94041629533677951</v>
      </c>
      <c r="S28" s="36">
        <f t="shared" si="21"/>
        <v>0.11154857568697107</v>
      </c>
      <c r="T28">
        <f t="shared" si="7"/>
        <v>0.17767638839565697</v>
      </c>
      <c r="U28">
        <f t="shared" si="18"/>
        <v>4.4137309928707509E-4</v>
      </c>
      <c r="V28">
        <f t="shared" si="8"/>
        <v>2.4811329013645411E-2</v>
      </c>
      <c r="W28" s="36">
        <f t="shared" si="22"/>
        <v>4.1207762030289734E-5</v>
      </c>
      <c r="X28" s="61">
        <v>0.02</v>
      </c>
      <c r="Y28">
        <f t="shared" si="9"/>
        <v>1.6843270673632227E-2</v>
      </c>
      <c r="Z28" s="61">
        <v>0.02</v>
      </c>
      <c r="AA28" s="36">
        <f t="shared" si="10"/>
        <v>1.9829093217517701E-2</v>
      </c>
    </row>
    <row r="29" spans="1:27">
      <c r="A29" s="3"/>
      <c r="B29" s="39"/>
      <c r="C29" s="52">
        <v>13</v>
      </c>
      <c r="D29" s="65">
        <f>Samples!I19</f>
        <v>850</v>
      </c>
      <c r="E29" s="65">
        <f>Samples!J19</f>
        <v>1.9258</v>
      </c>
      <c r="F29" s="65">
        <f>Samples!K19</f>
        <v>0.71020000000000005</v>
      </c>
      <c r="G29" s="65">
        <f>Samples!L19</f>
        <v>1.1552</v>
      </c>
      <c r="H29" s="39">
        <f>Samples!M19</f>
        <v>5.0586530143206581</v>
      </c>
      <c r="I29" s="7">
        <f t="shared" si="0"/>
        <v>0.22878541810012251</v>
      </c>
      <c r="J29" s="36">
        <f t="shared" si="1"/>
        <v>0.20471291810012252</v>
      </c>
      <c r="K29" s="3">
        <f t="shared" si="2"/>
        <v>3.8970769273227124E-2</v>
      </c>
      <c r="L29" s="39">
        <f t="shared" si="11"/>
        <v>3.470403854096938E-2</v>
      </c>
      <c r="M29">
        <f t="shared" si="3"/>
        <v>2.351402280596675</v>
      </c>
      <c r="N29">
        <f t="shared" si="4"/>
        <v>0.40231059024411603</v>
      </c>
      <c r="O29" s="97">
        <f t="shared" si="17"/>
        <v>5.8447436821632746</v>
      </c>
      <c r="P29">
        <f t="shared" si="5"/>
        <v>1.9866138663429753</v>
      </c>
      <c r="Q29" s="36">
        <f t="shared" si="19"/>
        <v>3.7522175990416351E-2</v>
      </c>
      <c r="R29" s="7">
        <f t="shared" si="20"/>
        <v>0.90673331276800728</v>
      </c>
      <c r="S29" s="36">
        <f t="shared" si="21"/>
        <v>0.15513654012495626</v>
      </c>
      <c r="T29">
        <f t="shared" si="7"/>
        <v>0.17131253578815814</v>
      </c>
      <c r="U29">
        <f t="shared" si="18"/>
        <v>1.1155855385853828E-3</v>
      </c>
      <c r="V29">
        <f t="shared" si="8"/>
        <v>3.4506435562928303E-2</v>
      </c>
      <c r="W29" s="36">
        <f t="shared" si="22"/>
        <v>3.9046936930702278E-8</v>
      </c>
      <c r="X29">
        <v>0.03</v>
      </c>
      <c r="Y29">
        <f t="shared" si="9"/>
        <v>2.4186790953766957E-2</v>
      </c>
      <c r="Z29">
        <v>0.03</v>
      </c>
      <c r="AA29" s="36">
        <f t="shared" si="10"/>
        <v>2.8474406292458745E-2</v>
      </c>
    </row>
    <row r="30" spans="1:27">
      <c r="A30" s="3"/>
      <c r="B30" s="39"/>
      <c r="C30" s="99">
        <v>14</v>
      </c>
      <c r="D30" s="65">
        <f>Samples!I20</f>
        <v>1000</v>
      </c>
      <c r="E30" s="65">
        <f>Samples!J20</f>
        <v>2.9935499999999999</v>
      </c>
      <c r="F30" s="65">
        <f>Samples!K20</f>
        <v>1.0017</v>
      </c>
      <c r="G30" s="65">
        <f>Samples!L20</f>
        <v>1.9248000000000001</v>
      </c>
      <c r="H30" s="39">
        <f>Samples!M20</f>
        <v>3.1906307902987425</v>
      </c>
      <c r="I30" s="7">
        <f t="shared" si="0"/>
        <v>0.12348539761667415</v>
      </c>
      <c r="J30" s="36">
        <f t="shared" si="1"/>
        <v>8.6066022616674148E-2</v>
      </c>
      <c r="K30" s="3">
        <f t="shared" si="2"/>
        <v>2.2923003956759027E-2</v>
      </c>
      <c r="L30" s="39">
        <f t="shared" si="11"/>
        <v>1.5813755936113508E-2</v>
      </c>
      <c r="M30">
        <f t="shared" si="3"/>
        <v>1.0430563614401884</v>
      </c>
      <c r="N30">
        <f t="shared" si="4"/>
        <v>0.1950348421176506</v>
      </c>
      <c r="O30" s="97">
        <f t="shared" si="17"/>
        <v>5.348051405148353</v>
      </c>
      <c r="P30">
        <f t="shared" si="5"/>
        <v>0.8846197013849616</v>
      </c>
      <c r="Q30" s="36">
        <f t="shared" si="19"/>
        <v>3.6598182062423767E-2</v>
      </c>
      <c r="R30" s="7">
        <f t="shared" si="20"/>
        <v>0.81235054380515925</v>
      </c>
      <c r="S30" s="36">
        <f t="shared" si="21"/>
        <v>0.15189654740849012</v>
      </c>
      <c r="T30">
        <f t="shared" si="7"/>
        <v>0.15348044419291948</v>
      </c>
      <c r="U30">
        <f t="shared" si="18"/>
        <v>4.5447042364597321E-3</v>
      </c>
      <c r="V30">
        <f t="shared" si="8"/>
        <v>3.3785776201793793E-2</v>
      </c>
      <c r="W30" s="36">
        <f t="shared" si="22"/>
        <v>3.2299351243002288E-4</v>
      </c>
      <c r="X30" s="61">
        <v>0.04</v>
      </c>
      <c r="Y30">
        <f t="shared" si="9"/>
        <v>3.0929229090522387E-2</v>
      </c>
      <c r="Z30" s="61">
        <v>0.04</v>
      </c>
      <c r="AA30" s="36">
        <f t="shared" si="10"/>
        <v>3.6412082823203372E-2</v>
      </c>
    </row>
    <row r="31" spans="1:27">
      <c r="A31" s="3"/>
      <c r="B31" s="39"/>
      <c r="C31" s="52">
        <v>15</v>
      </c>
      <c r="D31" s="65">
        <f>Samples!I21</f>
        <v>900</v>
      </c>
      <c r="E31" s="65">
        <f>Samples!J21</f>
        <v>1.7501499999999999</v>
      </c>
      <c r="F31" s="65">
        <f>Samples!K21</f>
        <v>0.63447500000000001</v>
      </c>
      <c r="G31" s="65">
        <f>Samples!L21</f>
        <v>1.0679750000000001</v>
      </c>
      <c r="H31" s="39">
        <f>Samples!M21</f>
        <v>4.6777674609840325</v>
      </c>
      <c r="I31" s="7">
        <f t="shared" si="0"/>
        <v>0.20731497944450311</v>
      </c>
      <c r="J31" s="36">
        <f t="shared" si="1"/>
        <v>0.18543810444450312</v>
      </c>
      <c r="K31" s="3">
        <f t="shared" si="2"/>
        <v>3.6033502666836553E-2</v>
      </c>
      <c r="L31" s="39">
        <f t="shared" si="11"/>
        <v>3.2088937436761271E-2</v>
      </c>
      <c r="M31">
        <f t="shared" si="3"/>
        <v>1.3905378820026157</v>
      </c>
      <c r="N31">
        <f t="shared" si="4"/>
        <v>0.24267896564031013</v>
      </c>
      <c r="O31" s="97">
        <f t="shared" si="17"/>
        <v>5.7299481161610855</v>
      </c>
      <c r="P31">
        <f t="shared" si="5"/>
        <v>1.183588218455464</v>
      </c>
      <c r="Q31" s="36">
        <f t="shared" si="19"/>
        <v>3.5729302093158416E-2</v>
      </c>
      <c r="R31" s="7">
        <f t="shared" si="20"/>
        <v>0.85277132693026603</v>
      </c>
      <c r="S31" s="36">
        <f t="shared" si="21"/>
        <v>0.14882705910112159</v>
      </c>
      <c r="T31">
        <f t="shared" si="7"/>
        <v>0.16111729480621201</v>
      </c>
      <c r="U31">
        <f t="shared" si="18"/>
        <v>5.9150178146199388E-4</v>
      </c>
      <c r="V31">
        <f t="shared" si="8"/>
        <v>3.3103041493361511E-2</v>
      </c>
      <c r="W31" s="36">
        <f t="shared" si="22"/>
        <v>1.0284070376130632E-6</v>
      </c>
      <c r="X31">
        <v>0.05</v>
      </c>
      <c r="Y31">
        <f t="shared" si="9"/>
        <v>3.7141483208559006E-2</v>
      </c>
      <c r="Z31">
        <v>0.05</v>
      </c>
      <c r="AA31" s="36">
        <f t="shared" si="10"/>
        <v>4.3725589112115361E-2</v>
      </c>
    </row>
    <row r="32" spans="1:27">
      <c r="A32" s="3"/>
      <c r="B32" s="39"/>
      <c r="C32" s="52">
        <v>16</v>
      </c>
      <c r="D32" s="65">
        <f>Samples!I22</f>
        <v>800</v>
      </c>
      <c r="E32" s="65">
        <f>Samples!J22</f>
        <v>2.3998499999999998</v>
      </c>
      <c r="F32" s="65">
        <f>Samples!K22</f>
        <v>0.731325</v>
      </c>
      <c r="G32" s="65">
        <f>Samples!L22</f>
        <v>0.57532500000000009</v>
      </c>
      <c r="H32" s="39">
        <f>Samples!M22</f>
        <v>4.9711409007795746</v>
      </c>
      <c r="I32" s="7">
        <f t="shared" si="0"/>
        <v>0.22385237863735546</v>
      </c>
      <c r="J32" s="36">
        <f t="shared" si="1"/>
        <v>0.19385425363735548</v>
      </c>
      <c r="K32" s="3">
        <f t="shared" si="2"/>
        <v>1.5609405416160266E-2</v>
      </c>
      <c r="L32" s="39">
        <f t="shared" si="11"/>
        <v>1.3484442761610243E-2</v>
      </c>
      <c r="M32">
        <f t="shared" si="3"/>
        <v>4.5272922562226841</v>
      </c>
      <c r="N32">
        <f t="shared" si="4"/>
        <v>0.31637318073453746</v>
      </c>
      <c r="O32" s="97">
        <f t="shared" si="17"/>
        <v>14.309974839559635</v>
      </c>
      <c r="P32">
        <f t="shared" si="5"/>
        <v>4.2255129453080382</v>
      </c>
      <c r="Q32" s="36">
        <f t="shared" si="19"/>
        <v>1.4593869819891636E-2</v>
      </c>
      <c r="R32" s="7">
        <f t="shared" si="20"/>
        <v>0.95387134337364377</v>
      </c>
      <c r="S32" s="36">
        <f t="shared" si="21"/>
        <v>6.6657793187496428E-2</v>
      </c>
      <c r="T32">
        <f t="shared" si="7"/>
        <v>0.18021850123731548</v>
      </c>
      <c r="U32">
        <f t="shared" si="18"/>
        <v>1.8593374351519667E-4</v>
      </c>
      <c r="V32">
        <f t="shared" si="8"/>
        <v>1.4826441556185342E-2</v>
      </c>
      <c r="W32" s="36">
        <f t="shared" si="22"/>
        <v>1.8009607646410186E-6</v>
      </c>
      <c r="X32" s="61">
        <v>0.06</v>
      </c>
      <c r="Y32">
        <f t="shared" si="9"/>
        <v>4.2883723243897859E-2</v>
      </c>
      <c r="Z32" s="61">
        <v>0.06</v>
      </c>
      <c r="AA32" s="36">
        <f t="shared" si="10"/>
        <v>5.0485761476758727E-2</v>
      </c>
    </row>
    <row r="33" spans="1:27">
      <c r="A33" s="3"/>
      <c r="B33" s="39"/>
      <c r="C33" s="52">
        <v>17</v>
      </c>
      <c r="D33" s="65">
        <f>Samples!I23</f>
        <v>950</v>
      </c>
      <c r="E33" s="65">
        <f>Samples!J23</f>
        <v>1.961875</v>
      </c>
      <c r="F33" s="65">
        <f>Samples!K23</f>
        <v>0.64050000000000007</v>
      </c>
      <c r="G33" s="65">
        <f>Samples!L23</f>
        <v>0.83950000000000002</v>
      </c>
      <c r="H33" s="39">
        <f>Samples!M23</f>
        <v>4.2465719664835513</v>
      </c>
      <c r="I33" s="7">
        <f t="shared" si="0"/>
        <v>0.18300857997056483</v>
      </c>
      <c r="J33" s="36">
        <f t="shared" si="1"/>
        <v>0.15848514247056483</v>
      </c>
      <c r="K33" s="3">
        <f t="shared" si="2"/>
        <v>2.2615913022632168E-2</v>
      </c>
      <c r="L33" s="39">
        <f t="shared" si="11"/>
        <v>1.951522011254701E-2</v>
      </c>
      <c r="M33">
        <f t="shared" si="3"/>
        <v>1.0210642839954007</v>
      </c>
      <c r="N33">
        <f t="shared" si="4"/>
        <v>0.12658182470612686</v>
      </c>
      <c r="O33" s="97">
        <f t="shared" si="17"/>
        <v>8.0664367603003821</v>
      </c>
      <c r="P33">
        <f t="shared" si="5"/>
        <v>0.91753849759112094</v>
      </c>
      <c r="Q33" s="36">
        <f t="shared" si="19"/>
        <v>2.3056038301847076E-2</v>
      </c>
      <c r="R33" s="7">
        <f t="shared" si="20"/>
        <v>0.81785664446397321</v>
      </c>
      <c r="S33" s="36">
        <f t="shared" si="21"/>
        <v>0.10139007702745784</v>
      </c>
      <c r="T33">
        <f t="shared" si="7"/>
        <v>0.15452073250358789</v>
      </c>
      <c r="U33">
        <f t="shared" si="18"/>
        <v>1.5716546386266143E-5</v>
      </c>
      <c r="V33">
        <f t="shared" si="8"/>
        <v>2.2551812466942513E-2</v>
      </c>
      <c r="W33" s="36">
        <f t="shared" si="22"/>
        <v>9.2208931267732284E-6</v>
      </c>
      <c r="X33">
        <v>7.0000000000000007E-2</v>
      </c>
      <c r="Y33">
        <f t="shared" si="9"/>
        <v>4.8207346192675679E-2</v>
      </c>
      <c r="Z33">
        <v>7.0000000000000007E-2</v>
      </c>
      <c r="AA33" s="36">
        <f t="shared" si="10"/>
        <v>5.6753108107451281E-2</v>
      </c>
    </row>
    <row r="34" spans="1:27">
      <c r="A34" s="3"/>
      <c r="B34" s="39"/>
      <c r="C34" s="99">
        <v>18</v>
      </c>
      <c r="D34" s="65">
        <f>Samples!I24</f>
        <v>1050</v>
      </c>
      <c r="E34" s="65">
        <f>Samples!J24</f>
        <v>1.8388500000000001</v>
      </c>
      <c r="F34" s="65">
        <f>Samples!K24</f>
        <v>0.58355000000000001</v>
      </c>
      <c r="G34" s="65">
        <f>Samples!L24</f>
        <v>0.66275000000000006</v>
      </c>
      <c r="H34" s="39">
        <f>Samples!M24</f>
        <v>4.3130590003860947</v>
      </c>
      <c r="I34" s="7">
        <f t="shared" si="0"/>
        <v>0.18675644010937409</v>
      </c>
      <c r="J34" s="36">
        <f t="shared" si="1"/>
        <v>0.16377081510937408</v>
      </c>
      <c r="K34" s="3">
        <f t="shared" si="2"/>
        <v>1.9500882658108499E-2</v>
      </c>
      <c r="L34" s="39">
        <f t="shared" si="11"/>
        <v>1.7053015801456992E-2</v>
      </c>
      <c r="M34">
        <f t="shared" si="3"/>
        <v>0.43732767128086719</v>
      </c>
      <c r="N34">
        <f t="shared" si="4"/>
        <v>4.5779234588986903E-2</v>
      </c>
      <c r="O34" s="97">
        <f t="shared" si="17"/>
        <v>9.5529703632501306</v>
      </c>
      <c r="P34">
        <f t="shared" si="5"/>
        <v>0.40685393848736817</v>
      </c>
      <c r="Q34" s="36">
        <f t="shared" si="19"/>
        <v>1.5305501795487883E-2</v>
      </c>
      <c r="R34" s="7">
        <f t="shared" si="20"/>
        <v>0.66566715383288821</v>
      </c>
      <c r="S34" s="36">
        <f t="shared" si="21"/>
        <v>6.9681693601152728E-2</v>
      </c>
      <c r="T34">
        <f t="shared" si="7"/>
        <v>0.12576699952257625</v>
      </c>
      <c r="U34">
        <f t="shared" si="18"/>
        <v>1.4442899991553375E-3</v>
      </c>
      <c r="V34">
        <f t="shared" si="8"/>
        <v>1.5499036321341119E-2</v>
      </c>
      <c r="W34" s="36">
        <f t="shared" si="22"/>
        <v>2.4148522246211986E-6</v>
      </c>
      <c r="X34" s="61">
        <v>0.08</v>
      </c>
      <c r="Y34">
        <f t="shared" si="9"/>
        <v>5.3156518777934154E-2</v>
      </c>
      <c r="Z34" s="61">
        <v>0.08</v>
      </c>
      <c r="AA34" s="36">
        <f t="shared" si="10"/>
        <v>6.2579625204056896E-2</v>
      </c>
    </row>
    <row r="35" spans="1:27">
      <c r="A35" s="3"/>
      <c r="B35" s="39"/>
      <c r="C35" s="52">
        <v>19</v>
      </c>
      <c r="D35" s="65">
        <f>Samples!I25</f>
        <v>850</v>
      </c>
      <c r="E35" s="65">
        <f>Samples!J25</f>
        <v>2.3498999999999999</v>
      </c>
      <c r="F35" s="65">
        <f>Samples!K25</f>
        <v>0.74560000000000004</v>
      </c>
      <c r="G35" s="65">
        <f>Samples!L25</f>
        <v>0.70379999999999998</v>
      </c>
      <c r="H35" s="39">
        <f>Samples!M25</f>
        <v>5.184976011746028</v>
      </c>
      <c r="I35" s="7">
        <f t="shared" si="0"/>
        <v>0.23590621893716116</v>
      </c>
      <c r="J35" s="36">
        <f t="shared" si="1"/>
        <v>0.20653246893716115</v>
      </c>
      <c r="K35" s="3">
        <f t="shared" si="2"/>
        <v>2.0450028157266823E-2</v>
      </c>
      <c r="L35" s="39">
        <f t="shared" si="11"/>
        <v>1.7850543142236525E-2</v>
      </c>
      <c r="M35">
        <f t="shared" si="3"/>
        <v>2.8199930785674887</v>
      </c>
      <c r="N35">
        <f t="shared" si="4"/>
        <v>0.24510577684713375</v>
      </c>
      <c r="O35" s="97">
        <f t="shared" si="17"/>
        <v>11.505208546456442</v>
      </c>
      <c r="P35">
        <f t="shared" si="5"/>
        <v>2.5927933725903838</v>
      </c>
      <c r="Q35" s="36">
        <f t="shared" si="19"/>
        <v>1.7906070870028823E-2</v>
      </c>
      <c r="R35" s="7">
        <f t="shared" si="20"/>
        <v>0.92694553714579975</v>
      </c>
      <c r="S35" s="36">
        <f t="shared" si="21"/>
        <v>8.0567469368583944E-2</v>
      </c>
      <c r="T35">
        <f t="shared" si="7"/>
        <v>0.17513130737548263</v>
      </c>
      <c r="U35">
        <f t="shared" si="18"/>
        <v>9.8603294742263662E-4</v>
      </c>
      <c r="V35">
        <f t="shared" si="8"/>
        <v>1.7920318372422295E-2</v>
      </c>
      <c r="W35" s="36">
        <f t="shared" si="22"/>
        <v>4.8685827474773057E-9</v>
      </c>
      <c r="X35">
        <v>0.09</v>
      </c>
      <c r="Y35">
        <f t="shared" si="9"/>
        <v>5.776940565366627E-2</v>
      </c>
      <c r="Z35">
        <v>0.09</v>
      </c>
      <c r="AA35" s="36">
        <f t="shared" si="10"/>
        <v>6.8010242904925966E-2</v>
      </c>
    </row>
    <row r="36" spans="1:27">
      <c r="A36" s="3"/>
      <c r="B36" s="39"/>
      <c r="C36" s="52">
        <v>20</v>
      </c>
      <c r="D36" s="65">
        <f>Samples!I26</f>
        <v>850</v>
      </c>
      <c r="E36" s="65">
        <f>Samples!J26</f>
        <v>2.3418999999999999</v>
      </c>
      <c r="F36" s="65">
        <f>Samples!K26</f>
        <v>1.0439000000000001</v>
      </c>
      <c r="G36" s="65">
        <f>Samples!L26</f>
        <v>2.8601999999999999</v>
      </c>
      <c r="H36" s="39">
        <f>Samples!M26</f>
        <v>4.2978228564591152</v>
      </c>
      <c r="I36" s="7">
        <f t="shared" si="0"/>
        <v>0.18589758187580047</v>
      </c>
      <c r="J36" s="36">
        <f t="shared" si="1"/>
        <v>0.15662383187580048</v>
      </c>
      <c r="K36" s="3">
        <f t="shared" si="2"/>
        <v>6.2868130558855803E-2</v>
      </c>
      <c r="L36" s="39">
        <f t="shared" si="11"/>
        <v>5.2303983016955186E-2</v>
      </c>
      <c r="M36">
        <f t="shared" si="3"/>
        <v>2.9125643751949966</v>
      </c>
      <c r="N36">
        <f t="shared" si="4"/>
        <v>0.99609483225088369</v>
      </c>
      <c r="O36" s="97">
        <f t="shared" si="17"/>
        <v>2.9239830193812479</v>
      </c>
      <c r="P36">
        <f t="shared" si="5"/>
        <v>2.0084550255384346</v>
      </c>
      <c r="Q36" s="36">
        <f t="shared" si="19"/>
        <v>9.198548259432171E-2</v>
      </c>
      <c r="R36" s="7">
        <f t="shared" si="20"/>
        <v>0.90765389035654231</v>
      </c>
      <c r="S36" s="36">
        <f t="shared" si="21"/>
        <v>0.31041694987292145</v>
      </c>
      <c r="T36">
        <f t="shared" si="7"/>
        <v>0.1714864639750473</v>
      </c>
      <c r="U36">
        <f t="shared" si="18"/>
        <v>2.2089783291756192E-4</v>
      </c>
      <c r="V36">
        <f t="shared" si="8"/>
        <v>6.9044871503535832E-2</v>
      </c>
      <c r="W36" s="36">
        <f t="shared" si="22"/>
        <v>2.8025734732012845E-4</v>
      </c>
      <c r="X36" s="61">
        <v>0.1</v>
      </c>
      <c r="Y36">
        <f t="shared" si="9"/>
        <v>6.2079155473621361E-2</v>
      </c>
      <c r="Z36" s="61">
        <v>0.1</v>
      </c>
      <c r="AA36" s="36">
        <f t="shared" si="10"/>
        <v>7.3083986157051764E-2</v>
      </c>
    </row>
    <row r="37" spans="1:27">
      <c r="A37" s="3"/>
      <c r="B37" s="39"/>
      <c r="C37" s="52">
        <v>21</v>
      </c>
      <c r="D37" s="65">
        <f>Samples!I27</f>
        <v>850</v>
      </c>
      <c r="E37" s="65">
        <f>Samples!J27</f>
        <v>1.5915000000000001</v>
      </c>
      <c r="F37" s="65">
        <f>Samples!K27</f>
        <v>0.72599999999999998</v>
      </c>
      <c r="G37" s="65">
        <f>Samples!L27</f>
        <v>2.0392999999999999</v>
      </c>
      <c r="H37" s="39">
        <f>Samples!M27</f>
        <v>4.3304684973043415</v>
      </c>
      <c r="I37" s="7">
        <f t="shared" si="0"/>
        <v>0.18773780979466131</v>
      </c>
      <c r="J37" s="36">
        <f t="shared" si="1"/>
        <v>0.16784405979466133</v>
      </c>
      <c r="K37" s="3">
        <f t="shared" si="2"/>
        <v>6.6363900219011979E-2</v>
      </c>
      <c r="L37" s="39">
        <f t="shared" si="11"/>
        <v>5.8831746494727687E-2</v>
      </c>
      <c r="M37">
        <f t="shared" si="3"/>
        <v>1.9930381656740181</v>
      </c>
      <c r="N37">
        <f t="shared" si="4"/>
        <v>0.71020774470639358</v>
      </c>
      <c r="O37" s="97">
        <f t="shared" si="17"/>
        <v>2.8062748970696716</v>
      </c>
      <c r="P37">
        <f t="shared" si="5"/>
        <v>1.3747360049498751</v>
      </c>
      <c r="Q37" s="36">
        <f t="shared" si="19"/>
        <v>9.1905583982250572E-2</v>
      </c>
      <c r="R37" s="7">
        <f t="shared" si="20"/>
        <v>0.87059337965929218</v>
      </c>
      <c r="S37" s="36">
        <f t="shared" si="21"/>
        <v>0.31023096866539013</v>
      </c>
      <c r="T37">
        <f t="shared" si="7"/>
        <v>0.16448448227243559</v>
      </c>
      <c r="U37">
        <f t="shared" si="18"/>
        <v>1.1286761127844424E-5</v>
      </c>
      <c r="V37">
        <f t="shared" si="8"/>
        <v>6.9003504404924365E-2</v>
      </c>
      <c r="W37" s="36">
        <f t="shared" si="22"/>
        <v>1.0346465898364869E-4</v>
      </c>
      <c r="X37">
        <v>0.12</v>
      </c>
      <c r="Y37">
        <f t="shared" si="9"/>
        <v>6.9901398088489552E-2</v>
      </c>
      <c r="Z37">
        <v>0.12</v>
      </c>
      <c r="AA37" s="36">
        <f t="shared" si="10"/>
        <v>8.229288512838269E-2</v>
      </c>
    </row>
    <row r="38" spans="1:27">
      <c r="A38" s="3"/>
      <c r="B38" s="39"/>
      <c r="C38" s="99">
        <v>22</v>
      </c>
      <c r="D38" s="65">
        <f>Samples!I28</f>
        <v>1000</v>
      </c>
      <c r="E38" s="65">
        <f>Samples!J28</f>
        <v>1.3754500000000001</v>
      </c>
      <c r="F38" s="65">
        <f>Samples!K28</f>
        <v>0.56870000000000009</v>
      </c>
      <c r="G38" s="65">
        <f>Samples!L28</f>
        <v>2.1482999999999999</v>
      </c>
      <c r="H38" s="39">
        <f>Samples!M28</f>
        <v>2.7659422897807882</v>
      </c>
      <c r="I38" s="7">
        <f t="shared" si="0"/>
        <v>9.9545796027062178E-2</v>
      </c>
      <c r="J38" s="36">
        <f t="shared" si="1"/>
        <v>8.2352671027062174E-2</v>
      </c>
      <c r="K38" s="3">
        <f t="shared" si="2"/>
        <v>4.3923189777907122E-2</v>
      </c>
      <c r="L38" s="39">
        <f t="shared" si="11"/>
        <v>3.5988444597757095E-2</v>
      </c>
      <c r="M38">
        <f t="shared" si="3"/>
        <v>0.48928411726581578</v>
      </c>
      <c r="N38">
        <f t="shared" si="4"/>
        <v>0.21768150006304485</v>
      </c>
      <c r="O38" s="97">
        <f t="shared" si="17"/>
        <v>2.2477064753968961</v>
      </c>
      <c r="P38">
        <f t="shared" si="5"/>
        <v>0.35161218586329523</v>
      </c>
      <c r="Q38" s="36">
        <f t="shared" si="19"/>
        <v>8.0009568660524305E-2</v>
      </c>
      <c r="R38" s="7">
        <f t="shared" si="20"/>
        <v>0.6324466312601118</v>
      </c>
      <c r="S38" s="36">
        <f t="shared" si="21"/>
        <v>0.28137420885813635</v>
      </c>
      <c r="T38">
        <f t="shared" si="7"/>
        <v>0.11949052122183244</v>
      </c>
      <c r="U38">
        <f t="shared" si="18"/>
        <v>1.3792199170891981E-3</v>
      </c>
      <c r="V38">
        <f t="shared" si="8"/>
        <v>6.258500414675261E-2</v>
      </c>
      <c r="W38" s="36">
        <f t="shared" si="22"/>
        <v>7.0737697984326448E-4</v>
      </c>
      <c r="X38" s="61">
        <v>0.14000000000000001</v>
      </c>
      <c r="Y38">
        <f t="shared" si="9"/>
        <v>7.6814984464693731E-2</v>
      </c>
      <c r="Z38" s="61">
        <v>0.14000000000000001</v>
      </c>
      <c r="AA38" s="36">
        <f t="shared" si="10"/>
        <v>9.0432049509070647E-2</v>
      </c>
    </row>
    <row r="39" spans="1:27">
      <c r="A39" s="3"/>
      <c r="B39" s="39"/>
      <c r="C39" s="52">
        <v>23</v>
      </c>
      <c r="D39" s="65">
        <f>Samples!I29</f>
        <v>1000</v>
      </c>
      <c r="E39" s="65">
        <f>Samples!J29</f>
        <v>0.18875</v>
      </c>
      <c r="F39" s="65">
        <f>Samples!K29</f>
        <v>0.2077</v>
      </c>
      <c r="G39" s="65">
        <f>Samples!L29</f>
        <v>2.3765999999999998</v>
      </c>
      <c r="H39" s="39">
        <f>Samples!M29</f>
        <v>1.9128241923405216</v>
      </c>
      <c r="I39" s="7">
        <f t="shared" si="0"/>
        <v>5.1455708029154813E-2</v>
      </c>
      <c r="J39" s="36">
        <f t="shared" si="1"/>
        <v>4.9096333029154809E-2</v>
      </c>
      <c r="K39" s="3">
        <f t="shared" si="2"/>
        <v>0.16067890773577584</v>
      </c>
      <c r="L39" s="39">
        <f t="shared" si="11"/>
        <v>0.15190093659806483</v>
      </c>
      <c r="M39">
        <f t="shared" si="3"/>
        <v>7.6320099354102597E-2</v>
      </c>
      <c r="N39">
        <f t="shared" si="4"/>
        <v>0.24081452918578988</v>
      </c>
      <c r="O39" s="97">
        <f t="shared" si="17"/>
        <v>0.31692481185477467</v>
      </c>
      <c r="P39">
        <f t="shared" si="5"/>
        <v>3.8304774149185733E-2</v>
      </c>
      <c r="Q39" s="36">
        <f t="shared" si="19"/>
        <v>0.20279920398087303</v>
      </c>
      <c r="R39" s="7">
        <f t="shared" si="20"/>
        <v>0.15786142693901906</v>
      </c>
      <c r="S39" s="36">
        <f t="shared" si="21"/>
        <v>0.49810371745635507</v>
      </c>
      <c r="T39">
        <f t="shared" si="7"/>
        <v>2.9825353244719414E-2</v>
      </c>
      <c r="U39">
        <f t="shared" si="18"/>
        <v>3.713706618521177E-4</v>
      </c>
      <c r="V39">
        <f t="shared" si="8"/>
        <v>0.11079133140534629</v>
      </c>
      <c r="W39" s="36">
        <f t="shared" si="22"/>
        <v>1.6899996391011914E-3</v>
      </c>
      <c r="X39">
        <v>0.16</v>
      </c>
      <c r="Y39">
        <f t="shared" si="9"/>
        <v>8.296955196774046E-2</v>
      </c>
      <c r="Z39">
        <v>0.16</v>
      </c>
      <c r="AA39" s="36">
        <f t="shared" si="10"/>
        <v>9.7677643022120855E-2</v>
      </c>
    </row>
    <row r="40" spans="1:27">
      <c r="A40" s="3"/>
      <c r="B40" s="39"/>
      <c r="C40" s="52">
        <v>24</v>
      </c>
      <c r="D40" s="65">
        <f>Samples!I30</f>
        <v>1000</v>
      </c>
      <c r="E40" s="65">
        <f>Samples!J30</f>
        <v>0.35755000000000003</v>
      </c>
      <c r="F40" s="65">
        <f>Samples!K30</f>
        <v>0.33410000000000001</v>
      </c>
      <c r="G40" s="65">
        <f>Samples!L30</f>
        <v>2.6086999999999998</v>
      </c>
      <c r="H40" s="39">
        <f>Samples!M30</f>
        <v>2.6465210127703465</v>
      </c>
      <c r="I40" s="7">
        <f t="shared" si="0"/>
        <v>9.2814043720451753E-2</v>
      </c>
      <c r="J40" s="36">
        <f t="shared" si="1"/>
        <v>8.8344668720451755E-2</v>
      </c>
      <c r="K40" s="3">
        <f t="shared" si="2"/>
        <v>0.16673034840913997</v>
      </c>
      <c r="L40" s="39">
        <f t="shared" si="11"/>
        <v>0.15709511601540663</v>
      </c>
      <c r="M40">
        <f t="shared" si="3"/>
        <v>0.14546441424791962</v>
      </c>
      <c r="N40">
        <f t="shared" si="4"/>
        <v>0.26433260215727095</v>
      </c>
      <c r="O40" s="97">
        <f t="shared" si="17"/>
        <v>0.55030825959702134</v>
      </c>
      <c r="P40">
        <f t="shared" si="5"/>
        <v>7.4701463358274767E-2</v>
      </c>
      <c r="Q40" s="36">
        <f t="shared" si="19"/>
        <v>0.1935696512676261</v>
      </c>
      <c r="R40" s="7">
        <f t="shared" si="20"/>
        <v>0.2677042117095445</v>
      </c>
      <c r="S40" s="36">
        <f t="shared" si="21"/>
        <v>0.48646228189556595</v>
      </c>
      <c r="T40">
        <f t="shared" si="7"/>
        <v>5.0578363784970846E-2</v>
      </c>
      <c r="U40">
        <f t="shared" si="18"/>
        <v>1.4262937884797296E-3</v>
      </c>
      <c r="V40">
        <f t="shared" si="8"/>
        <v>0.10820197079620286</v>
      </c>
      <c r="W40" s="36">
        <f t="shared" si="22"/>
        <v>2.390539649426148E-3</v>
      </c>
      <c r="X40" s="61">
        <v>0.18</v>
      </c>
      <c r="Y40">
        <f t="shared" si="9"/>
        <v>8.8483591358878094E-2</v>
      </c>
      <c r="Z40" s="61">
        <v>0.18</v>
      </c>
      <c r="AA40" s="36">
        <f t="shared" si="10"/>
        <v>0.10416916139824599</v>
      </c>
    </row>
    <row r="41" spans="1:27">
      <c r="A41" s="3"/>
      <c r="B41" s="39"/>
      <c r="C41" s="52">
        <v>25</v>
      </c>
      <c r="D41" s="65">
        <f>Samples!I31</f>
        <v>900</v>
      </c>
      <c r="E41" s="65">
        <f>Samples!J31</f>
        <v>0.38905000000000001</v>
      </c>
      <c r="F41" s="65">
        <f>Samples!K31</f>
        <v>0.33107500000000001</v>
      </c>
      <c r="G41" s="65">
        <f>Samples!L31</f>
        <v>2.0920749999999999</v>
      </c>
      <c r="H41" s="39">
        <f>Samples!M31</f>
        <v>3.1443846680026737</v>
      </c>
      <c r="I41" s="7">
        <f t="shared" si="0"/>
        <v>0.12087851341453044</v>
      </c>
      <c r="J41" s="36">
        <f t="shared" si="1"/>
        <v>0.11601538841453045</v>
      </c>
      <c r="K41" s="3">
        <f t="shared" si="2"/>
        <v>0.16111980403470755</v>
      </c>
      <c r="L41" s="39">
        <f t="shared" si="11"/>
        <v>0.15339272586929192</v>
      </c>
      <c r="M41">
        <f t="shared" si="3"/>
        <v>0.35339990624602752</v>
      </c>
      <c r="N41">
        <f t="shared" si="4"/>
        <v>0.47538809152082373</v>
      </c>
      <c r="O41" s="97">
        <f t="shared" si="17"/>
        <v>0.74339242515616799</v>
      </c>
      <c r="P41">
        <f t="shared" si="5"/>
        <v>0.1512193180321367</v>
      </c>
      <c r="Q41" s="36">
        <f t="shared" si="19"/>
        <v>0.27320750330693289</v>
      </c>
      <c r="R41" s="7">
        <f t="shared" si="20"/>
        <v>0.42529586209677828</v>
      </c>
      <c r="S41" s="36">
        <f t="shared" si="21"/>
        <v>0.57210142006415277</v>
      </c>
      <c r="T41">
        <f t="shared" si="7"/>
        <v>8.0352747130898877E-2</v>
      </c>
      <c r="U41">
        <f t="shared" si="18"/>
        <v>1.2718239833249829E-3</v>
      </c>
      <c r="V41">
        <f t="shared" si="8"/>
        <v>0.12725036133333134</v>
      </c>
      <c r="W41" s="36">
        <f t="shared" si="22"/>
        <v>6.8342322353104952E-4</v>
      </c>
      <c r="X41">
        <v>0.2</v>
      </c>
      <c r="Y41">
        <f t="shared" si="9"/>
        <v>9.3452149804602147E-2</v>
      </c>
      <c r="Z41">
        <v>0.2</v>
      </c>
      <c r="AA41" s="36">
        <f t="shared" si="10"/>
        <v>0.11001850090516144</v>
      </c>
    </row>
    <row r="42" spans="1:27">
      <c r="A42" s="3"/>
      <c r="B42" s="39"/>
      <c r="C42" s="99">
        <v>26</v>
      </c>
      <c r="D42" s="65">
        <f>Samples!I32</f>
        <v>800</v>
      </c>
      <c r="E42" s="65">
        <f>Samples!J32</f>
        <v>0.22084999999999999</v>
      </c>
      <c r="F42" s="65">
        <f>Samples!K32</f>
        <v>0.233125</v>
      </c>
      <c r="G42" s="65">
        <f>Samples!L32</f>
        <v>1.8730249999999999</v>
      </c>
      <c r="H42" s="39">
        <f>Samples!M32</f>
        <v>2.6878226147974358</v>
      </c>
      <c r="I42" s="7">
        <f t="shared" si="0"/>
        <v>9.5142206353382358E-2</v>
      </c>
      <c r="J42" s="36">
        <f t="shared" si="1"/>
        <v>9.2381581353382355E-2</v>
      </c>
      <c r="K42" s="3">
        <f t="shared" si="2"/>
        <v>0.19252120025404615</v>
      </c>
      <c r="L42" s="39">
        <f t="shared" si="11"/>
        <v>0.18560318317493685</v>
      </c>
      <c r="M42">
        <f t="shared" si="3"/>
        <v>0.50468419932210584</v>
      </c>
      <c r="N42">
        <f t="shared" si="4"/>
        <v>1.0299828389958838</v>
      </c>
      <c r="O42" s="97">
        <f t="shared" si="17"/>
        <v>0.48999282338928635</v>
      </c>
      <c r="P42">
        <f t="shared" si="5"/>
        <v>0.12120699424883086</v>
      </c>
      <c r="Q42" s="36">
        <f t="shared" si="19"/>
        <v>0.64650563392260885</v>
      </c>
      <c r="R42" s="7">
        <f t="shared" si="20"/>
        <v>0.37231416927987038</v>
      </c>
      <c r="S42" s="36">
        <f t="shared" si="21"/>
        <v>0.75983596393222408</v>
      </c>
      <c r="T42">
        <f t="shared" si="7"/>
        <v>7.0342716597107294E-2</v>
      </c>
      <c r="U42">
        <f t="shared" si="18"/>
        <v>4.8571155974538302E-4</v>
      </c>
      <c r="V42">
        <f t="shared" si="8"/>
        <v>0.16900744793395778</v>
      </c>
      <c r="W42" s="36">
        <f t="shared" si="22"/>
        <v>2.7541842818867466E-4</v>
      </c>
      <c r="X42" s="61">
        <v>0.22</v>
      </c>
      <c r="Y42">
        <f t="shared" si="9"/>
        <v>9.7952355552956505E-2</v>
      </c>
      <c r="Z42" s="61">
        <v>0.22</v>
      </c>
      <c r="AA42" s="36">
        <f t="shared" si="10"/>
        <v>0.11531646238848682</v>
      </c>
    </row>
    <row r="43" spans="1:27">
      <c r="A43" s="3"/>
      <c r="B43" s="39"/>
      <c r="C43" s="52">
        <v>27</v>
      </c>
      <c r="D43" s="65">
        <f>Samples!I33</f>
        <v>900</v>
      </c>
      <c r="E43" s="65">
        <f>Samples!J33</f>
        <v>0.58514999999999995</v>
      </c>
      <c r="F43" s="65">
        <f>Samples!K33</f>
        <v>0.40847499999999998</v>
      </c>
      <c r="G43" s="65">
        <f>Samples!L33</f>
        <v>2.389875</v>
      </c>
      <c r="H43" s="39">
        <f>Samples!M33</f>
        <v>3.0627392865677514</v>
      </c>
      <c r="I43" s="7">
        <f t="shared" si="0"/>
        <v>0.11627618040857397</v>
      </c>
      <c r="J43" s="36">
        <f t="shared" si="1"/>
        <v>0.10896180540857398</v>
      </c>
      <c r="K43" s="3">
        <f t="shared" si="2"/>
        <v>0.12305496723655505</v>
      </c>
      <c r="L43" s="39">
        <f t="shared" si="11"/>
        <v>0.11422796489171912</v>
      </c>
      <c r="M43">
        <f t="shared" si="3"/>
        <v>0.50802870332490802</v>
      </c>
      <c r="N43">
        <f t="shared" si="4"/>
        <v>0.54305802383916857</v>
      </c>
      <c r="O43" s="97">
        <f t="shared" ref="O43:O45" si="23">M43/N43</f>
        <v>0.93549617356425474</v>
      </c>
      <c r="P43">
        <f t="shared" si="5"/>
        <v>0.22402444000880922</v>
      </c>
      <c r="Q43" s="36">
        <f t="shared" ref="Q43:Q45" si="24">N43-(M43-P43)/ND_NA</f>
        <v>0.25905376052306978</v>
      </c>
      <c r="R43" s="7">
        <f t="shared" ref="R43:R45" si="25">1-Q43/N43</f>
        <v>0.52297222552448497</v>
      </c>
      <c r="S43" s="36">
        <f t="shared" ref="S43:S45" si="26">1-P43/M43</f>
        <v>0.55903192370306853</v>
      </c>
      <c r="T43">
        <f t="shared" si="7"/>
        <v>9.8807109918435956E-2</v>
      </c>
      <c r="U43">
        <f t="shared" ref="U43:U45" si="27">(J43-T43)^2</f>
        <v>1.0311784049742942E-4</v>
      </c>
      <c r="V43">
        <f t="shared" si="8"/>
        <v>0.1243433625459377</v>
      </c>
      <c r="W43" s="36">
        <f t="shared" ref="W43:W45" si="28">(L43-V43)^2</f>
        <v>1.0232126970297076E-4</v>
      </c>
      <c r="X43">
        <v>0.24</v>
      </c>
      <c r="Y43">
        <f t="shared" si="9"/>
        <v>0.10204745060775304</v>
      </c>
      <c r="Z43">
        <v>0.24</v>
      </c>
      <c r="AA43" s="36">
        <f t="shared" si="10"/>
        <v>0.12013749882194368</v>
      </c>
    </row>
    <row r="44" spans="1:27">
      <c r="A44" s="3"/>
      <c r="B44" s="39"/>
      <c r="C44" s="52">
        <v>28</v>
      </c>
      <c r="D44" s="65">
        <f>Samples!I34</f>
        <v>1100</v>
      </c>
      <c r="E44" s="65">
        <f>Samples!J34</f>
        <v>1.478175</v>
      </c>
      <c r="F44" s="65">
        <f>Samples!K34</f>
        <v>0.59332499999999999</v>
      </c>
      <c r="G44" s="65">
        <f>Samples!L34</f>
        <v>1.965325</v>
      </c>
      <c r="H44" s="39">
        <f>Samples!M34</f>
        <v>2.9879635023997819</v>
      </c>
      <c r="I44" s="7">
        <f t="shared" si="0"/>
        <v>0.11206108515794021</v>
      </c>
      <c r="J44" s="36">
        <f t="shared" si="1"/>
        <v>9.3583897657940202E-2</v>
      </c>
      <c r="K44" s="3">
        <f t="shared" si="2"/>
        <v>4.2167788998275835E-2</v>
      </c>
      <c r="L44" s="39">
        <f t="shared" si="11"/>
        <v>3.4908861906538954E-2</v>
      </c>
      <c r="M44">
        <f t="shared" si="3"/>
        <v>0.25842848680896696</v>
      </c>
      <c r="N44">
        <f t="shared" si="4"/>
        <v>9.7981770077940455E-2</v>
      </c>
      <c r="O44" s="97">
        <f t="shared" si="23"/>
        <v>2.6375160053079032</v>
      </c>
      <c r="P44">
        <f t="shared" si="5"/>
        <v>0.20889767049264987</v>
      </c>
      <c r="Q44" s="36">
        <f t="shared" si="24"/>
        <v>4.8450953761623367E-2</v>
      </c>
      <c r="R44" s="7">
        <f t="shared" si="25"/>
        <v>0.50551052789633588</v>
      </c>
      <c r="S44" s="36">
        <f t="shared" si="26"/>
        <v>0.1916615963198004</v>
      </c>
      <c r="T44">
        <f t="shared" si="7"/>
        <v>9.5508005697027845E-2</v>
      </c>
      <c r="U44">
        <f t="shared" si="27"/>
        <v>3.702191746081697E-6</v>
      </c>
      <c r="V44">
        <f t="shared" si="8"/>
        <v>4.263056606760883E-2</v>
      </c>
      <c r="W44" s="36">
        <f t="shared" si="28"/>
        <v>5.962471515108383E-5</v>
      </c>
      <c r="X44" s="61">
        <v>0.26</v>
      </c>
      <c r="Y44">
        <f t="shared" si="9"/>
        <v>0.10578978124090999</v>
      </c>
      <c r="Z44" s="61">
        <v>0.26</v>
      </c>
      <c r="AA44" s="36">
        <f t="shared" si="10"/>
        <v>0.12454323595064817</v>
      </c>
    </row>
    <row r="45" spans="1:27">
      <c r="A45" s="3"/>
      <c r="B45" s="39"/>
      <c r="C45" s="52">
        <v>29</v>
      </c>
      <c r="D45" s="65">
        <f>Samples!I35</f>
        <v>750</v>
      </c>
      <c r="E45" s="65">
        <f>Samples!J35</f>
        <v>0.42572500000000002</v>
      </c>
      <c r="F45" s="65">
        <f>Samples!K35</f>
        <v>0.33250000000000002</v>
      </c>
      <c r="G45" s="65">
        <f>Samples!L35</f>
        <v>1.9362999999999999</v>
      </c>
      <c r="H45" s="39">
        <f>Samples!M35</f>
        <v>3.27502345557359</v>
      </c>
      <c r="I45" s="7">
        <f t="shared" si="0"/>
        <v>0.12824259443575761</v>
      </c>
      <c r="J45" s="36">
        <f t="shared" si="1"/>
        <v>0.12292103193575761</v>
      </c>
      <c r="K45" s="3">
        <f t="shared" si="2"/>
        <v>0.147010257477248</v>
      </c>
      <c r="L45" s="39">
        <f t="shared" si="11"/>
        <v>0.13985853421125885</v>
      </c>
      <c r="M45">
        <f t="shared" si="3"/>
        <v>1.492906047789309</v>
      </c>
      <c r="N45">
        <f t="shared" si="4"/>
        <v>1.7257341611264179</v>
      </c>
      <c r="O45" s="97">
        <f t="shared" si="23"/>
        <v>0.86508460075615723</v>
      </c>
      <c r="P45">
        <f t="shared" si="5"/>
        <v>0.37542193656957312</v>
      </c>
      <c r="Q45" s="36">
        <f t="shared" si="24"/>
        <v>0.60825004990668208</v>
      </c>
      <c r="R45" s="7">
        <f t="shared" si="25"/>
        <v>0.64754128207691841</v>
      </c>
      <c r="S45" s="36">
        <f t="shared" si="26"/>
        <v>0.74852942881067641</v>
      </c>
      <c r="T45">
        <f t="shared" si="7"/>
        <v>0.12234241038466673</v>
      </c>
      <c r="U45">
        <f t="shared" si="27"/>
        <v>3.3480289938681892E-7</v>
      </c>
      <c r="V45">
        <f t="shared" si="8"/>
        <v>0.16649257796652508</v>
      </c>
      <c r="W45" s="36">
        <f t="shared" si="28"/>
        <v>7.0937228675743626E-4</v>
      </c>
      <c r="X45">
        <v>0.28000000000000003</v>
      </c>
      <c r="Y45">
        <f t="shared" si="9"/>
        <v>0.10922304758101391</v>
      </c>
      <c r="Z45">
        <v>0.28000000000000003</v>
      </c>
      <c r="AA45" s="36">
        <f t="shared" si="10"/>
        <v>0.12858512066636804</v>
      </c>
    </row>
    <row r="46" spans="1:27">
      <c r="A46" s="3"/>
      <c r="B46" s="39"/>
      <c r="C46" s="52"/>
      <c r="D46" s="65"/>
      <c r="E46" s="65"/>
      <c r="F46" s="65"/>
      <c r="G46" s="65"/>
      <c r="H46" s="39"/>
      <c r="I46" s="7"/>
      <c r="J46" s="36"/>
      <c r="K46" s="3"/>
      <c r="L46" s="39"/>
      <c r="O46" s="97"/>
      <c r="P46"/>
      <c r="Q46" s="36"/>
      <c r="R46" s="7"/>
      <c r="S46" s="36"/>
      <c r="W46" s="36"/>
      <c r="X46" s="61">
        <v>0.3</v>
      </c>
      <c r="Y46">
        <f t="shared" si="9"/>
        <v>0.11238401795016423</v>
      </c>
      <c r="Z46" s="61">
        <v>0.3</v>
      </c>
      <c r="AA46" s="36">
        <f t="shared" si="10"/>
        <v>0.132306439246483</v>
      </c>
    </row>
    <row r="47" spans="1:27">
      <c r="A47" s="3"/>
      <c r="B47" s="39"/>
      <c r="C47" s="52"/>
      <c r="D47" s="65"/>
      <c r="E47" s="65"/>
      <c r="F47" s="65"/>
      <c r="G47" s="65"/>
      <c r="H47" s="39"/>
      <c r="I47" s="7"/>
      <c r="J47" s="36"/>
      <c r="K47" s="3"/>
      <c r="L47" s="39"/>
      <c r="O47" s="97"/>
      <c r="P47"/>
      <c r="Q47" s="36"/>
      <c r="R47" s="7"/>
      <c r="S47" s="36"/>
      <c r="W47" s="36"/>
      <c r="X47" s="61">
        <v>0.32</v>
      </c>
      <c r="Y47">
        <f t="shared" si="9"/>
        <v>0.11530385086164961</v>
      </c>
      <c r="Z47" s="61">
        <v>0.32</v>
      </c>
      <c r="AA47" s="36">
        <f t="shared" si="10"/>
        <v>0.13574387370344135</v>
      </c>
    </row>
    <row r="48" spans="1:27">
      <c r="A48" s="3"/>
      <c r="B48" s="39"/>
      <c r="C48" s="99"/>
      <c r="D48" s="65"/>
      <c r="E48" s="65"/>
      <c r="F48" s="65"/>
      <c r="G48" s="65"/>
      <c r="H48" s="39"/>
      <c r="I48" s="7"/>
      <c r="J48" s="36"/>
      <c r="K48" s="3"/>
      <c r="L48" s="39"/>
      <c r="O48" s="97"/>
      <c r="P48"/>
      <c r="Q48" s="36"/>
      <c r="R48" s="7"/>
      <c r="S48" s="36"/>
      <c r="W48" s="36"/>
      <c r="X48" s="61">
        <v>0.34</v>
      </c>
      <c r="Y48">
        <f t="shared" si="9"/>
        <v>0.11800912558441345</v>
      </c>
      <c r="Z48" s="61">
        <v>0.34</v>
      </c>
      <c r="AA48" s="36">
        <f t="shared" si="10"/>
        <v>0.13892871503836426</v>
      </c>
    </row>
    <row r="49" spans="1:27">
      <c r="A49" s="3"/>
      <c r="B49" s="39"/>
      <c r="C49" s="52"/>
      <c r="D49" s="65"/>
      <c r="H49" s="36"/>
      <c r="I49" s="7"/>
      <c r="J49" s="36"/>
      <c r="K49" s="3"/>
      <c r="L49" s="39"/>
      <c r="O49" s="97"/>
      <c r="P49"/>
      <c r="Q49" s="36"/>
      <c r="R49" s="7"/>
      <c r="S49" s="36"/>
      <c r="W49" s="36"/>
      <c r="X49" s="61">
        <v>0.36</v>
      </c>
      <c r="Y49">
        <f t="shared" ref="Y49:Y80" si="29">X49/(X49+Kd_EFF)*EAmax</f>
        <v>0.12052265357187668</v>
      </c>
      <c r="Z49" s="61">
        <v>0.36</v>
      </c>
      <c r="AA49" s="36">
        <f t="shared" ref="AA49:AA80" si="30">EDmax*(1-(Kd_EFF/(Kd_EFF+Z49))^ND_NA)</f>
        <v>0.14188781851262436</v>
      </c>
    </row>
    <row r="50" spans="1:27">
      <c r="A50" s="3"/>
      <c r="B50" s="39"/>
      <c r="C50" s="52"/>
      <c r="D50" s="65"/>
      <c r="H50" s="36"/>
      <c r="I50" s="7"/>
      <c r="J50" s="36"/>
      <c r="K50" s="3"/>
      <c r="L50" s="39"/>
      <c r="O50" s="97"/>
      <c r="P50"/>
      <c r="Q50" s="36"/>
      <c r="R50" s="7"/>
      <c r="S50" s="36"/>
      <c r="W50" s="36"/>
      <c r="X50" s="61">
        <v>0.38</v>
      </c>
      <c r="Y50">
        <f t="shared" si="29"/>
        <v>0.12286412325677025</v>
      </c>
      <c r="Z50" s="61">
        <v>0.38</v>
      </c>
      <c r="AA50" s="36">
        <f t="shared" si="30"/>
        <v>0.1446443627460689</v>
      </c>
    </row>
    <row r="51" spans="1:27">
      <c r="A51" s="3"/>
      <c r="B51" s="39"/>
      <c r="C51" s="52"/>
      <c r="D51" s="65"/>
      <c r="H51" s="36"/>
      <c r="I51" s="7"/>
      <c r="J51" s="36"/>
      <c r="K51" s="3"/>
      <c r="L51" s="39"/>
      <c r="O51" s="97"/>
      <c r="P51"/>
      <c r="Q51" s="36"/>
      <c r="R51" s="7"/>
      <c r="S51" s="36"/>
      <c r="W51" s="36"/>
      <c r="X51" s="61">
        <v>0.4</v>
      </c>
      <c r="Y51">
        <f t="shared" si="29"/>
        <v>0.12505061681380883</v>
      </c>
      <c r="Z51" s="61">
        <v>0.4</v>
      </c>
      <c r="AA51" s="36">
        <f t="shared" si="30"/>
        <v>0.14721845808670206</v>
      </c>
    </row>
    <row r="52" spans="1:27">
      <c r="A52" s="3"/>
      <c r="B52" s="39"/>
      <c r="C52" s="52"/>
      <c r="D52" s="65"/>
      <c r="H52" s="36"/>
      <c r="I52" s="7"/>
      <c r="J52" s="36"/>
      <c r="K52" s="3"/>
      <c r="L52" s="39"/>
      <c r="O52" s="97"/>
      <c r="P52"/>
      <c r="Q52" s="36"/>
      <c r="R52" s="7"/>
      <c r="S52" s="36"/>
      <c r="W52" s="36"/>
      <c r="X52" s="61">
        <v>0.42</v>
      </c>
      <c r="Y52">
        <f t="shared" si="29"/>
        <v>0.12709702759957334</v>
      </c>
      <c r="Z52" s="61">
        <v>0.42</v>
      </c>
      <c r="AA52" s="36">
        <f t="shared" si="30"/>
        <v>0.1496276380505307</v>
      </c>
    </row>
    <row r="53" spans="1:27">
      <c r="A53" s="3"/>
      <c r="B53" s="39"/>
      <c r="C53" s="52"/>
      <c r="D53" s="65"/>
      <c r="H53" s="36"/>
      <c r="I53" s="7"/>
      <c r="J53" s="36"/>
      <c r="K53" s="3"/>
      <c r="L53" s="39"/>
      <c r="O53" s="97"/>
      <c r="P53"/>
      <c r="Q53" s="36"/>
      <c r="R53" s="7"/>
      <c r="S53" s="36"/>
      <c r="W53" s="36"/>
      <c r="X53" s="61">
        <v>0.44</v>
      </c>
      <c r="Y53">
        <f t="shared" si="29"/>
        <v>0.12901639985000934</v>
      </c>
      <c r="Z53" s="61">
        <v>0.44</v>
      </c>
      <c r="AA53" s="36">
        <f t="shared" si="30"/>
        <v>0.15188725923756025</v>
      </c>
    </row>
    <row r="54" spans="1:27">
      <c r="A54" s="3"/>
      <c r="B54" s="39"/>
      <c r="C54" s="52"/>
      <c r="D54" s="65"/>
      <c r="H54" s="36"/>
      <c r="I54" s="7"/>
      <c r="J54" s="36"/>
      <c r="K54" s="3"/>
      <c r="L54" s="39"/>
      <c r="O54" s="97"/>
      <c r="P54"/>
      <c r="Q54" s="36"/>
      <c r="R54" s="7"/>
      <c r="S54" s="36"/>
      <c r="W54" s="36"/>
      <c r="X54" s="61">
        <v>0.46</v>
      </c>
      <c r="Y54">
        <f t="shared" si="29"/>
        <v>0.13082020701853692</v>
      </c>
      <c r="Z54" s="61">
        <v>0.46</v>
      </c>
      <c r="AA54" s="36">
        <f t="shared" si="30"/>
        <v>0.15401082901116447</v>
      </c>
    </row>
    <row r="55" spans="1:27">
      <c r="A55" s="3"/>
      <c r="B55" s="39"/>
      <c r="C55" s="52"/>
      <c r="D55" s="65"/>
      <c r="H55" s="36"/>
      <c r="I55" s="7"/>
      <c r="J55" s="36"/>
      <c r="K55" s="3"/>
      <c r="L55" s="39"/>
      <c r="O55" s="97"/>
      <c r="P55"/>
      <c r="Q55" s="36"/>
      <c r="R55" s="7"/>
      <c r="S55" s="36"/>
      <c r="W55" s="36"/>
      <c r="X55" s="61">
        <v>0.48</v>
      </c>
      <c r="Y55">
        <f t="shared" si="29"/>
        <v>0.13251858130741054</v>
      </c>
      <c r="Z55" s="61">
        <v>0.48</v>
      </c>
      <c r="AA55" s="36">
        <f t="shared" si="30"/>
        <v>0.15601027571868734</v>
      </c>
    </row>
    <row r="56" spans="1:27">
      <c r="A56" s="3"/>
      <c r="B56" s="39"/>
      <c r="C56" s="52"/>
      <c r="D56" s="65"/>
      <c r="H56" s="36"/>
      <c r="I56" s="7"/>
      <c r="J56" s="36"/>
      <c r="K56" s="3"/>
      <c r="L56" s="39"/>
      <c r="O56" s="97"/>
      <c r="P56"/>
      <c r="Q56" s="36"/>
      <c r="R56" s="7"/>
      <c r="S56" s="36"/>
      <c r="W56" s="36"/>
      <c r="X56" s="61">
        <v>0.5</v>
      </c>
      <c r="Y56">
        <f t="shared" si="29"/>
        <v>0.13412050409348594</v>
      </c>
      <c r="Z56" s="61">
        <v>0.5</v>
      </c>
      <c r="AA56" s="36">
        <f t="shared" si="30"/>
        <v>0.15789617287416566</v>
      </c>
    </row>
    <row r="57" spans="1:27">
      <c r="A57" s="3"/>
      <c r="B57" s="39"/>
      <c r="C57" s="52"/>
      <c r="D57" s="65"/>
      <c r="H57" s="36"/>
      <c r="I57" s="7"/>
      <c r="J57" s="36"/>
      <c r="K57" s="3"/>
      <c r="L57" s="39"/>
      <c r="O57" s="97"/>
      <c r="P57"/>
      <c r="Q57" s="36"/>
      <c r="R57" s="7"/>
      <c r="S57" s="36"/>
      <c r="W57" s="36"/>
      <c r="X57" s="61">
        <v>0.55000000000000004</v>
      </c>
      <c r="Y57">
        <f t="shared" si="29"/>
        <v>0.13775368121760723</v>
      </c>
      <c r="Z57" s="61">
        <v>0.55000000000000004</v>
      </c>
      <c r="AA57" s="36">
        <f t="shared" si="30"/>
        <v>0.16217340674791292</v>
      </c>
    </row>
    <row r="58" spans="1:27">
      <c r="A58" s="3"/>
      <c r="B58" s="39"/>
      <c r="C58" s="52"/>
      <c r="D58" s="65"/>
      <c r="H58" s="36"/>
      <c r="I58" s="7"/>
      <c r="J58" s="36"/>
      <c r="K58" s="3"/>
      <c r="L58" s="39"/>
      <c r="O58" s="97"/>
      <c r="P58"/>
      <c r="Q58" s="36"/>
      <c r="R58" s="7"/>
      <c r="S58" s="36"/>
      <c r="W58" s="36"/>
      <c r="X58" s="61">
        <v>0.6</v>
      </c>
      <c r="Y58">
        <f t="shared" si="29"/>
        <v>0.14093516351930993</v>
      </c>
      <c r="Z58" s="61">
        <v>0.6</v>
      </c>
      <c r="AA58" s="36">
        <f t="shared" si="30"/>
        <v>0.16591887343028991</v>
      </c>
    </row>
    <row r="59" spans="1:27">
      <c r="A59" s="3"/>
      <c r="B59" s="39"/>
      <c r="C59" s="52"/>
      <c r="D59" s="65"/>
      <c r="H59" s="36"/>
      <c r="I59" s="7"/>
      <c r="J59" s="36"/>
      <c r="K59" s="3"/>
      <c r="L59" s="39"/>
      <c r="O59" s="97"/>
      <c r="P59"/>
      <c r="Q59" s="36"/>
      <c r="R59" s="7"/>
      <c r="S59" s="36"/>
      <c r="W59" s="36"/>
      <c r="X59" s="61">
        <v>0.65</v>
      </c>
      <c r="Y59">
        <f t="shared" si="29"/>
        <v>0.14374425661484447</v>
      </c>
      <c r="Z59" s="61">
        <v>0.65</v>
      </c>
      <c r="AA59" s="36">
        <f t="shared" si="30"/>
        <v>0.16922593711924669</v>
      </c>
    </row>
    <row r="60" spans="1:27">
      <c r="A60" s="3"/>
      <c r="B60" s="39"/>
      <c r="C60" s="52"/>
      <c r="D60" s="65"/>
      <c r="H60" s="36"/>
      <c r="I60" s="7"/>
      <c r="J60" s="36"/>
      <c r="K60" s="3"/>
      <c r="L60" s="39"/>
      <c r="O60" s="97"/>
      <c r="P60"/>
      <c r="Q60" s="36"/>
      <c r="R60" s="7"/>
      <c r="S60" s="36"/>
      <c r="W60" s="36"/>
      <c r="X60" s="61">
        <v>0.7</v>
      </c>
      <c r="Y60">
        <f t="shared" si="29"/>
        <v>0.14624272729098606</v>
      </c>
      <c r="Z60" s="61">
        <v>0.7</v>
      </c>
      <c r="AA60" s="36">
        <f t="shared" si="30"/>
        <v>0.17216731405834695</v>
      </c>
    </row>
    <row r="61" spans="1:27">
      <c r="A61" s="3"/>
      <c r="B61" s="39"/>
      <c r="C61" s="52"/>
      <c r="D61" s="65"/>
      <c r="H61" s="36"/>
      <c r="I61" s="7"/>
      <c r="J61" s="36"/>
      <c r="K61" s="3"/>
      <c r="L61" s="39"/>
      <c r="O61" s="97"/>
      <c r="P61"/>
      <c r="Q61" s="36"/>
      <c r="R61" s="7"/>
      <c r="S61" s="36"/>
      <c r="W61" s="36"/>
      <c r="X61" s="61">
        <v>0.75</v>
      </c>
      <c r="Y61">
        <f t="shared" si="29"/>
        <v>0.14847939798092602</v>
      </c>
      <c r="Z61" s="61">
        <v>0.75</v>
      </c>
      <c r="AA61" s="36">
        <f t="shared" si="30"/>
        <v>0.17480048147975161</v>
      </c>
    </row>
    <row r="62" spans="1:27">
      <c r="A62" s="3"/>
      <c r="B62" s="39"/>
      <c r="C62" s="52"/>
      <c r="D62" s="65"/>
      <c r="H62" s="36"/>
      <c r="I62" s="7"/>
      <c r="J62" s="36"/>
      <c r="K62" s="3"/>
      <c r="L62" s="39"/>
      <c r="O62" s="97"/>
      <c r="P62"/>
      <c r="Q62" s="36"/>
      <c r="R62" s="7"/>
      <c r="S62" s="36"/>
      <c r="W62" s="36"/>
      <c r="X62" s="61">
        <v>0.8</v>
      </c>
      <c r="Y62">
        <f t="shared" si="29"/>
        <v>0.15049336885808814</v>
      </c>
      <c r="Z62" s="61">
        <v>0.8</v>
      </c>
      <c r="AA62" s="36">
        <f t="shared" si="30"/>
        <v>0.17717147088165747</v>
      </c>
    </row>
    <row r="63" spans="1:27">
      <c r="A63" s="3"/>
      <c r="B63" s="39"/>
      <c r="C63" s="52"/>
      <c r="D63" s="65"/>
      <c r="H63" s="36"/>
      <c r="I63" s="7"/>
      <c r="J63" s="36"/>
      <c r="K63" s="3"/>
      <c r="L63" s="39"/>
      <c r="O63" s="97"/>
      <c r="P63"/>
      <c r="Q63" s="36"/>
      <c r="R63" s="7"/>
      <c r="S63" s="36"/>
      <c r="W63" s="36"/>
      <c r="X63" s="61">
        <v>0.85</v>
      </c>
      <c r="Y63">
        <f t="shared" si="29"/>
        <v>0.15231632312407345</v>
      </c>
      <c r="Z63" s="61">
        <v>0.85</v>
      </c>
      <c r="AA63" s="36">
        <f t="shared" si="30"/>
        <v>0.17931758197681924</v>
      </c>
    </row>
    <row r="64" spans="1:27">
      <c r="A64" s="3"/>
      <c r="B64" s="39"/>
      <c r="C64" s="52"/>
      <c r="D64" s="65"/>
      <c r="H64" s="36"/>
      <c r="I64" s="7"/>
      <c r="J64" s="36"/>
      <c r="K64" s="3"/>
      <c r="L64" s="39"/>
      <c r="O64" s="97"/>
      <c r="P64"/>
      <c r="Q64" s="36"/>
      <c r="R64" s="7"/>
      <c r="S64" s="36"/>
      <c r="W64" s="36"/>
      <c r="X64" s="61">
        <v>0.9</v>
      </c>
      <c r="Y64">
        <f t="shared" si="29"/>
        <v>0.15397420605441056</v>
      </c>
      <c r="Z64" s="61">
        <v>0.9</v>
      </c>
      <c r="AA64" s="36">
        <f t="shared" si="30"/>
        <v>0.18126935938433011</v>
      </c>
    </row>
    <row r="65" spans="1:27">
      <c r="A65" s="3"/>
      <c r="B65" s="39"/>
      <c r="C65" s="52"/>
      <c r="D65" s="65"/>
      <c r="H65" s="36"/>
      <c r="I65" s="7"/>
      <c r="J65" s="36"/>
      <c r="K65" s="3"/>
      <c r="L65" s="39"/>
      <c r="O65" s="97"/>
      <c r="P65"/>
      <c r="Q65" s="36"/>
      <c r="R65" s="7"/>
      <c r="S65" s="36"/>
      <c r="W65" s="36"/>
      <c r="X65" s="61">
        <v>0.95</v>
      </c>
      <c r="Y65">
        <f t="shared" si="29"/>
        <v>0.15548846768042937</v>
      </c>
      <c r="Z65" s="61">
        <v>0.95</v>
      </c>
      <c r="AA65" s="36">
        <f t="shared" si="30"/>
        <v>0.18305205560288831</v>
      </c>
    </row>
    <row r="66" spans="1:27">
      <c r="A66" s="3"/>
      <c r="B66" s="39"/>
      <c r="C66" s="52"/>
      <c r="D66" s="65"/>
      <c r="H66" s="36"/>
      <c r="I66" s="7"/>
      <c r="J66" s="36"/>
      <c r="K66" s="3"/>
      <c r="L66" s="39"/>
      <c r="O66" s="97"/>
      <c r="P66"/>
      <c r="Q66" s="36"/>
      <c r="R66" s="7"/>
      <c r="S66" s="36"/>
      <c r="W66" s="36"/>
      <c r="X66" s="61">
        <v>1</v>
      </c>
      <c r="Y66">
        <f t="shared" si="29"/>
        <v>0.15687699592106197</v>
      </c>
      <c r="Z66" s="61">
        <v>1</v>
      </c>
      <c r="AA66" s="36">
        <f t="shared" si="30"/>
        <v>0.18468672955975599</v>
      </c>
    </row>
    <row r="67" spans="1:27">
      <c r="A67" s="3"/>
      <c r="B67" s="39"/>
      <c r="C67" s="52"/>
      <c r="D67" s="65"/>
      <c r="H67" s="36"/>
      <c r="I67" s="7"/>
      <c r="J67" s="36"/>
      <c r="K67" s="3"/>
      <c r="L67" s="39"/>
      <c r="O67" s="97"/>
      <c r="P67"/>
      <c r="Q67" s="36"/>
      <c r="R67" s="7"/>
      <c r="S67" s="36"/>
      <c r="W67" s="36"/>
      <c r="X67" s="61">
        <v>1.1000000000000001</v>
      </c>
      <c r="Y67">
        <f t="shared" si="29"/>
        <v>0.15933468980332235</v>
      </c>
      <c r="Z67" s="61">
        <v>1.1000000000000001</v>
      </c>
      <c r="AA67" s="36">
        <f t="shared" si="30"/>
        <v>0.18758010116410576</v>
      </c>
    </row>
    <row r="68" spans="1:27">
      <c r="A68" s="3"/>
      <c r="B68" s="39"/>
      <c r="C68" s="52"/>
      <c r="D68" s="65"/>
      <c r="H68" s="36"/>
      <c r="I68" s="7"/>
      <c r="J68" s="36"/>
      <c r="K68" s="3"/>
      <c r="L68" s="39"/>
      <c r="O68" s="97"/>
      <c r="P68"/>
      <c r="Q68" s="36"/>
      <c r="R68" s="7"/>
      <c r="S68" s="36"/>
      <c r="W68" s="36"/>
      <c r="X68" s="61">
        <v>1.2</v>
      </c>
      <c r="Y68">
        <f t="shared" si="29"/>
        <v>0.16144237043029269</v>
      </c>
      <c r="Z68" s="61">
        <v>1.2</v>
      </c>
      <c r="AA68" s="36">
        <f t="shared" si="30"/>
        <v>0.19006141233191695</v>
      </c>
    </row>
    <row r="69" spans="1:27">
      <c r="A69" s="3"/>
      <c r="B69" s="39"/>
      <c r="C69" s="52"/>
      <c r="D69" s="65"/>
      <c r="H69" s="36"/>
      <c r="I69" s="7"/>
      <c r="J69" s="36"/>
      <c r="K69" s="3"/>
      <c r="L69" s="39"/>
      <c r="O69" s="97"/>
      <c r="P69"/>
      <c r="Q69" s="36"/>
      <c r="R69" s="7"/>
      <c r="S69" s="36"/>
      <c r="W69" s="36"/>
      <c r="X69" s="61">
        <v>1.3</v>
      </c>
      <c r="Y69">
        <f t="shared" si="29"/>
        <v>0.16326983834237876</v>
      </c>
      <c r="Z69" s="61">
        <v>1.3</v>
      </c>
      <c r="AA69" s="36">
        <f t="shared" si="30"/>
        <v>0.19221283721149843</v>
      </c>
    </row>
    <row r="70" spans="1:27">
      <c r="A70" s="3"/>
      <c r="B70" s="39"/>
      <c r="C70" s="52"/>
      <c r="D70" s="65"/>
      <c r="H70" s="36"/>
      <c r="I70" s="7"/>
      <c r="J70" s="36"/>
      <c r="K70" s="3"/>
      <c r="L70" s="39"/>
      <c r="O70" s="97"/>
      <c r="P70"/>
      <c r="Q70" s="36"/>
      <c r="R70" s="7"/>
      <c r="S70" s="36"/>
      <c r="W70" s="36"/>
      <c r="X70" s="61">
        <v>1.4</v>
      </c>
      <c r="Y70">
        <f t="shared" si="29"/>
        <v>0.16486949118632868</v>
      </c>
      <c r="Z70" s="61">
        <v>1.4</v>
      </c>
      <c r="AA70" s="36">
        <f t="shared" si="30"/>
        <v>0.19409606203006094</v>
      </c>
    </row>
    <row r="71" spans="1:27">
      <c r="A71" s="3"/>
      <c r="B71" s="39"/>
      <c r="C71" s="52"/>
      <c r="D71" s="65"/>
      <c r="H71" s="36"/>
      <c r="I71" s="7"/>
      <c r="J71" s="36"/>
      <c r="K71" s="3"/>
      <c r="L71" s="39"/>
      <c r="O71" s="97"/>
      <c r="P71"/>
      <c r="Q71" s="36"/>
      <c r="R71" s="7"/>
      <c r="S71" s="36"/>
      <c r="W71" s="36"/>
      <c r="X71" s="61">
        <v>1.5</v>
      </c>
      <c r="Y71">
        <f t="shared" si="29"/>
        <v>0.16628142916947694</v>
      </c>
      <c r="Z71" s="61">
        <v>1.5</v>
      </c>
      <c r="AA71" s="36">
        <f t="shared" si="30"/>
        <v>0.19575829559667041</v>
      </c>
    </row>
    <row r="72" spans="1:27">
      <c r="A72" s="3"/>
      <c r="B72" s="39"/>
      <c r="C72" s="52"/>
      <c r="D72" s="65"/>
      <c r="H72" s="36"/>
      <c r="I72" s="7"/>
      <c r="J72" s="36"/>
      <c r="K72" s="3"/>
      <c r="L72" s="39"/>
      <c r="O72" s="97"/>
      <c r="P72"/>
      <c r="Q72" s="36"/>
      <c r="R72" s="7"/>
      <c r="S72" s="36"/>
      <c r="W72" s="36"/>
      <c r="X72" s="61">
        <v>1.6</v>
      </c>
      <c r="Y72">
        <f t="shared" si="29"/>
        <v>0.1675368627924323</v>
      </c>
      <c r="Z72" s="61">
        <v>1.6</v>
      </c>
      <c r="AA72" s="36">
        <f t="shared" si="30"/>
        <v>0.19723628112693678</v>
      </c>
    </row>
    <row r="73" spans="1:27">
      <c r="A73" s="3"/>
      <c r="B73" s="39"/>
      <c r="C73" s="52"/>
      <c r="D73" s="65"/>
      <c r="H73" s="36"/>
      <c r="I73" s="7"/>
      <c r="J73" s="36"/>
      <c r="K73" s="3"/>
      <c r="L73" s="39"/>
      <c r="O73" s="97"/>
      <c r="P73"/>
      <c r="Q73" s="36"/>
      <c r="R73" s="7"/>
      <c r="S73" s="36"/>
      <c r="W73" s="36"/>
      <c r="X73" s="61">
        <v>1.7</v>
      </c>
      <c r="Y73">
        <f t="shared" si="29"/>
        <v>0.16866044691002161</v>
      </c>
      <c r="Z73" s="61">
        <v>1.7</v>
      </c>
      <c r="AA73" s="36">
        <f t="shared" si="30"/>
        <v>0.19855904406515157</v>
      </c>
    </row>
    <row r="74" spans="1:27">
      <c r="A74" s="3"/>
      <c r="B74" s="39"/>
      <c r="C74" s="52"/>
      <c r="D74" s="65"/>
      <c r="H74" s="36"/>
      <c r="I74" s="7"/>
      <c r="J74" s="36"/>
      <c r="K74" s="3"/>
      <c r="L74" s="39"/>
      <c r="O74" s="97"/>
      <c r="P74"/>
      <c r="Q74" s="36"/>
      <c r="R74" s="7"/>
      <c r="S74" s="36"/>
      <c r="W74" s="36"/>
      <c r="X74" s="61">
        <v>1.8</v>
      </c>
      <c r="Y74">
        <f t="shared" si="29"/>
        <v>0.16967191609129031</v>
      </c>
      <c r="Z74" s="61">
        <v>1.8</v>
      </c>
      <c r="AA74" s="36">
        <f t="shared" si="30"/>
        <v>0.19974981734610475</v>
      </c>
    </row>
    <row r="75" spans="1:27">
      <c r="A75" s="3"/>
      <c r="B75" s="39"/>
      <c r="C75" s="52"/>
      <c r="D75" s="65"/>
      <c r="H75" s="36"/>
      <c r="I75" s="7"/>
      <c r="J75" s="36"/>
      <c r="K75" s="3"/>
      <c r="L75" s="39"/>
      <c r="O75" s="97"/>
      <c r="P75"/>
      <c r="Q75" s="36"/>
      <c r="R75" s="7"/>
      <c r="S75" s="36"/>
      <c r="W75" s="36"/>
      <c r="X75" s="61">
        <v>1.9</v>
      </c>
      <c r="Y75">
        <f t="shared" si="29"/>
        <v>0.17058725369817404</v>
      </c>
      <c r="Z75" s="61">
        <v>1.9</v>
      </c>
      <c r="AA75" s="36">
        <f t="shared" si="30"/>
        <v>0.20082741771743942</v>
      </c>
    </row>
    <row r="76" spans="1:27">
      <c r="A76" s="3"/>
      <c r="B76" s="39"/>
      <c r="C76" s="52"/>
      <c r="D76" s="65"/>
      <c r="H76" s="36"/>
      <c r="I76" s="7"/>
      <c r="J76" s="36"/>
      <c r="K76" s="3"/>
      <c r="L76" s="39"/>
      <c r="O76" s="97"/>
      <c r="P76"/>
      <c r="Q76" s="36"/>
      <c r="R76" s="7"/>
      <c r="S76" s="36"/>
      <c r="W76" s="36"/>
      <c r="X76" s="61">
        <v>2</v>
      </c>
      <c r="Y76">
        <f t="shared" si="29"/>
        <v>0.1714195427527562</v>
      </c>
      <c r="Z76" s="61">
        <v>2</v>
      </c>
      <c r="AA76" s="36">
        <f t="shared" si="30"/>
        <v>0.20180724744095421</v>
      </c>
    </row>
    <row r="77" spans="1:27">
      <c r="A77" s="3"/>
      <c r="B77" s="39"/>
      <c r="C77" s="52"/>
      <c r="D77" s="65"/>
      <c r="H77" s="36"/>
      <c r="I77" s="7"/>
      <c r="J77" s="36"/>
      <c r="K77" s="3"/>
      <c r="L77" s="39"/>
      <c r="O77" s="97"/>
      <c r="P77"/>
      <c r="Q77" s="36"/>
      <c r="R77" s="7"/>
      <c r="S77" s="36"/>
      <c r="W77" s="36"/>
      <c r="X77" s="61">
        <v>2.25</v>
      </c>
      <c r="Y77">
        <f t="shared" si="29"/>
        <v>0.17320354531860419</v>
      </c>
      <c r="Z77" s="61">
        <v>2.25</v>
      </c>
      <c r="AA77" s="36">
        <f t="shared" si="30"/>
        <v>0.20390750183120571</v>
      </c>
    </row>
    <row r="78" spans="1:27">
      <c r="A78" s="3"/>
      <c r="B78" s="39"/>
      <c r="C78" s="52"/>
      <c r="D78" s="65"/>
      <c r="H78" s="36"/>
      <c r="I78" s="7"/>
      <c r="J78" s="36"/>
      <c r="K78" s="3"/>
      <c r="L78" s="39"/>
      <c r="O78" s="97"/>
      <c r="P78"/>
      <c r="Q78" s="36"/>
      <c r="R78" s="7"/>
      <c r="S78" s="36"/>
      <c r="W78" s="36"/>
      <c r="X78" s="61">
        <v>2.5</v>
      </c>
      <c r="Y78">
        <f t="shared" si="29"/>
        <v>0.1746577076319876</v>
      </c>
      <c r="Z78" s="61">
        <v>2.5</v>
      </c>
      <c r="AA78" s="36">
        <f t="shared" si="30"/>
        <v>0.20561944487506006</v>
      </c>
    </row>
    <row r="79" spans="1:27">
      <c r="A79" s="3"/>
      <c r="B79" s="39"/>
      <c r="C79" s="52"/>
      <c r="D79" s="65"/>
      <c r="H79" s="36"/>
      <c r="I79" s="7"/>
      <c r="J79" s="36"/>
      <c r="K79" s="3"/>
      <c r="L79" s="39"/>
      <c r="O79" s="97"/>
      <c r="P79"/>
      <c r="Q79" s="36"/>
      <c r="R79" s="7"/>
      <c r="S79" s="36"/>
      <c r="W79" s="36"/>
      <c r="X79" s="61">
        <v>2.75</v>
      </c>
      <c r="Y79">
        <f t="shared" si="29"/>
        <v>0.175865764101091</v>
      </c>
      <c r="Z79" s="61">
        <v>2.75</v>
      </c>
      <c r="AA79" s="36">
        <f t="shared" si="30"/>
        <v>0.20704165465854216</v>
      </c>
    </row>
    <row r="80" spans="1:27">
      <c r="A80" s="3"/>
      <c r="B80" s="39"/>
      <c r="C80" s="52"/>
      <c r="D80" s="65"/>
      <c r="H80" s="36"/>
      <c r="I80" s="7"/>
      <c r="J80" s="36"/>
      <c r="K80" s="3"/>
      <c r="L80" s="39"/>
      <c r="O80" s="97"/>
      <c r="P80"/>
      <c r="Q80" s="36"/>
      <c r="R80" s="7"/>
      <c r="S80" s="36"/>
      <c r="W80" s="36"/>
      <c r="X80" s="61">
        <v>3</v>
      </c>
      <c r="Y80">
        <f t="shared" si="29"/>
        <v>0.17688531759953427</v>
      </c>
      <c r="Z80" s="61">
        <v>3</v>
      </c>
      <c r="AA80" s="36">
        <f t="shared" si="30"/>
        <v>0.20824194537123175</v>
      </c>
    </row>
    <row r="81" spans="1:27">
      <c r="A81" s="3"/>
      <c r="B81" s="39"/>
      <c r="C81" s="52"/>
      <c r="D81" s="65"/>
      <c r="H81" s="36"/>
      <c r="I81" s="7"/>
      <c r="J81" s="36"/>
      <c r="K81" s="3"/>
      <c r="L81" s="39"/>
      <c r="O81" s="97"/>
      <c r="P81"/>
      <c r="Q81" s="36"/>
      <c r="R81" s="7"/>
      <c r="S81" s="36"/>
      <c r="W81" s="36"/>
      <c r="X81" s="61">
        <v>3.25</v>
      </c>
      <c r="Y81">
        <f t="shared" ref="Y81:Y105" si="31">X81/(X81+Kd_EFF)*EAmax</f>
        <v>0.17775729550915523</v>
      </c>
      <c r="Z81" s="61">
        <v>3.25</v>
      </c>
      <c r="AA81" s="36">
        <f t="shared" ref="AA81:AA105" si="32">EDmax*(1-(Kd_EFF/(Kd_EFF+Z81))^ND_NA)</f>
        <v>0.20926849963070573</v>
      </c>
    </row>
    <row r="82" spans="1:27">
      <c r="A82" s="3"/>
      <c r="B82" s="39"/>
      <c r="C82" s="52"/>
      <c r="D82" s="65"/>
      <c r="H82" s="36"/>
      <c r="I82" s="7"/>
      <c r="J82" s="36"/>
      <c r="K82" s="3"/>
      <c r="L82" s="39"/>
      <c r="O82" s="97"/>
      <c r="P82"/>
      <c r="Q82" s="36"/>
      <c r="R82" s="7"/>
      <c r="S82" s="36"/>
      <c r="W82" s="36"/>
      <c r="X82" s="61">
        <v>3.5</v>
      </c>
      <c r="Y82">
        <f t="shared" si="31"/>
        <v>0.1785115767267246</v>
      </c>
      <c r="Z82" s="61">
        <v>3.5</v>
      </c>
      <c r="AA82" s="36">
        <f t="shared" si="32"/>
        <v>0.21015649299406242</v>
      </c>
    </row>
    <row r="83" spans="1:27">
      <c r="A83" s="3"/>
      <c r="B83" s="39"/>
      <c r="C83" s="52"/>
      <c r="D83" s="65"/>
      <c r="H83" s="36"/>
      <c r="I83" s="7"/>
      <c r="J83" s="36"/>
      <c r="K83" s="3"/>
      <c r="L83" s="39"/>
      <c r="O83" s="97"/>
      <c r="P83"/>
      <c r="Q83" s="36"/>
      <c r="R83" s="7"/>
      <c r="S83" s="36"/>
      <c r="W83" s="36"/>
      <c r="X83" s="61">
        <v>3.75</v>
      </c>
      <c r="Y83">
        <f t="shared" si="31"/>
        <v>0.17917048417969936</v>
      </c>
      <c r="Z83" s="61">
        <v>3.75</v>
      </c>
      <c r="AA83" s="36">
        <f t="shared" si="32"/>
        <v>0.21093220559525025</v>
      </c>
    </row>
    <row r="84" spans="1:27">
      <c r="A84" s="3"/>
      <c r="B84" s="39"/>
      <c r="C84" s="52"/>
      <c r="D84" s="65"/>
      <c r="H84" s="36"/>
      <c r="I84" s="7"/>
      <c r="J84" s="36"/>
      <c r="K84" s="3"/>
      <c r="L84" s="39"/>
      <c r="O84" s="97"/>
      <c r="P84"/>
      <c r="Q84" s="36"/>
      <c r="R84" s="7"/>
      <c r="S84" s="36"/>
      <c r="W84" s="36"/>
      <c r="X84" s="61">
        <v>4</v>
      </c>
      <c r="Y84">
        <f t="shared" si="31"/>
        <v>0.17975103130347883</v>
      </c>
      <c r="Z84" s="61">
        <v>4</v>
      </c>
      <c r="AA84" s="36">
        <f t="shared" si="32"/>
        <v>0.21161566685747449</v>
      </c>
    </row>
    <row r="85" spans="1:27">
      <c r="A85" s="3"/>
      <c r="B85" s="39"/>
      <c r="C85" s="52"/>
      <c r="D85" s="65"/>
      <c r="H85" s="36"/>
      <c r="I85" s="7"/>
      <c r="J85" s="36"/>
      <c r="K85" s="3"/>
      <c r="L85" s="39"/>
      <c r="O85" s="97"/>
      <c r="P85"/>
      <c r="Q85" s="36"/>
      <c r="R85" s="7"/>
      <c r="S85" s="36"/>
      <c r="W85" s="36"/>
      <c r="X85" s="61">
        <v>4.25</v>
      </c>
      <c r="Y85">
        <f t="shared" si="31"/>
        <v>0.18026641201750174</v>
      </c>
      <c r="Z85" s="61">
        <v>4.25</v>
      </c>
      <c r="AA85" s="36">
        <f t="shared" si="32"/>
        <v>0.21222240959876815</v>
      </c>
    </row>
    <row r="86" spans="1:27">
      <c r="A86" s="3"/>
      <c r="B86" s="39"/>
      <c r="C86" s="52"/>
      <c r="D86" s="65"/>
      <c r="H86" s="36"/>
      <c r="I86" s="7"/>
      <c r="J86" s="36"/>
      <c r="K86" s="3"/>
      <c r="L86" s="39"/>
      <c r="O86" s="97"/>
      <c r="P86"/>
      <c r="Q86" s="36"/>
      <c r="R86" s="7"/>
      <c r="S86" s="36"/>
      <c r="W86" s="36"/>
      <c r="X86" s="61">
        <v>4.5</v>
      </c>
      <c r="Y86">
        <f t="shared" si="31"/>
        <v>0.18072701561608784</v>
      </c>
      <c r="Z86" s="61">
        <v>4.5</v>
      </c>
      <c r="AA86" s="36">
        <f t="shared" si="32"/>
        <v>0.2127646648334944</v>
      </c>
    </row>
    <row r="87" spans="1:27">
      <c r="A87" s="3"/>
      <c r="B87" s="39"/>
      <c r="C87" s="52"/>
      <c r="D87" s="65"/>
      <c r="H87" s="36"/>
      <c r="I87" s="7"/>
      <c r="J87" s="36"/>
      <c r="K87" s="3"/>
      <c r="L87" s="39"/>
      <c r="O87" s="97"/>
      <c r="P87"/>
      <c r="Q87" s="36"/>
      <c r="R87" s="7"/>
      <c r="S87" s="36"/>
      <c r="W87" s="36"/>
      <c r="X87" s="61">
        <v>4.75</v>
      </c>
      <c r="Y87">
        <f t="shared" si="31"/>
        <v>0.18114113438621385</v>
      </c>
      <c r="Z87" s="61">
        <v>4.75</v>
      </c>
      <c r="AA87" s="36">
        <f t="shared" si="32"/>
        <v>0.2132521948301955</v>
      </c>
    </row>
    <row r="88" spans="1:27">
      <c r="A88" s="3"/>
      <c r="B88" s="39"/>
      <c r="C88" s="52"/>
      <c r="D88" s="65"/>
      <c r="H88" s="36"/>
      <c r="I88" s="7"/>
      <c r="J88" s="36"/>
      <c r="K88" s="3"/>
      <c r="L88" s="39"/>
      <c r="O88" s="97"/>
      <c r="P88"/>
      <c r="Q88" s="36"/>
      <c r="R88" s="7"/>
      <c r="S88" s="36"/>
      <c r="W88" s="36"/>
      <c r="X88" s="61">
        <v>5</v>
      </c>
      <c r="Y88">
        <f t="shared" si="31"/>
        <v>0.18151546727512649</v>
      </c>
      <c r="Z88" s="61">
        <v>5</v>
      </c>
      <c r="AA88" s="36">
        <f t="shared" si="32"/>
        <v>0.21369288606484105</v>
      </c>
    </row>
    <row r="89" spans="1:27">
      <c r="A89" s="3"/>
      <c r="B89" s="39"/>
      <c r="C89" s="52"/>
      <c r="D89" s="65"/>
      <c r="H89" s="36"/>
      <c r="I89" s="7"/>
      <c r="J89" s="36"/>
      <c r="K89" s="3"/>
      <c r="L89" s="39"/>
      <c r="O89" s="97"/>
      <c r="P89"/>
      <c r="Q89" s="36"/>
      <c r="R89" s="7"/>
      <c r="S89" s="36"/>
      <c r="W89" s="36"/>
      <c r="X89" s="61">
        <v>5.5</v>
      </c>
      <c r="Y89">
        <f t="shared" si="31"/>
        <v>0.18216569940300861</v>
      </c>
      <c r="Z89" s="61">
        <v>5.5</v>
      </c>
      <c r="AA89" s="36">
        <f t="shared" si="32"/>
        <v>0.21445838545784096</v>
      </c>
    </row>
    <row r="90" spans="1:27">
      <c r="A90" s="3"/>
      <c r="B90" s="39"/>
      <c r="C90" s="52"/>
      <c r="D90" s="65"/>
      <c r="H90" s="36"/>
      <c r="I90" s="7"/>
      <c r="J90" s="36"/>
      <c r="K90" s="3"/>
      <c r="L90" s="39"/>
      <c r="O90" s="97"/>
      <c r="P90"/>
      <c r="Q90" s="36"/>
      <c r="R90" s="7"/>
      <c r="S90" s="36"/>
      <c r="W90" s="36"/>
      <c r="X90" s="61">
        <v>6</v>
      </c>
      <c r="Y90">
        <f t="shared" si="31"/>
        <v>0.18271112879923923</v>
      </c>
      <c r="Z90" s="61">
        <v>6</v>
      </c>
      <c r="AA90" s="36">
        <f t="shared" si="32"/>
        <v>0.21510050363969521</v>
      </c>
    </row>
    <row r="91" spans="1:27">
      <c r="A91" s="3"/>
      <c r="B91" s="39"/>
      <c r="C91" s="52"/>
      <c r="D91" s="65"/>
      <c r="H91" s="36"/>
      <c r="I91" s="7"/>
      <c r="J91" s="36"/>
      <c r="K91" s="3"/>
      <c r="L91" s="39"/>
      <c r="O91" s="97"/>
      <c r="P91"/>
      <c r="Q91" s="36"/>
      <c r="R91" s="7"/>
      <c r="S91" s="36"/>
      <c r="W91" s="36"/>
      <c r="X91" s="61">
        <v>6.5</v>
      </c>
      <c r="Y91">
        <f t="shared" si="31"/>
        <v>0.18317520356156769</v>
      </c>
      <c r="Z91" s="61">
        <v>6.5</v>
      </c>
      <c r="AA91" s="36">
        <f t="shared" si="32"/>
        <v>0.21564684537464784</v>
      </c>
    </row>
    <row r="92" spans="1:27">
      <c r="A92" s="3"/>
      <c r="B92" s="39"/>
      <c r="C92" s="52"/>
      <c r="D92" s="65"/>
      <c r="H92" s="36"/>
      <c r="I92" s="7"/>
      <c r="J92" s="36"/>
      <c r="K92" s="3"/>
      <c r="L92" s="39"/>
      <c r="O92" s="97"/>
      <c r="P92"/>
      <c r="Q92" s="36"/>
      <c r="R92" s="7"/>
      <c r="S92" s="36"/>
      <c r="W92" s="36"/>
      <c r="X92" s="61">
        <v>7</v>
      </c>
      <c r="Y92">
        <f t="shared" si="31"/>
        <v>0.18357486235399967</v>
      </c>
      <c r="Z92" s="61">
        <v>7</v>
      </c>
      <c r="AA92" s="36">
        <f t="shared" si="32"/>
        <v>0.21611735205971463</v>
      </c>
    </row>
    <row r="93" spans="1:27">
      <c r="A93" s="3"/>
      <c r="B93" s="39"/>
      <c r="C93" s="52"/>
      <c r="D93" s="65"/>
      <c r="H93" s="36"/>
      <c r="I93" s="7"/>
      <c r="J93" s="36"/>
      <c r="K93" s="3"/>
      <c r="L93" s="39"/>
      <c r="O93" s="97"/>
      <c r="P93"/>
      <c r="Q93" s="36"/>
      <c r="R93" s="7"/>
      <c r="S93" s="36"/>
      <c r="W93" s="36"/>
      <c r="X93" s="61">
        <v>7.5</v>
      </c>
      <c r="Y93">
        <f t="shared" si="31"/>
        <v>0.18392264666785374</v>
      </c>
      <c r="Z93" s="61">
        <v>7.5</v>
      </c>
      <c r="AA93" s="36">
        <f t="shared" si="32"/>
        <v>0.2165267884282579</v>
      </c>
    </row>
    <row r="94" spans="1:27">
      <c r="A94" s="121"/>
      <c r="B94" s="98"/>
      <c r="C94" s="99"/>
      <c r="D94" s="62"/>
      <c r="E94" s="61"/>
      <c r="F94" s="61"/>
      <c r="G94" s="61"/>
      <c r="H94" s="100"/>
      <c r="I94" s="7"/>
      <c r="J94" s="36"/>
      <c r="K94" s="3"/>
      <c r="L94" s="39"/>
      <c r="O94" s="97"/>
      <c r="P94"/>
      <c r="Q94" s="36"/>
      <c r="R94" s="7"/>
      <c r="S94" s="36"/>
      <c r="W94" s="36"/>
      <c r="X94" s="61">
        <v>8</v>
      </c>
      <c r="Y94">
        <f t="shared" si="31"/>
        <v>0.18422804071348611</v>
      </c>
      <c r="Z94" s="61">
        <v>8</v>
      </c>
      <c r="AA94" s="36">
        <f t="shared" si="32"/>
        <v>0.21688631996558572</v>
      </c>
    </row>
    <row r="95" spans="1:27">
      <c r="A95" s="121"/>
      <c r="B95" s="98"/>
      <c r="C95" s="99"/>
      <c r="D95" s="62"/>
      <c r="E95" s="61"/>
      <c r="F95" s="61"/>
      <c r="G95" s="61"/>
      <c r="H95" s="100"/>
      <c r="I95" s="7"/>
      <c r="J95" s="36"/>
      <c r="K95" s="3"/>
      <c r="L95" s="39"/>
      <c r="O95" s="97"/>
      <c r="P95"/>
      <c r="Q95" s="36"/>
      <c r="R95" s="7"/>
      <c r="S95" s="36"/>
      <c r="W95" s="36"/>
      <c r="X95" s="61">
        <v>8.5</v>
      </c>
      <c r="Y95">
        <f t="shared" si="31"/>
        <v>0.18449834951093169</v>
      </c>
      <c r="Z95" s="61">
        <v>8.5</v>
      </c>
      <c r="AA95" s="36">
        <f t="shared" si="32"/>
        <v>0.21720454665955286</v>
      </c>
    </row>
    <row r="96" spans="1:27">
      <c r="A96" s="121"/>
      <c r="B96" s="98"/>
      <c r="C96" s="99"/>
      <c r="D96" s="62"/>
      <c r="E96" s="61"/>
      <c r="F96" s="61"/>
      <c r="G96" s="61"/>
      <c r="H96" s="100"/>
      <c r="I96" s="7"/>
      <c r="J96" s="36"/>
      <c r="K96" s="3"/>
      <c r="L96" s="39"/>
      <c r="O96" s="97"/>
      <c r="P96"/>
      <c r="Q96" s="36"/>
      <c r="R96" s="7"/>
      <c r="S96" s="36"/>
      <c r="W96" s="36"/>
      <c r="X96" s="61">
        <v>9</v>
      </c>
      <c r="Y96">
        <f t="shared" si="31"/>
        <v>0.18473929078175513</v>
      </c>
      <c r="Z96" s="61">
        <v>9</v>
      </c>
      <c r="AA96" s="36">
        <f t="shared" si="32"/>
        <v>0.21748819981764075</v>
      </c>
    </row>
    <row r="97" spans="1:27">
      <c r="A97" s="149"/>
      <c r="B97" s="98"/>
      <c r="C97" s="99"/>
      <c r="D97" s="62"/>
      <c r="E97" s="61"/>
      <c r="F97" s="61"/>
      <c r="G97" s="61"/>
      <c r="H97" s="100"/>
      <c r="I97" s="7"/>
      <c r="J97" s="36"/>
      <c r="K97" s="3"/>
      <c r="L97" s="39"/>
      <c r="O97" s="97"/>
      <c r="P97"/>
      <c r="Q97" s="36"/>
      <c r="R97" s="7"/>
      <c r="S97" s="36"/>
      <c r="W97" s="36"/>
      <c r="X97" s="61">
        <v>9.5</v>
      </c>
      <c r="Y97">
        <f t="shared" si="31"/>
        <v>0.18495540386349707</v>
      </c>
      <c r="Z97" s="61">
        <v>9.5</v>
      </c>
      <c r="AA97" s="36">
        <f t="shared" si="32"/>
        <v>0.21774262347005494</v>
      </c>
    </row>
    <row r="98" spans="1:27">
      <c r="A98" s="149"/>
      <c r="B98" s="98"/>
      <c r="C98" s="99"/>
      <c r="D98" s="62"/>
      <c r="E98" s="61"/>
      <c r="F98" s="61"/>
      <c r="G98" s="61"/>
      <c r="H98" s="100"/>
      <c r="I98" s="7"/>
      <c r="J98" s="36"/>
      <c r="K98" s="3"/>
      <c r="L98" s="39"/>
      <c r="O98" s="97"/>
      <c r="P98"/>
      <c r="Q98" s="36"/>
      <c r="R98" s="7"/>
      <c r="S98" s="36"/>
      <c r="W98" s="36"/>
      <c r="X98" s="61">
        <v>10</v>
      </c>
      <c r="Y98">
        <f t="shared" si="31"/>
        <v>0.18515033840635642</v>
      </c>
      <c r="Z98" s="61">
        <v>10</v>
      </c>
      <c r="AA98" s="36">
        <f t="shared" si="32"/>
        <v>0.21797211424394147</v>
      </c>
    </row>
    <row r="99" spans="1:27">
      <c r="A99" s="149"/>
      <c r="B99" s="98"/>
      <c r="C99" s="99"/>
      <c r="D99" s="62"/>
      <c r="E99" s="61"/>
      <c r="F99" s="61"/>
      <c r="G99" s="61"/>
      <c r="H99" s="100"/>
      <c r="I99" s="7"/>
      <c r="J99" s="36"/>
      <c r="K99" s="3"/>
      <c r="L99" s="39"/>
      <c r="O99" s="97"/>
      <c r="P99"/>
      <c r="Q99" s="36"/>
      <c r="R99" s="7"/>
      <c r="S99" s="36"/>
      <c r="W99" s="36"/>
      <c r="X99" s="61">
        <v>15</v>
      </c>
      <c r="Y99">
        <f t="shared" si="31"/>
        <v>0.18639453007508841</v>
      </c>
      <c r="Z99" s="61">
        <v>15</v>
      </c>
      <c r="AA99" s="36">
        <f t="shared" si="32"/>
        <v>0.21943686494811243</v>
      </c>
    </row>
    <row r="100" spans="1:27">
      <c r="A100" s="149"/>
      <c r="B100" s="98"/>
      <c r="C100" s="99"/>
      <c r="D100" s="62"/>
      <c r="E100" s="61"/>
      <c r="F100" s="61"/>
      <c r="G100" s="61"/>
      <c r="H100" s="100"/>
      <c r="I100" s="7"/>
      <c r="J100" s="36"/>
      <c r="K100" s="3"/>
      <c r="L100" s="39"/>
      <c r="O100" s="97"/>
      <c r="P100"/>
      <c r="Q100" s="36"/>
      <c r="R100" s="7"/>
      <c r="S100" s="36"/>
      <c r="W100" s="36"/>
      <c r="X100" s="61">
        <v>20</v>
      </c>
      <c r="Y100">
        <f t="shared" si="31"/>
        <v>0.18702291768173396</v>
      </c>
      <c r="Z100" s="61">
        <v>20</v>
      </c>
      <c r="AA100" s="36">
        <f t="shared" si="32"/>
        <v>0.22017664742090814</v>
      </c>
    </row>
    <row r="101" spans="1:27">
      <c r="A101" s="149"/>
      <c r="B101" s="98"/>
      <c r="C101" s="99"/>
      <c r="D101" s="62"/>
      <c r="E101" s="61"/>
      <c r="F101" s="61"/>
      <c r="G101" s="61"/>
      <c r="H101" s="100"/>
      <c r="I101" s="7"/>
      <c r="J101" s="36"/>
      <c r="K101" s="3"/>
      <c r="L101" s="39"/>
      <c r="O101" s="97"/>
      <c r="P101"/>
      <c r="Q101" s="36"/>
      <c r="R101" s="7"/>
      <c r="S101" s="36"/>
      <c r="W101" s="36"/>
      <c r="X101" s="61">
        <v>25</v>
      </c>
      <c r="Y101">
        <f t="shared" si="31"/>
        <v>0.18740198809780448</v>
      </c>
      <c r="Z101" s="61">
        <v>25</v>
      </c>
      <c r="AA101" s="36">
        <f t="shared" si="32"/>
        <v>0.22062291600863754</v>
      </c>
    </row>
    <row r="102" spans="1:27">
      <c r="A102" s="149"/>
      <c r="B102" s="98"/>
      <c r="C102" s="99"/>
      <c r="D102" s="62"/>
      <c r="E102" s="61"/>
      <c r="F102" s="61"/>
      <c r="G102" s="61"/>
      <c r="H102" s="100"/>
      <c r="I102" s="7"/>
      <c r="J102" s="36"/>
      <c r="K102" s="3"/>
      <c r="L102" s="39"/>
      <c r="O102" s="97"/>
      <c r="P102"/>
      <c r="Q102" s="36"/>
      <c r="R102" s="7"/>
      <c r="S102" s="36"/>
      <c r="W102" s="36"/>
      <c r="X102" s="61">
        <v>30</v>
      </c>
      <c r="Y102">
        <f t="shared" si="31"/>
        <v>0.18765555655805585</v>
      </c>
      <c r="Z102" s="61">
        <v>30</v>
      </c>
      <c r="AA102" s="36">
        <f t="shared" si="32"/>
        <v>0.22092143478998194</v>
      </c>
    </row>
    <row r="103" spans="1:27">
      <c r="A103" s="149"/>
      <c r="B103" s="98"/>
      <c r="C103" s="99"/>
      <c r="D103" s="62"/>
      <c r="E103" s="61"/>
      <c r="F103" s="61"/>
      <c r="G103" s="61"/>
      <c r="H103" s="100"/>
      <c r="I103" s="7"/>
      <c r="J103" s="36"/>
      <c r="K103" s="3"/>
      <c r="L103" s="39"/>
      <c r="O103" s="97"/>
      <c r="P103"/>
      <c r="Q103" s="36"/>
      <c r="R103" s="7"/>
      <c r="S103" s="36"/>
      <c r="W103" s="36"/>
      <c r="X103" s="61">
        <v>35</v>
      </c>
      <c r="Y103">
        <f t="shared" si="31"/>
        <v>0.18783709741138457</v>
      </c>
      <c r="Z103" s="61">
        <v>35</v>
      </c>
      <c r="AA103" s="36">
        <f t="shared" si="32"/>
        <v>0.22113515756231017</v>
      </c>
    </row>
    <row r="104" spans="1:27">
      <c r="A104" s="149"/>
      <c r="B104" s="98"/>
      <c r="C104" s="99"/>
      <c r="D104" s="62"/>
      <c r="E104" s="61"/>
      <c r="F104" s="61"/>
      <c r="G104" s="61"/>
      <c r="H104" s="100"/>
      <c r="I104" s="7"/>
      <c r="J104" s="36"/>
      <c r="K104" s="3"/>
      <c r="L104" s="39"/>
      <c r="O104" s="97"/>
      <c r="P104"/>
      <c r="Q104" s="36"/>
      <c r="R104" s="7"/>
      <c r="S104" s="36"/>
      <c r="W104" s="36"/>
      <c r="X104" s="61">
        <v>40</v>
      </c>
      <c r="Y104">
        <f t="shared" si="31"/>
        <v>0.18797348372708275</v>
      </c>
      <c r="Z104" s="61">
        <v>40</v>
      </c>
      <c r="AA104" s="36">
        <f t="shared" si="32"/>
        <v>0.22129572120935803</v>
      </c>
    </row>
    <row r="105" spans="1:27">
      <c r="A105" s="149"/>
      <c r="B105" s="98"/>
      <c r="C105" s="99"/>
      <c r="D105" s="62"/>
      <c r="E105" s="61"/>
      <c r="F105" s="61"/>
      <c r="G105" s="61"/>
      <c r="H105" s="100"/>
      <c r="I105" s="7"/>
      <c r="J105" s="36"/>
      <c r="K105" s="3"/>
      <c r="L105" s="39"/>
      <c r="O105" s="97"/>
      <c r="P105"/>
      <c r="Q105" s="36"/>
      <c r="R105" s="7"/>
      <c r="S105" s="36"/>
      <c r="W105" s="36"/>
      <c r="X105" s="61">
        <v>45</v>
      </c>
      <c r="Y105">
        <f t="shared" si="31"/>
        <v>0.18807969897830218</v>
      </c>
      <c r="Z105" s="61">
        <v>45</v>
      </c>
      <c r="AA105" s="36">
        <f t="shared" si="32"/>
        <v>0.22142076533875321</v>
      </c>
    </row>
    <row r="106" spans="1:27">
      <c r="A106" s="149"/>
      <c r="B106" s="98"/>
      <c r="C106" s="99"/>
      <c r="D106" s="62"/>
      <c r="E106" s="61"/>
      <c r="F106" s="61"/>
      <c r="G106" s="61"/>
      <c r="H106" s="100"/>
      <c r="I106" s="7"/>
      <c r="J106" s="36"/>
      <c r="K106" s="3"/>
      <c r="L106" s="39"/>
      <c r="O106" s="97"/>
      <c r="P106"/>
      <c r="Q106" s="36"/>
      <c r="R106" s="7"/>
      <c r="S106" s="36"/>
      <c r="W106" s="36"/>
      <c r="X106" s="61"/>
      <c r="Z106" s="61"/>
      <c r="AA106" s="36"/>
    </row>
    <row r="107" spans="1:27">
      <c r="A107" s="149"/>
      <c r="B107" s="98"/>
      <c r="C107" s="99"/>
      <c r="D107" s="62"/>
      <c r="E107" s="61"/>
      <c r="F107" s="61"/>
      <c r="G107" s="61"/>
      <c r="H107" s="100"/>
      <c r="I107" s="7"/>
      <c r="J107" s="36"/>
      <c r="K107" s="3"/>
      <c r="L107" s="39"/>
      <c r="O107" s="97"/>
      <c r="P107"/>
      <c r="Q107" s="36"/>
      <c r="R107" s="7"/>
      <c r="S107" s="36"/>
      <c r="W107" s="36"/>
      <c r="X107" s="61"/>
      <c r="Z107" s="61"/>
      <c r="AA107" s="36"/>
    </row>
    <row r="108" spans="1:27">
      <c r="A108" s="149"/>
      <c r="B108" s="98"/>
      <c r="C108" s="121"/>
      <c r="D108" s="12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121"/>
      <c r="P108" s="61"/>
      <c r="Q108" s="61"/>
      <c r="R108" s="61"/>
      <c r="S108" s="61"/>
      <c r="U108" s="61"/>
      <c r="V108" s="61"/>
      <c r="W108" s="61"/>
    </row>
    <row r="109" spans="1:27">
      <c r="A109" s="149"/>
      <c r="B109" s="98"/>
      <c r="C109" s="121"/>
      <c r="D109" s="12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121"/>
      <c r="Q109" s="61"/>
      <c r="R109" s="61"/>
      <c r="S109" s="61"/>
      <c r="U109" s="61"/>
      <c r="V109" s="61"/>
      <c r="W109" s="61"/>
      <c r="X109" s="61"/>
    </row>
    <row r="110" spans="1:27">
      <c r="A110" s="149"/>
      <c r="B110" s="98"/>
      <c r="C110" s="121"/>
      <c r="D110" s="12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121"/>
      <c r="Q110" s="61"/>
      <c r="R110" s="61"/>
      <c r="S110" s="61"/>
      <c r="U110" s="61"/>
      <c r="V110" s="61"/>
      <c r="W110" s="61"/>
      <c r="X110" s="61"/>
    </row>
    <row r="111" spans="1:27">
      <c r="A111" s="149"/>
      <c r="B111" s="98"/>
      <c r="C111" s="121"/>
      <c r="D111" s="12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121"/>
      <c r="Q111" s="61"/>
      <c r="R111" s="61"/>
      <c r="S111" s="61"/>
      <c r="U111" s="61"/>
      <c r="V111" s="61"/>
      <c r="W111" s="61"/>
      <c r="X111" s="61"/>
    </row>
    <row r="112" spans="1:27">
      <c r="A112" s="101"/>
      <c r="B112" s="39"/>
    </row>
    <row r="113" spans="1:2">
      <c r="A113" s="101"/>
      <c r="B113" s="39"/>
    </row>
    <row r="114" spans="1:2">
      <c r="A114" s="101"/>
      <c r="B114" s="39"/>
    </row>
    <row r="115" spans="1:2">
      <c r="A115" s="101"/>
      <c r="B115" s="39"/>
    </row>
    <row r="116" spans="1:2">
      <c r="A116" s="101"/>
      <c r="B116" s="39"/>
    </row>
    <row r="117" spans="1:2">
      <c r="A117" s="101"/>
    </row>
    <row r="118" spans="1:2">
      <c r="A118" s="101"/>
    </row>
  </sheetData>
  <mergeCells count="13">
    <mergeCell ref="C10:E10"/>
    <mergeCell ref="E15:H15"/>
    <mergeCell ref="C6:E6"/>
    <mergeCell ref="G6:H6"/>
    <mergeCell ref="C7:E7"/>
    <mergeCell ref="C8:E8"/>
    <mergeCell ref="C9:E9"/>
    <mergeCell ref="C3:F3"/>
    <mergeCell ref="G3:I3"/>
    <mergeCell ref="C4:E4"/>
    <mergeCell ref="G4:H4"/>
    <mergeCell ref="C5:E5"/>
    <mergeCell ref="G5:H5"/>
  </mergeCells>
  <pageMargins left="0.7" right="0.7" top="0.78740157499999996" bottom="0.78740157499999996" header="0.3" footer="0.3"/>
  <pageSetup scale="36" fitToHeight="0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19"/>
  <sheetViews>
    <sheetView workbookViewId="0">
      <selection activeCell="D12" sqref="D12"/>
    </sheetView>
  </sheetViews>
  <sheetFormatPr baseColWidth="10" defaultColWidth="11.5" defaultRowHeight="14" x14ac:dyDescent="0"/>
  <sheetData>
    <row r="6" spans="3:4">
      <c r="C6" s="5" t="s">
        <v>14</v>
      </c>
      <c r="D6" s="5"/>
    </row>
    <row r="7" spans="3:4">
      <c r="C7" s="6" t="s">
        <v>15</v>
      </c>
      <c r="D7" s="6"/>
    </row>
    <row r="8" spans="3:4">
      <c r="C8" s="3">
        <v>600</v>
      </c>
      <c r="D8" s="3">
        <v>0.11799999999999999</v>
      </c>
    </row>
    <row r="9" spans="3:4">
      <c r="C9" s="3">
        <v>650</v>
      </c>
      <c r="D9" s="3">
        <v>0.214</v>
      </c>
    </row>
    <row r="10" spans="3:4">
      <c r="C10" s="3">
        <v>700</v>
      </c>
      <c r="D10" s="3">
        <v>0.371</v>
      </c>
    </row>
    <row r="11" spans="3:4">
      <c r="C11" s="3">
        <v>750</v>
      </c>
      <c r="D11" s="3">
        <v>0.61699999999999999</v>
      </c>
    </row>
    <row r="12" spans="3:4">
      <c r="C12" s="3">
        <v>800</v>
      </c>
      <c r="D12" s="3">
        <v>1</v>
      </c>
    </row>
    <row r="13" spans="3:4">
      <c r="C13" s="3">
        <v>850</v>
      </c>
      <c r="D13" s="3">
        <v>1.579</v>
      </c>
    </row>
    <row r="14" spans="3:4">
      <c r="C14" s="3">
        <v>900</v>
      </c>
      <c r="D14" s="3">
        <v>2.42</v>
      </c>
    </row>
    <row r="15" spans="3:4">
      <c r="C15" s="3">
        <v>950</v>
      </c>
      <c r="D15" s="3">
        <v>3.6469999999999998</v>
      </c>
    </row>
    <row r="16" spans="3:4">
      <c r="C16" s="3">
        <v>1000</v>
      </c>
      <c r="D16" s="3">
        <v>5.4269999999999996</v>
      </c>
    </row>
    <row r="17" spans="3:4">
      <c r="C17" s="3">
        <v>1050</v>
      </c>
      <c r="D17" s="3">
        <v>7.9610000000000003</v>
      </c>
    </row>
    <row r="18" spans="3:4">
      <c r="C18" s="3">
        <v>1100</v>
      </c>
      <c r="D18" s="3">
        <v>11.03</v>
      </c>
    </row>
    <row r="19" spans="3:4">
      <c r="C19" s="3">
        <v>1150</v>
      </c>
      <c r="D19" s="3">
        <v>16.231000000000002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Background</vt:lpstr>
      <vt:lpstr> RD-value (CFP)</vt:lpstr>
      <vt:lpstr>RA-value (YFP) </vt:lpstr>
      <vt:lpstr>Dimer</vt:lpstr>
      <vt:lpstr>Dimer Analysis</vt:lpstr>
      <vt:lpstr>Spurious FRET</vt:lpstr>
      <vt:lpstr>Samples</vt:lpstr>
      <vt:lpstr>BC Analysis</vt:lpstr>
      <vt:lpstr>HV lookup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Administator</cp:lastModifiedBy>
  <cp:lastPrinted>2015-10-15T09:22:45Z</cp:lastPrinted>
  <dcterms:created xsi:type="dcterms:W3CDTF">2015-04-29T07:45:54Z</dcterms:created>
  <dcterms:modified xsi:type="dcterms:W3CDTF">2016-11-15T20:50:31Z</dcterms:modified>
</cp:coreProperties>
</file>