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V:\ext01\PATHO-Mol-Dia\Projekte\Projekt microcosting MPZ\Manuskript\Revision\Supplemental material\"/>
    </mc:Choice>
  </mc:AlternateContent>
  <xr:revisionPtr revIDLastSave="0" documentId="13_ncr:1_{D75B92EC-4BAA-4065-995B-EC57C4F6FB16}" xr6:coauthVersionLast="47" xr6:coauthVersionMax="47" xr10:uidLastSave="{00000000-0000-0000-0000-000000000000}"/>
  <bookViews>
    <workbookView xWindow="-120" yWindow="-120" windowWidth="29040" windowHeight="15720" firstSheet="5" activeTab="8" xr2:uid="{79D66B37-3E2D-4F86-ACD0-9FA370BB80E7}"/>
  </bookViews>
  <sheets>
    <sheet name="Consumables WGS Twist" sheetId="1" r:id="rId1"/>
    <sheet name="Consumables WGS Tagmentation" sheetId="6" r:id="rId2"/>
    <sheet name="Consumables WTS" sheetId="4" r:id="rId3"/>
    <sheet name="Wetlab work time_Twist" sheetId="2" r:id="rId4"/>
    <sheet name="Wetlab work time_Tagmentation" sheetId="7" r:id="rId5"/>
    <sheet name="Wetlab work time_WTS" sheetId="5" r:id="rId6"/>
    <sheet name="Personnel costs_Twist idealised" sheetId="17" r:id="rId7"/>
    <sheet name="Personnel costs_Tagmentation" sheetId="9" r:id="rId8"/>
    <sheet name="Personnel costs_Twist realistic" sheetId="18" r:id="rId9"/>
    <sheet name="Equipment &amp; Maintenance" sheetId="3" r:id="rId10"/>
    <sheet name="Computational data analysis" sheetId="10" r:id="rId11"/>
    <sheet name="Flow_cell_comparison" sheetId="14" r:id="rId12"/>
    <sheet name="Total costs_Twist idealised" sheetId="15" r:id="rId13"/>
    <sheet name="Total costs_Tagmentation" sheetId="16" r:id="rId14"/>
    <sheet name="Total costs_Twist realistic" sheetId="12" r:id="rId15"/>
  </sheets>
  <externalReferences>
    <externalReference r:id="rId1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8" l="1"/>
  <c r="C18" i="18" s="1"/>
  <c r="C3" i="18"/>
  <c r="C22" i="18" s="1"/>
  <c r="C4" i="18"/>
  <c r="B17" i="18" s="1"/>
  <c r="C17" i="18" s="1"/>
  <c r="C5" i="18"/>
  <c r="C21" i="18" s="1"/>
  <c r="C5" i="17"/>
  <c r="E5" i="17" s="1"/>
  <c r="G5" i="17" s="1"/>
  <c r="C4" i="17"/>
  <c r="E4" i="17" s="1"/>
  <c r="G4" i="17" s="1"/>
  <c r="C3" i="17"/>
  <c r="E3" i="17" s="1"/>
  <c r="G3" i="17" s="1"/>
  <c r="C2" i="17"/>
  <c r="B18" i="17" s="1"/>
  <c r="B21" i="18" l="1"/>
  <c r="B19" i="18"/>
  <c r="B23" i="18"/>
  <c r="C19" i="18"/>
  <c r="C23" i="18"/>
  <c r="B20" i="18"/>
  <c r="C20" i="18"/>
  <c r="B18" i="18"/>
  <c r="B22" i="18"/>
  <c r="B17" i="17"/>
  <c r="B19" i="17" s="1"/>
  <c r="E2" i="17"/>
  <c r="G2" i="17" s="1"/>
  <c r="C8" i="16"/>
  <c r="B8" i="16"/>
  <c r="C6" i="16"/>
  <c r="B6" i="16"/>
  <c r="B9" i="16" s="1"/>
  <c r="C6" i="15"/>
  <c r="B6" i="15"/>
  <c r="C2" i="15"/>
  <c r="B2" i="15"/>
  <c r="B9" i="15" s="1"/>
  <c r="B17" i="15" s="1"/>
  <c r="C9" i="16" l="1"/>
  <c r="C18" i="16" s="1"/>
  <c r="B24" i="18"/>
  <c r="C27" i="18" s="1"/>
  <c r="C24" i="18"/>
  <c r="C28" i="18" s="1"/>
  <c r="B18" i="15"/>
  <c r="C23" i="17"/>
  <c r="C22" i="17"/>
  <c r="B20" i="16"/>
  <c r="B15" i="16"/>
  <c r="B14" i="16"/>
  <c r="B19" i="16"/>
  <c r="B16" i="16"/>
  <c r="B17" i="16"/>
  <c r="B18" i="16"/>
  <c r="C9" i="15"/>
  <c r="C18" i="15" s="1"/>
  <c r="B14" i="15"/>
  <c r="B15" i="15"/>
  <c r="B19" i="15"/>
  <c r="B20" i="15"/>
  <c r="B16" i="15"/>
  <c r="C19" i="16" l="1"/>
  <c r="C15" i="16"/>
  <c r="C20" i="16"/>
  <c r="C14" i="16"/>
  <c r="C16" i="16"/>
  <c r="C17" i="16"/>
  <c r="C17" i="15"/>
  <c r="C16" i="15"/>
  <c r="C15" i="15"/>
  <c r="C19" i="15"/>
  <c r="C20" i="15"/>
  <c r="C14" i="15"/>
  <c r="B7" i="12"/>
  <c r="C7" i="12"/>
  <c r="B5" i="14" l="1"/>
  <c r="D5" i="14" s="1"/>
  <c r="D7" i="14" s="1"/>
  <c r="H5" i="14" l="1"/>
  <c r="H7" i="14" s="1"/>
  <c r="I5" i="14"/>
  <c r="I7" i="14" s="1"/>
  <c r="J5" i="14"/>
  <c r="J7" i="14" s="1"/>
  <c r="K5" i="14"/>
  <c r="K7" i="14" s="1"/>
  <c r="E5" i="14"/>
  <c r="E7" i="14" s="1"/>
  <c r="F5" i="14"/>
  <c r="F7" i="14" s="1"/>
  <c r="G5" i="14"/>
  <c r="G7" i="14" s="1"/>
  <c r="L5" i="14"/>
  <c r="L7" i="14" s="1"/>
  <c r="C8" i="12" l="1"/>
  <c r="B8" i="12"/>
  <c r="C6" i="12"/>
  <c r="B6" i="12"/>
  <c r="C2" i="12"/>
  <c r="B2" i="12"/>
  <c r="B9" i="12" l="1"/>
  <c r="C9" i="12"/>
  <c r="C18" i="12" s="1"/>
  <c r="C17" i="12" l="1"/>
  <c r="C16" i="12"/>
  <c r="C15" i="12"/>
  <c r="B17" i="12"/>
  <c r="B16" i="12"/>
  <c r="B15" i="12"/>
  <c r="C20" i="12"/>
  <c r="B20" i="12"/>
  <c r="C19" i="12"/>
  <c r="B19" i="12"/>
  <c r="B18" i="12"/>
  <c r="C14" i="12"/>
  <c r="B14" i="12"/>
  <c r="C5" i="9" l="1"/>
  <c r="E5" i="9" s="1"/>
  <c r="G5" i="9" s="1"/>
  <c r="C4" i="9"/>
  <c r="E4" i="9" s="1"/>
  <c r="G4" i="9" s="1"/>
  <c r="C3" i="9"/>
  <c r="C2" i="9"/>
  <c r="B18" i="9" s="1"/>
  <c r="E3" i="9" l="1"/>
  <c r="G3" i="9" s="1"/>
  <c r="B17" i="9"/>
  <c r="B19" i="9" s="1"/>
  <c r="E2" i="9"/>
  <c r="G2" i="9" s="1"/>
  <c r="C22" i="9" l="1"/>
  <c r="C23" i="9"/>
  <c r="D11" i="5"/>
  <c r="D10" i="5"/>
  <c r="D12" i="5" s="1"/>
  <c r="D12" i="7"/>
  <c r="D11" i="7"/>
  <c r="D12" i="2"/>
  <c r="D13" i="2"/>
  <c r="D11" i="2"/>
  <c r="D13" i="7" l="1"/>
  <c r="D14" i="2"/>
  <c r="Y6" i="3"/>
  <c r="Y5" i="3"/>
  <c r="AF6" i="3"/>
  <c r="AF5" i="3"/>
  <c r="H3" i="1" l="1"/>
  <c r="H4" i="6" l="1"/>
  <c r="H5" i="6"/>
  <c r="H21" i="6" l="1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3" i="6"/>
  <c r="H2" i="6"/>
  <c r="H23" i="6" l="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" i="4"/>
  <c r="H20" i="1"/>
  <c r="H7" i="1"/>
  <c r="H6" i="1"/>
  <c r="H4" i="1"/>
  <c r="H5" i="1"/>
  <c r="H8" i="1"/>
  <c r="H9" i="1"/>
  <c r="H10" i="1"/>
  <c r="H11" i="1"/>
  <c r="H12" i="1"/>
  <c r="H13" i="1"/>
  <c r="H14" i="1"/>
  <c r="H15" i="1"/>
  <c r="H16" i="1"/>
  <c r="H17" i="1"/>
  <c r="H18" i="1"/>
  <c r="H19" i="1"/>
  <c r="H21" i="1"/>
  <c r="H22" i="1"/>
  <c r="H23" i="1"/>
  <c r="H24" i="1"/>
  <c r="H2" i="1"/>
  <c r="H22" i="4" l="1"/>
  <c r="H26" i="1"/>
</calcChain>
</file>

<file path=xl/sharedStrings.xml><?xml version="1.0" encoding="utf-8"?>
<sst xmlns="http://schemas.openxmlformats.org/spreadsheetml/2006/main" count="664" uniqueCount="199">
  <si>
    <t>Twist Bioscience South San Francisco</t>
  </si>
  <si>
    <t>Illumina</t>
  </si>
  <si>
    <t>5067-5584</t>
  </si>
  <si>
    <t>Agilent</t>
  </si>
  <si>
    <t>5067-5585</t>
  </si>
  <si>
    <t>DNA D1000 ScreenTape, 112rxn</t>
  </si>
  <si>
    <t>5067-5582</t>
  </si>
  <si>
    <t>DNA D1000 Reagents, 112rxn</t>
  </si>
  <si>
    <t>5067-5583</t>
  </si>
  <si>
    <t>Covaris</t>
  </si>
  <si>
    <t>Microtome</t>
  </si>
  <si>
    <t>Nucleic acid extractor (e.g. Maxwell Promega RSC)</t>
  </si>
  <si>
    <t>FFPE sections preparation</t>
  </si>
  <si>
    <t>Roth</t>
  </si>
  <si>
    <t>AS1720</t>
  </si>
  <si>
    <t>Promega</t>
  </si>
  <si>
    <t>VWR</t>
  </si>
  <si>
    <t>Maxwell RSC FFPE Plus DNA Kit</t>
  </si>
  <si>
    <t>KLINPR-001</t>
  </si>
  <si>
    <t>Klinipath BV</t>
  </si>
  <si>
    <t>Q33231</t>
  </si>
  <si>
    <t>Q33252</t>
  </si>
  <si>
    <t>NovaSeq X Series 25B (300 cycles) Kit</t>
  </si>
  <si>
    <t>PhiX Control v3</t>
  </si>
  <si>
    <t>FC-110-3001</t>
  </si>
  <si>
    <t>Eosin</t>
  </si>
  <si>
    <t>Library preparation WGS</t>
  </si>
  <si>
    <t>Maxwell RSC RNA FFPE Kit</t>
  </si>
  <si>
    <t>AS1440</t>
  </si>
  <si>
    <t>Q32855</t>
  </si>
  <si>
    <t>Biozym</t>
  </si>
  <si>
    <t>NovaSeq X Series 1.5B (300 cycles Kit)</t>
  </si>
  <si>
    <t xml:space="preserve"> </t>
  </si>
  <si>
    <t>9065.2</t>
  </si>
  <si>
    <t>Maxwell RSC Blood DNA</t>
  </si>
  <si>
    <t>AS1400</t>
  </si>
  <si>
    <t>LibPrep &amp; Seq</t>
  </si>
  <si>
    <t>Library preparation WTS</t>
  </si>
  <si>
    <t>LP netto</t>
  </si>
  <si>
    <t>PostPCR</t>
  </si>
  <si>
    <t xml:space="preserve"> - </t>
  </si>
  <si>
    <t>Shearing machine (Covaris ML230)</t>
  </si>
  <si>
    <t>WGS-Tagmentation</t>
  </si>
  <si>
    <t>Illumina® DNA/RNA UD Indexes Set A, Tagmentation (96 Indexes, 96 Samples)</t>
  </si>
  <si>
    <t>-</t>
  </si>
  <si>
    <t>Costs per category</t>
  </si>
  <si>
    <t>300 cases per year</t>
  </si>
  <si>
    <t>2000 cases per year</t>
  </si>
  <si>
    <t>Research and Development</t>
  </si>
  <si>
    <t>Consumables WGS</t>
  </si>
  <si>
    <t>Consumables WTS</t>
  </si>
  <si>
    <t>Personnel</t>
  </si>
  <si>
    <t>Capital costs</t>
  </si>
  <si>
    <t>Maintenance costs</t>
  </si>
  <si>
    <t>Total costs WGS/WTS</t>
  </si>
  <si>
    <t>NextSeq550</t>
  </si>
  <si>
    <t>NovaSeq 6000</t>
  </si>
  <si>
    <t>Novaseq X</t>
  </si>
  <si>
    <t>mid output</t>
  </si>
  <si>
    <t>high output</t>
  </si>
  <si>
    <t>SP</t>
  </si>
  <si>
    <t>S1</t>
  </si>
  <si>
    <t>S2</t>
  </si>
  <si>
    <t>S4</t>
  </si>
  <si>
    <t>1.5B</t>
  </si>
  <si>
    <t>10B</t>
  </si>
  <si>
    <t>25B</t>
  </si>
  <si>
    <t>WGS</t>
  </si>
  <si>
    <t>prize per flow cell</t>
  </si>
  <si>
    <t>prize per case</t>
  </si>
  <si>
    <t>Computational data analysis</t>
  </si>
  <si>
    <t>Storage Server</t>
  </si>
  <si>
    <t>License Variant database</t>
  </si>
  <si>
    <t>License Base Calling on Illumina DRAGEN</t>
  </si>
  <si>
    <t>Illumina DRAGEN Server</t>
  </si>
  <si>
    <t>List prize</t>
  </si>
  <si>
    <t>NA</t>
  </si>
  <si>
    <t>Prize per case (base case)</t>
  </si>
  <si>
    <t>WTS</t>
  </si>
  <si>
    <t>Basic equipment</t>
  </si>
  <si>
    <t>Pipettes (3 sets a 5 pipettes)</t>
  </si>
  <si>
    <t>Vortexing machine (2x)</t>
  </si>
  <si>
    <t>Mini centrifuges (4x)</t>
  </si>
  <si>
    <t>Label printer (2x)</t>
  </si>
  <si>
    <t>Slide printer</t>
  </si>
  <si>
    <t>DNA/RNA extraction</t>
  </si>
  <si>
    <t>Cooling plate</t>
  </si>
  <si>
    <t>Water bath</t>
  </si>
  <si>
    <t>Shaker for reaction tubes</t>
  </si>
  <si>
    <t>Bench top centrifuge</t>
  </si>
  <si>
    <t>PraePCR</t>
  </si>
  <si>
    <t>PraePCR / PostPCR</t>
  </si>
  <si>
    <t>Shaker for 96 well plates (Genie® Pulse Modell Digital MicroPlate Genie® Pulse)</t>
  </si>
  <si>
    <t>Centrifuge for 96 well plates (PeqLab PerfectSpin C1000)</t>
  </si>
  <si>
    <t>PCR Cycler (Biometra Trio)</t>
  </si>
  <si>
    <t>Nucleic acid quality determination (TapeStation 4200)</t>
  </si>
  <si>
    <t>NA Concentration Measurement (Qubit Flex)</t>
  </si>
  <si>
    <t>Sequencing</t>
  </si>
  <si>
    <t>NovaSeq X Plus</t>
  </si>
  <si>
    <t>Sum (without NovaSeq X Plus)</t>
  </si>
  <si>
    <t>Maintenance</t>
  </si>
  <si>
    <t>Contract</t>
  </si>
  <si>
    <t>Sum</t>
  </si>
  <si>
    <t>Costs per month (without end of the year bonus)</t>
  </si>
  <si>
    <t>Costs per year (including end of the year bonus)</t>
  </si>
  <si>
    <t>Actual working time per year</t>
  </si>
  <si>
    <t>Costs per minute</t>
  </si>
  <si>
    <t>Time per Case [min]</t>
  </si>
  <si>
    <t>Costs per case</t>
  </si>
  <si>
    <t>Role</t>
  </si>
  <si>
    <t>Technical assistant</t>
  </si>
  <si>
    <t>Biologist</t>
  </si>
  <si>
    <t>Trainee doctor</t>
  </si>
  <si>
    <t>Medical specialist</t>
  </si>
  <si>
    <t>Bioinformatician</t>
  </si>
  <si>
    <t>2x 0.5</t>
  </si>
  <si>
    <t>1x 0.5</t>
  </si>
  <si>
    <t>Quality management</t>
  </si>
  <si>
    <t>Case management</t>
  </si>
  <si>
    <t>Tariff pay grade</t>
  </si>
  <si>
    <t>Fixed positions</t>
  </si>
  <si>
    <t>Ä1/3</t>
  </si>
  <si>
    <t>E8/3</t>
  </si>
  <si>
    <t>E13/3</t>
  </si>
  <si>
    <t>Ä2/3</t>
  </si>
  <si>
    <t>Bioinf + QM</t>
  </si>
  <si>
    <t>CM</t>
  </si>
  <si>
    <t>Costs per year</t>
  </si>
  <si>
    <t>Number of cases per year</t>
  </si>
  <si>
    <t>Personnel costs in total</t>
  </si>
  <si>
    <t>Fixed positions 300 cases per year</t>
  </si>
  <si>
    <t>Fixed positions 2000 cases per year</t>
  </si>
  <si>
    <t>2</t>
  </si>
  <si>
    <t>7</t>
  </si>
  <si>
    <t>Costs per year 300 cases</t>
  </si>
  <si>
    <t>Costs per year 2000 cases</t>
  </si>
  <si>
    <t>Working time per Case - Technical assistant</t>
  </si>
  <si>
    <t>Processed cases per step</t>
  </si>
  <si>
    <t>working time per case [min]</t>
  </si>
  <si>
    <t>time per step [min]</t>
  </si>
  <si>
    <t>H &amp; E staining</t>
  </si>
  <si>
    <t>Nucleic acids quantification Qubit</t>
  </si>
  <si>
    <t>Sequencing WTS</t>
  </si>
  <si>
    <t>Sequencing WGS</t>
  </si>
  <si>
    <t>DNA extraction blood</t>
  </si>
  <si>
    <t>FFPE slides preparation, dewaxing</t>
  </si>
  <si>
    <t>FFPE Macrodissection, RNA extraction part 1</t>
  </si>
  <si>
    <t>RNA extraction part 2</t>
  </si>
  <si>
    <t>FFPE Macrodissection, DNA extraction part 1</t>
  </si>
  <si>
    <t>DNA extraction part 2</t>
  </si>
  <si>
    <t>Covaris and qualiy control Tape Station</t>
  </si>
  <si>
    <t>Product</t>
  </si>
  <si>
    <t>Units</t>
  </si>
  <si>
    <t>Order number</t>
  </si>
  <si>
    <t>Manufacturer</t>
  </si>
  <si>
    <t>List price without VAT</t>
  </si>
  <si>
    <t>Price per sample</t>
  </si>
  <si>
    <t>Number of Samples per product</t>
  </si>
  <si>
    <t>SafeSeal SurPhob pipet tips with filter</t>
  </si>
  <si>
    <t>PCR SingleCap 8er-SoftStrips </t>
  </si>
  <si>
    <t>120 strips</t>
  </si>
  <si>
    <t>112 reactions</t>
  </si>
  <si>
    <t>500 reactions</t>
  </si>
  <si>
    <t>125 reactions</t>
  </si>
  <si>
    <t>DNA D1000 ScreenTape</t>
  </si>
  <si>
    <t>DNA D1000 Reagents</t>
  </si>
  <si>
    <t>125 strips</t>
  </si>
  <si>
    <t>96 reactions</t>
  </si>
  <si>
    <t xml:space="preserve">Illumina® Stranded Total RNA Prep, Ligation with Ribo-Zero Plus </t>
  </si>
  <si>
    <t>Illumina® RNA UD Indexes Set B, Ligation (96 Indexes, 96 Samples)</t>
  </si>
  <si>
    <t>Ethanol &gt;99,8% P.A.</t>
  </si>
  <si>
    <t>2.5l</t>
  </si>
  <si>
    <t>Xylol pure</t>
  </si>
  <si>
    <t>Qubit™ RNA High Sensitivity (HS) Assay Kits</t>
  </si>
  <si>
    <t>Qubit™ 1x DSDNA HS</t>
  </si>
  <si>
    <t>Qubit™ Flex Tube Strips</t>
  </si>
  <si>
    <t>Thermo Fisher Scientific</t>
  </si>
  <si>
    <t>48 reactions</t>
  </si>
  <si>
    <t>Illumina DNA Prep, (M) Tagmentation (96 Samples, IPB)</t>
  </si>
  <si>
    <t>Extraction</t>
  </si>
  <si>
    <t>Maxwell RSC Blood DNA Kit</t>
  </si>
  <si>
    <t>Blades</t>
  </si>
  <si>
    <t>Hematoxylin</t>
  </si>
  <si>
    <t xml:space="preserve">1l </t>
  </si>
  <si>
    <t>Slides</t>
  </si>
  <si>
    <t>2500 slides</t>
  </si>
  <si>
    <t>50 blades</t>
  </si>
  <si>
    <t>1l</t>
  </si>
  <si>
    <t>0.5l</t>
  </si>
  <si>
    <t> X883.2</t>
  </si>
  <si>
    <t>8 microTUBE-50 AFA Fiber H SlitStrip V2</t>
  </si>
  <si>
    <t>High Sensitivity D1000 ScreenTape</t>
  </si>
  <si>
    <t>High Sensitivity D1000 Reagents</t>
  </si>
  <si>
    <t>Twist Library Preparation Kit, Mechanical Fragmentation</t>
  </si>
  <si>
    <t xml:space="preserve">Twist UMI Adapter System TruSeq Compatible, 96 Samples Plate A </t>
  </si>
  <si>
    <t>Freezer/Fridge (2x)</t>
  </si>
  <si>
    <t>Actual working time per year [hrs]</t>
  </si>
  <si>
    <t>Quality management (QM)</t>
  </si>
  <si>
    <t>Case management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</si>
</sst>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"/>
    <numFmt numFmtId="166" formatCode="#,##0.00\ &quot;€&quot;"/>
    <numFmt numFmtId="167" formatCode="#,##0\ &quot;€&quot;"/>
    <numFmt numFmtId="168" formatCode="0\ &quot;[mio R]&quot;"/>
    <numFmt numFmtId="169" formatCode="_-* &quot;€&quot;#,##0.00_-;\-* &quot;€&quot;#,##0.00_-;_-* &quot;-&quot;&quot;€&quot;??_-;_-@_-"/>
    <numFmt numFmtId="170" formatCode="&quot;€&quot;#,##0.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9"/>
      <color rgb="FF4A4A4A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6"/>
        <bgColor theme="6"/>
      </patternFill>
    </fill>
    <fill>
      <patternFill patternType="solid">
        <fgColor rgb="FFF3F3F3"/>
        <bgColor indexed="64"/>
      </patternFill>
    </fill>
    <fill>
      <patternFill patternType="solid">
        <fgColor rgb="FFF5F9FD"/>
        <bgColor indexed="64"/>
      </patternFill>
    </fill>
    <fill>
      <patternFill patternType="solid">
        <fgColor rgb="FFFFFAE7"/>
        <bgColor indexed="64"/>
      </patternFill>
    </fill>
    <fill>
      <patternFill patternType="solid">
        <fgColor rgb="FFFFE7EA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indexed="64"/>
      </bottom>
      <diagonal/>
    </border>
    <border>
      <left/>
      <right/>
      <top style="thin">
        <color theme="6"/>
      </top>
      <bottom style="thin">
        <color indexed="64"/>
      </bottom>
      <diagonal/>
    </border>
    <border>
      <left/>
      <right style="thin">
        <color theme="6"/>
      </right>
      <top style="thin">
        <color theme="6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medium">
        <color indexed="64"/>
      </diagonal>
    </border>
    <border diagonalDown="1">
      <left/>
      <right style="medium">
        <color indexed="64"/>
      </right>
      <top/>
      <bottom/>
      <diagonal style="medium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0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0" fillId="6" borderId="0" applyNumberFormat="0" applyBorder="0" applyAlignment="0" applyProtection="0"/>
  </cellStyleXfs>
  <cellXfs count="173">
    <xf numFmtId="0" fontId="0" fillId="0" borderId="0" xfId="0"/>
    <xf numFmtId="0" fontId="3" fillId="0" borderId="0" xfId="0" applyFont="1" applyFill="1"/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6" fontId="7" fillId="0" borderId="0" xfId="0" applyNumberFormat="1" applyFont="1" applyFill="1" applyBorder="1" applyAlignment="1">
      <alignment horizontal="right" vertical="top"/>
    </xf>
    <xf numFmtId="0" fontId="0" fillId="0" borderId="0" xfId="0" applyAlignment="1">
      <alignment horizontal="right"/>
    </xf>
    <xf numFmtId="3" fontId="3" fillId="0" borderId="0" xfId="0" applyNumberFormat="1" applyFont="1" applyFill="1"/>
    <xf numFmtId="0" fontId="8" fillId="0" borderId="0" xfId="0" applyFont="1"/>
    <xf numFmtId="6" fontId="3" fillId="0" borderId="0" xfId="0" applyNumberFormat="1" applyFont="1" applyFill="1"/>
    <xf numFmtId="44" fontId="3" fillId="0" borderId="0" xfId="0" applyNumberFormat="1" applyFont="1" applyFill="1"/>
    <xf numFmtId="0" fontId="0" fillId="3" borderId="0" xfId="0" applyFont="1" applyFill="1" applyBorder="1" applyAlignment="1">
      <alignment horizontal="center" vertical="center" wrapText="1"/>
    </xf>
    <xf numFmtId="44" fontId="0" fillId="0" borderId="0" xfId="0" applyNumberFormat="1"/>
    <xf numFmtId="0" fontId="3" fillId="0" borderId="0" xfId="0" applyFont="1" applyFill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1" fontId="1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167" fontId="13" fillId="0" borderId="0" xfId="0" applyNumberFormat="1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right" vertical="center" wrapText="1"/>
    </xf>
    <xf numFmtId="0" fontId="6" fillId="0" borderId="0" xfId="1" applyFont="1" applyFill="1" applyBorder="1" applyAlignment="1" applyProtection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167" fontId="6" fillId="0" borderId="0" xfId="0" applyNumberFormat="1" applyFont="1" applyFill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44" fontId="6" fillId="0" borderId="0" xfId="0" applyNumberFormat="1" applyFont="1" applyFill="1" applyBorder="1" applyAlignment="1">
      <alignment horizontal="right" vertical="center"/>
    </xf>
    <xf numFmtId="0" fontId="13" fillId="0" borderId="5" xfId="0" applyFont="1" applyBorder="1" applyAlignment="1">
      <alignment horizontal="right" vertical="center" wrapText="1"/>
    </xf>
    <xf numFmtId="167" fontId="7" fillId="0" borderId="0" xfId="0" applyNumberFormat="1" applyFont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left" vertical="center"/>
    </xf>
    <xf numFmtId="44" fontId="6" fillId="0" borderId="0" xfId="0" applyNumberFormat="1" applyFont="1" applyBorder="1" applyAlignment="1">
      <alignment horizontal="left" vertical="center"/>
    </xf>
    <xf numFmtId="167" fontId="1" fillId="0" borderId="0" xfId="0" applyNumberFormat="1" applyFont="1" applyFill="1" applyBorder="1" applyAlignment="1">
      <alignment horizontal="left" vertical="center"/>
    </xf>
    <xf numFmtId="169" fontId="13" fillId="0" borderId="0" xfId="0" applyNumberFormat="1" applyFont="1" applyFill="1" applyBorder="1" applyAlignment="1">
      <alignment horizontal="right" vertical="center"/>
    </xf>
    <xf numFmtId="169" fontId="6" fillId="0" borderId="0" xfId="0" applyNumberFormat="1" applyFont="1" applyFill="1" applyBorder="1" applyAlignment="1">
      <alignment horizontal="right" vertical="center"/>
    </xf>
    <xf numFmtId="0" fontId="14" fillId="0" borderId="0" xfId="0" applyFont="1"/>
    <xf numFmtId="0" fontId="14" fillId="0" borderId="0" xfId="0" applyFont="1" applyAlignment="1">
      <alignment horizontal="right"/>
    </xf>
    <xf numFmtId="169" fontId="14" fillId="0" borderId="0" xfId="0" applyNumberFormat="1" applyFont="1" applyFill="1" applyBorder="1" applyAlignment="1">
      <alignment horizontal="right" vertical="center"/>
    </xf>
    <xf numFmtId="44" fontId="14" fillId="0" borderId="0" xfId="0" applyNumberFormat="1" applyFont="1"/>
    <xf numFmtId="0" fontId="14" fillId="0" borderId="0" xfId="0" applyNumberFormat="1" applyFont="1"/>
    <xf numFmtId="0" fontId="14" fillId="0" borderId="0" xfId="0" applyNumberFormat="1" applyFont="1" applyFill="1"/>
    <xf numFmtId="0" fontId="15" fillId="0" borderId="0" xfId="0" applyFont="1"/>
    <xf numFmtId="0" fontId="16" fillId="7" borderId="8" xfId="0" applyFont="1" applyFill="1" applyBorder="1"/>
    <xf numFmtId="0" fontId="16" fillId="7" borderId="9" xfId="0" applyFont="1" applyFill="1" applyBorder="1"/>
    <xf numFmtId="0" fontId="16" fillId="7" borderId="10" xfId="0" applyFont="1" applyFill="1" applyBorder="1"/>
    <xf numFmtId="0" fontId="14" fillId="0" borderId="8" xfId="0" applyFont="1" applyBorder="1"/>
    <xf numFmtId="17" fontId="14" fillId="3" borderId="1" xfId="0" applyNumberFormat="1" applyFont="1" applyFill="1" applyBorder="1" applyAlignment="1">
      <alignment horizontal="center"/>
    </xf>
    <xf numFmtId="0" fontId="14" fillId="0" borderId="2" xfId="0" applyFont="1" applyBorder="1"/>
    <xf numFmtId="0" fontId="14" fillId="0" borderId="2" xfId="0" applyFont="1" applyBorder="1" applyAlignment="1">
      <alignment horizontal="center"/>
    </xf>
    <xf numFmtId="0" fontId="14" fillId="0" borderId="3" xfId="0" applyFont="1" applyBorder="1"/>
    <xf numFmtId="0" fontId="14" fillId="0" borderId="3" xfId="0" applyFont="1" applyBorder="1" applyAlignment="1">
      <alignment horizontal="center"/>
    </xf>
    <xf numFmtId="0" fontId="14" fillId="0" borderId="1" xfId="0" applyFont="1" applyBorder="1"/>
    <xf numFmtId="0" fontId="14" fillId="0" borderId="1" xfId="0" applyFont="1" applyFill="1" applyBorder="1"/>
    <xf numFmtId="0" fontId="14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 wrapText="1"/>
    </xf>
    <xf numFmtId="0" fontId="14" fillId="0" borderId="2" xfId="0" applyFont="1" applyFill="1" applyBorder="1"/>
    <xf numFmtId="0" fontId="14" fillId="0" borderId="2" xfId="0" applyFont="1" applyFill="1" applyBorder="1" applyAlignment="1">
      <alignment horizontal="center" wrapText="1"/>
    </xf>
    <xf numFmtId="0" fontId="15" fillId="0" borderId="3" xfId="0" applyFont="1" applyFill="1" applyBorder="1"/>
    <xf numFmtId="0" fontId="15" fillId="0" borderId="3" xfId="0" applyFont="1" applyFill="1" applyBorder="1" applyAlignment="1">
      <alignment horizontal="center" wrapText="1"/>
    </xf>
    <xf numFmtId="0" fontId="14" fillId="0" borderId="0" xfId="0" applyFont="1" applyAlignment="1">
      <alignment horizontal="center"/>
    </xf>
    <xf numFmtId="17" fontId="14" fillId="3" borderId="1" xfId="0" applyNumberFormat="1" applyFont="1" applyFill="1" applyBorder="1"/>
    <xf numFmtId="0" fontId="14" fillId="3" borderId="3" xfId="0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0" xfId="0" applyFont="1" applyBorder="1"/>
    <xf numFmtId="0" fontId="14" fillId="0" borderId="29" xfId="0" applyFont="1" applyFill="1" applyBorder="1"/>
    <xf numFmtId="0" fontId="14" fillId="0" borderId="29" xfId="0" applyFont="1" applyBorder="1" applyAlignment="1">
      <alignment horizontal="center"/>
    </xf>
    <xf numFmtId="0" fontId="14" fillId="0" borderId="0" xfId="0" applyNumberFormat="1" applyFont="1" applyAlignment="1">
      <alignment horizontal="right"/>
    </xf>
    <xf numFmtId="0" fontId="17" fillId="0" borderId="0" xfId="0" applyFont="1" applyFill="1"/>
    <xf numFmtId="0" fontId="17" fillId="0" borderId="4" xfId="0" applyFont="1" applyFill="1" applyBorder="1"/>
    <xf numFmtId="0" fontId="17" fillId="0" borderId="1" xfId="0" applyFont="1" applyFill="1" applyBorder="1"/>
    <xf numFmtId="0" fontId="18" fillId="0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right" vertical="center"/>
    </xf>
    <xf numFmtId="0" fontId="0" fillId="3" borderId="3" xfId="0" applyFont="1" applyFill="1" applyBorder="1" applyAlignment="1">
      <alignment horizontal="center" vertical="center" wrapText="1"/>
    </xf>
    <xf numFmtId="0" fontId="0" fillId="0" borderId="7" xfId="0" applyFont="1" applyFill="1" applyBorder="1"/>
    <xf numFmtId="0" fontId="14" fillId="2" borderId="3" xfId="0" applyFont="1" applyFill="1" applyBorder="1" applyAlignment="1">
      <alignment horizontal="right" vertical="center"/>
    </xf>
    <xf numFmtId="169" fontId="14" fillId="2" borderId="1" xfId="0" applyNumberFormat="1" applyFont="1" applyFill="1" applyBorder="1" applyAlignment="1">
      <alignment horizontal="right" vertical="center"/>
    </xf>
    <xf numFmtId="169" fontId="14" fillId="2" borderId="3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4" fontId="14" fillId="0" borderId="0" xfId="3" applyNumberFormat="1" applyFont="1" applyAlignment="1">
      <alignment vertical="center" wrapText="1"/>
    </xf>
    <xf numFmtId="44" fontId="14" fillId="0" borderId="0" xfId="0" applyNumberFormat="1" applyFont="1" applyAlignment="1">
      <alignment vertical="center"/>
    </xf>
    <xf numFmtId="169" fontId="14" fillId="0" borderId="0" xfId="0" applyNumberFormat="1" applyFont="1" applyBorder="1" applyAlignment="1">
      <alignment horizontal="right" vertical="center"/>
    </xf>
    <xf numFmtId="168" fontId="20" fillId="6" borderId="21" xfId="6" applyNumberFormat="1" applyFont="1" applyBorder="1" applyAlignment="1">
      <alignment horizontal="center" vertical="center"/>
    </xf>
    <xf numFmtId="168" fontId="20" fillId="6" borderId="17" xfId="6" applyNumberFormat="1" applyFont="1" applyBorder="1" applyAlignment="1">
      <alignment horizontal="center" vertical="center"/>
    </xf>
    <xf numFmtId="168" fontId="20" fillId="5" borderId="21" xfId="5" applyNumberFormat="1" applyFont="1" applyBorder="1" applyAlignment="1">
      <alignment horizontal="center" vertical="center"/>
    </xf>
    <xf numFmtId="168" fontId="20" fillId="5" borderId="22" xfId="5" applyNumberFormat="1" applyFont="1" applyBorder="1" applyAlignment="1">
      <alignment horizontal="center" vertical="center"/>
    </xf>
    <xf numFmtId="168" fontId="20" fillId="5" borderId="23" xfId="5" applyNumberFormat="1" applyFont="1" applyBorder="1" applyAlignment="1">
      <alignment horizontal="center" vertical="center"/>
    </xf>
    <xf numFmtId="168" fontId="20" fillId="5" borderId="17" xfId="5" applyNumberFormat="1" applyFont="1" applyBorder="1" applyAlignment="1">
      <alignment horizontal="center" vertical="center"/>
    </xf>
    <xf numFmtId="168" fontId="20" fillId="4" borderId="21" xfId="4" applyNumberFormat="1" applyFont="1" applyBorder="1" applyAlignment="1">
      <alignment horizontal="center" vertical="center"/>
    </xf>
    <xf numFmtId="168" fontId="20" fillId="4" borderId="23" xfId="4" applyNumberFormat="1" applyFont="1" applyBorder="1" applyAlignment="1">
      <alignment horizontal="center" vertical="center"/>
    </xf>
    <xf numFmtId="168" fontId="20" fillId="4" borderId="17" xfId="4" applyNumberFormat="1" applyFont="1" applyBorder="1" applyAlignment="1">
      <alignment horizontal="center" vertical="center"/>
    </xf>
    <xf numFmtId="168" fontId="20" fillId="8" borderId="26" xfId="6" applyNumberFormat="1" applyFont="1" applyFill="1" applyBorder="1" applyAlignment="1">
      <alignment horizontal="center" vertical="center"/>
    </xf>
    <xf numFmtId="0" fontId="14" fillId="0" borderId="22" xfId="0" applyFont="1" applyBorder="1"/>
    <xf numFmtId="0" fontId="14" fillId="0" borderId="31" xfId="0" applyFont="1" applyBorder="1"/>
    <xf numFmtId="0" fontId="13" fillId="8" borderId="27" xfId="0" applyFont="1" applyFill="1" applyBorder="1" applyAlignment="1">
      <alignment horizontal="center"/>
    </xf>
    <xf numFmtId="0" fontId="13" fillId="6" borderId="26" xfId="6" applyFont="1" applyBorder="1" applyAlignment="1">
      <alignment horizontal="center"/>
    </xf>
    <xf numFmtId="0" fontId="13" fillId="6" borderId="27" xfId="6" applyFont="1" applyBorder="1" applyAlignment="1">
      <alignment horizontal="center"/>
    </xf>
    <xf numFmtId="0" fontId="13" fillId="5" borderId="26" xfId="5" applyFont="1" applyBorder="1" applyAlignment="1">
      <alignment horizontal="center"/>
    </xf>
    <xf numFmtId="0" fontId="13" fillId="5" borderId="28" xfId="5" applyFont="1" applyBorder="1" applyAlignment="1">
      <alignment horizontal="center"/>
    </xf>
    <xf numFmtId="0" fontId="13" fillId="5" borderId="29" xfId="5" applyFont="1" applyBorder="1" applyAlignment="1">
      <alignment horizontal="center"/>
    </xf>
    <xf numFmtId="0" fontId="13" fillId="5" borderId="27" xfId="5" applyFont="1" applyBorder="1" applyAlignment="1">
      <alignment horizontal="center"/>
    </xf>
    <xf numFmtId="0" fontId="13" fillId="4" borderId="26" xfId="4" applyFont="1" applyBorder="1" applyAlignment="1">
      <alignment horizontal="center"/>
    </xf>
    <xf numFmtId="0" fontId="13" fillId="4" borderId="29" xfId="4" applyFont="1" applyBorder="1" applyAlignment="1">
      <alignment horizontal="center"/>
    </xf>
    <xf numFmtId="0" fontId="13" fillId="4" borderId="27" xfId="4" applyFont="1" applyBorder="1" applyAlignment="1">
      <alignment horizontal="center"/>
    </xf>
    <xf numFmtId="1" fontId="6" fillId="9" borderId="28" xfId="6" applyNumberFormat="1" applyFont="1" applyFill="1" applyBorder="1" applyAlignment="1">
      <alignment horizontal="center"/>
    </xf>
    <xf numFmtId="165" fontId="6" fillId="9" borderId="29" xfId="6" applyNumberFormat="1" applyFont="1" applyFill="1" applyBorder="1" applyAlignment="1">
      <alignment horizontal="center"/>
    </xf>
    <xf numFmtId="165" fontId="6" fillId="10" borderId="29" xfId="5" applyNumberFormat="1" applyFont="1" applyFill="1" applyBorder="1" applyAlignment="1">
      <alignment horizontal="center"/>
    </xf>
    <xf numFmtId="165" fontId="6" fillId="11" borderId="29" xfId="4" applyNumberFormat="1" applyFont="1" applyFill="1" applyBorder="1" applyAlignment="1">
      <alignment horizontal="center"/>
    </xf>
    <xf numFmtId="1" fontId="6" fillId="11" borderId="29" xfId="4" applyNumberFormat="1" applyFont="1" applyFill="1" applyBorder="1" applyAlignment="1">
      <alignment horizontal="center"/>
    </xf>
    <xf numFmtId="0" fontId="6" fillId="11" borderId="30" xfId="4" applyFont="1" applyFill="1" applyBorder="1" applyAlignment="1">
      <alignment horizontal="center"/>
    </xf>
    <xf numFmtId="170" fontId="6" fillId="9" borderId="28" xfId="6" applyNumberFormat="1" applyFont="1" applyFill="1" applyBorder="1" applyAlignment="1">
      <alignment horizontal="center"/>
    </xf>
    <xf numFmtId="170" fontId="6" fillId="9" borderId="29" xfId="6" applyNumberFormat="1" applyFont="1" applyFill="1" applyBorder="1" applyAlignment="1">
      <alignment horizontal="center"/>
    </xf>
    <xf numFmtId="170" fontId="6" fillId="10" borderId="29" xfId="5" applyNumberFormat="1" applyFont="1" applyFill="1" applyBorder="1" applyAlignment="1">
      <alignment horizontal="center"/>
    </xf>
    <xf numFmtId="170" fontId="6" fillId="11" borderId="29" xfId="4" applyNumberFormat="1" applyFont="1" applyFill="1" applyBorder="1" applyAlignment="1">
      <alignment horizontal="center"/>
    </xf>
    <xf numFmtId="170" fontId="6" fillId="11" borderId="30" xfId="4" applyNumberFormat="1" applyFont="1" applyFill="1" applyBorder="1" applyAlignment="1">
      <alignment horizontal="center"/>
    </xf>
    <xf numFmtId="0" fontId="14" fillId="0" borderId="7" xfId="0" applyFont="1" applyBorder="1"/>
    <xf numFmtId="10" fontId="14" fillId="0" borderId="9" xfId="0" applyNumberFormat="1" applyFont="1" applyBorder="1"/>
    <xf numFmtId="10" fontId="14" fillId="0" borderId="10" xfId="0" applyNumberFormat="1" applyFont="1" applyBorder="1"/>
    <xf numFmtId="0" fontId="14" fillId="0" borderId="11" xfId="0" applyFont="1" applyBorder="1"/>
    <xf numFmtId="10" fontId="14" fillId="0" borderId="12" xfId="0" applyNumberFormat="1" applyFont="1" applyBorder="1"/>
    <xf numFmtId="10" fontId="14" fillId="0" borderId="13" xfId="0" applyNumberFormat="1" applyFont="1" applyBorder="1"/>
    <xf numFmtId="169" fontId="14" fillId="0" borderId="7" xfId="0" applyNumberFormat="1" applyFont="1" applyBorder="1" applyAlignment="1">
      <alignment horizontal="right" vertical="center"/>
    </xf>
    <xf numFmtId="0" fontId="6" fillId="0" borderId="3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69" fontId="6" fillId="0" borderId="34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44" fontId="6" fillId="0" borderId="34" xfId="3" applyNumberFormat="1" applyFont="1" applyBorder="1" applyAlignment="1">
      <alignment vertical="center" wrapText="1"/>
    </xf>
    <xf numFmtId="169" fontId="6" fillId="0" borderId="33" xfId="0" applyNumberFormat="1" applyFont="1" applyBorder="1" applyAlignment="1">
      <alignment horizontal="right" vertical="center"/>
    </xf>
    <xf numFmtId="169" fontId="6" fillId="0" borderId="3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</cellXfs>
  <cellStyles count="7">
    <cellStyle name="20 % - Akzent5" xfId="6" builtinId="46"/>
    <cellStyle name="Komma" xfId="3" builtinId="3"/>
    <cellStyle name="Link" xfId="1" builtinId="8"/>
    <cellStyle name="Neutral" xfId="5" builtinId="28"/>
    <cellStyle name="Schlecht" xfId="4" builtinId="27"/>
    <cellStyle name="Standard" xfId="0" builtinId="0"/>
    <cellStyle name="Standard 4" xfId="2" xr:uid="{056CF9D1-35A3-40AB-A3C9-729021D90FCF}"/>
  </cellStyles>
  <dxfs count="83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alignment horizontal="right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font>
        <name val="Arial"/>
        <family val="2"/>
        <scheme val="none"/>
      </font>
      <numFmt numFmtId="169" formatCode="_-* &quot;€&quot;#,##0.00_-;\-* &quot;€&quot;#,##0.00_-;_-* &quot;-&quot;&quot;€&quot;??_-;_-@_-"/>
      <alignment horizontal="right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/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alignment horizontal="righ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9" formatCode="_-* &quot;€&quot;#,##0.00_-;\-* &quot;€&quot;#,##0.00_-;_-* &quot;-&quot;&quot;€&quot;??_-;_-@_-"/>
      <alignment horizontal="righ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9" formatCode="_-* &quot;€&quot;#,##0.00_-;\-* &quot;€&quot;#,##0.00_-;_-* &quot;-&quot;&quot;€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_-* &quot;€&quot;#,##0.00_-;\-* &quot;€&quot;#,##0.00_-;_-* &quot;-&quot;&quot;€&quot;??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</dxfs>
  <tableStyles count="0" defaultTableStyle="TableStyleMedium2" defaultPivotStyle="PivotStyleLight16"/>
  <colors>
    <mruColors>
      <color rgb="FFFFFF99"/>
      <color rgb="FFD9B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590694</xdr:colOff>
      <xdr:row>1</xdr:row>
      <xdr:rowOff>120978</xdr:rowOff>
    </xdr:from>
    <xdr:ext cx="817525" cy="247184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F6C96D84-E70E-41B0-B85A-CD24E10EFA91}"/>
            </a:ext>
          </a:extLst>
        </xdr:cNvPr>
        <xdr:cNvSpPr txBox="1"/>
      </xdr:nvSpPr>
      <xdr:spPr>
        <a:xfrm rot="1191149">
          <a:off x="979021" y="318805"/>
          <a:ext cx="817525" cy="2471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000" b="1">
              <a:latin typeface="Arial" panose="020B0604020202020204" pitchFamily="34" charset="0"/>
              <a:cs typeface="Arial" panose="020B0604020202020204" pitchFamily="34" charset="0"/>
            </a:rPr>
            <a:t>Flow</a:t>
          </a:r>
          <a:r>
            <a:rPr lang="de-DE" sz="1050" b="1">
              <a:latin typeface="Arial" panose="020B0604020202020204" pitchFamily="34" charset="0"/>
              <a:cs typeface="Arial" panose="020B0604020202020204" pitchFamily="34" charset="0"/>
            </a:rPr>
            <a:t> Cell</a:t>
          </a:r>
        </a:p>
      </xdr:txBody>
    </xdr:sp>
    <xdr:clientData/>
  </xdr:oneCellAnchor>
  <xdr:oneCellAnchor>
    <xdr:from>
      <xdr:col>1</xdr:col>
      <xdr:colOff>108439</xdr:colOff>
      <xdr:row>2</xdr:row>
      <xdr:rowOff>42496</xdr:rowOff>
    </xdr:from>
    <xdr:ext cx="753227" cy="248851"/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994BABA-D9FC-450C-8CCC-3627E308290D}"/>
            </a:ext>
          </a:extLst>
        </xdr:cNvPr>
        <xdr:cNvSpPr txBox="1"/>
      </xdr:nvSpPr>
      <xdr:spPr>
        <a:xfrm>
          <a:off x="496766" y="452804"/>
          <a:ext cx="75322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000" b="1">
              <a:latin typeface="Arial" panose="020B0604020202020204" pitchFamily="34" charset="0"/>
              <a:cs typeface="Arial" panose="020B0604020202020204" pitchFamily="34" charset="0"/>
            </a:rPr>
            <a:t>Panel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t01/PATHO-Mol-Dia/Projekte/Projekt%20microcosting%20MPZ/Personalkosten/Personalkosten_Stand-Juli2025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wist"/>
      <sheetName val="Taq"/>
      <sheetName val="Personalkosten_Stand-Juli2025_1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3112A50-1214-43D7-B463-E11809675849}" name="Tabelle1610" displayName="Tabelle1610" ref="A1:G5" totalsRowShown="0" headerRowDxfId="82" dataDxfId="81">
  <autoFilter ref="A1:G5" xr:uid="{B16947B9-17F9-4A18-B950-E743AFE65FBE}"/>
  <tableColumns count="7">
    <tableColumn id="1" xr3:uid="{3132E4EF-2EBD-40FA-9155-97ED94A00FF9}" name="Tariff pay grade" dataDxfId="80"/>
    <tableColumn id="2" xr3:uid="{0AD7559A-D8B2-48F6-873C-E915D6FB2AE7}" name="Costs per month (without end of the year bonus)" dataDxfId="79"/>
    <tableColumn id="3" xr3:uid="{9B9C7A7F-9EAD-4312-9140-DB6A58B9E5D9}" name="Costs per year (including end of the year bonus)" dataDxfId="78"/>
    <tableColumn id="4" xr3:uid="{A0229A61-A3C2-447E-9EF6-BDFEB9EAF616}" name="Actual working time per year [hrs]" dataDxfId="77"/>
    <tableColumn id="5" xr3:uid="{A81839F5-23E6-438B-8FE5-59912A54766E}" name="Costs per minute" dataDxfId="76">
      <calculatedColumnFormula>Tabelle1610[[#This Row],[Costs per year (including end of the year bonus)]]/(Tabelle1610[[#This Row],[Actual working time per year '[hrs']]]*60)</calculatedColumnFormula>
    </tableColumn>
    <tableColumn id="6" xr3:uid="{8A1073BF-4246-4185-9D7B-2E137BC891AA}" name="Time per Case [min]" dataDxfId="75"/>
    <tableColumn id="7" xr3:uid="{C0E0EAAE-378B-4297-82B4-4D27A9E6F1CC}" name="Costs per case" dataDxfId="74">
      <calculatedColumnFormula>Tabelle1610[[#This Row],[Costs per minute]]*Tabelle1610[[#This Row],[Time per Case '[min']]]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F6E2F64-15B1-4096-9BDB-2D057968A0FB}" name="Tabelle2712" displayName="Tabelle2712" ref="A7:D14" totalsRowShown="0" headerRowDxfId="73" dataDxfId="72">
  <autoFilter ref="A7:D14" xr:uid="{E9DC3BC8-6115-40F3-A1E7-F81E70AAF07D}"/>
  <tableColumns count="4">
    <tableColumn id="1" xr3:uid="{31C6124A-BA4D-4BC7-A19C-31F90159D3A0}" name="Role" dataDxfId="71"/>
    <tableColumn id="2" xr3:uid="{F8B8FDDB-4160-4C9E-AAA8-88655C270DC8}" name="Costs per case" dataDxfId="3"/>
    <tableColumn id="3" xr3:uid="{097221F3-E512-4976-B8B7-03C321639C50}" name="Fixed positions" dataDxfId="5"/>
    <tableColumn id="4" xr3:uid="{717CD7C4-74F4-4EBB-B399-8DED2966B9D9}" name="Tariff pay grade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EAA84BA-06A6-4D97-9215-E6E30DAC602D}" name="Tabelle4915" displayName="Tabelle4915" ref="B21:C23" totalsRowShown="0" headerRowDxfId="70" dataDxfId="69">
  <autoFilter ref="B21:C23" xr:uid="{FB9AF444-7932-4AFB-9E0E-102A7D50151D}"/>
  <tableColumns count="2">
    <tableColumn id="1" xr3:uid="{06EF421B-84F0-43B0-9CA8-890FF232037E}" name="Number of cases per year" dataDxfId="68"/>
    <tableColumn id="2" xr3:uid="{A711FDF1-F22C-452D-9E1F-C54BE0F82228}" name="Personnel costs in total" dataDxfId="67">
      <calculatedColumnFormula>SUM(G1,G2,#REF!,G4)+[1]!Tabelle3[[#This Row],[Kosten]]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0E97915-DAD9-4688-8A76-4CB2E4689DF8}" name="Tabelle3816" displayName="Tabelle3816" ref="A16:B19" totalsRowShown="0" headerRowDxfId="66" dataDxfId="65">
  <autoFilter ref="A16:B19" xr:uid="{3529A784-7146-4D05-B45E-1EE62CF51309}"/>
  <tableColumns count="2">
    <tableColumn id="1" xr3:uid="{B03E17CA-4CB9-45DB-8565-4A22FBE4C51E}" name="Fixed positions" dataDxfId="64"/>
    <tableColumn id="2" xr3:uid="{E795B73C-5C5A-46CD-9370-D70B20A9F42E}" name="Costs per year" dataDxfId="6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5D1755-C023-43FD-A6DD-BEDFFCC77CD3}" name="Tabelle16" displayName="Tabelle16" ref="A1:G5" totalsRowShown="0" headerRowDxfId="62" dataDxfId="61">
  <autoFilter ref="A1:G5" xr:uid="{B16947B9-17F9-4A18-B950-E743AFE65FBE}"/>
  <tableColumns count="7">
    <tableColumn id="1" xr3:uid="{0A243999-AD54-4416-BC88-9510C3D9AB48}" name="Tariff pay grade" dataDxfId="60"/>
    <tableColumn id="2" xr3:uid="{7EA77CD7-3CB3-40BC-9816-392A1A8E11C4}" name="Costs per month (without end of the year bonus)" dataDxfId="59"/>
    <tableColumn id="3" xr3:uid="{74012521-9FB3-4911-B3D3-487247F9BB8B}" name="Costs per year (including end of the year bonus)" dataDxfId="58"/>
    <tableColumn id="4" xr3:uid="{130404B6-BA5E-4A5D-B89E-0162585B306F}" name="Actual working time per year" dataDxfId="57"/>
    <tableColumn id="5" xr3:uid="{734B75FE-BDC2-4B69-96E3-263EDB44F0B5}" name="Costs per minute" dataDxfId="56">
      <calculatedColumnFormula>Tabelle16[[#This Row],[Costs per year (including end of the year bonus)]]/(Tabelle16[[#This Row],[Actual working time per year]]*60)</calculatedColumnFormula>
    </tableColumn>
    <tableColumn id="6" xr3:uid="{8364B290-09E8-4C9F-8024-692D65F3442E}" name="Time per Case [min]" dataDxfId="55"/>
    <tableColumn id="7" xr3:uid="{02EB0458-58A1-4DBE-B1DE-6DCB69C68340}" name="Costs per case" dataDxfId="54">
      <calculatedColumnFormula>Tabelle16[[#This Row],[Costs per minute]]*Tabelle16[[#This Row],[Time per Case '[min']]]</calculatedColumnFormula>
    </tableColumn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CFED1EE-E5EB-4ED0-9EA2-8FE32B6490B4}" name="Tabelle27" displayName="Tabelle27" ref="A7:D14" totalsRowShown="0" headerRowDxfId="53" dataDxfId="52">
  <autoFilter ref="A7:D14" xr:uid="{E9DC3BC8-6115-40F3-A1E7-F81E70AAF07D}"/>
  <tableColumns count="4">
    <tableColumn id="1" xr3:uid="{BC137705-A4A9-4627-8497-AC318419E40B}" name="Role" dataDxfId="51"/>
    <tableColumn id="2" xr3:uid="{B233490E-B740-4E7D-87BF-EF66B2B6216E}" name="Costs per case" dataDxfId="2"/>
    <tableColumn id="3" xr3:uid="{2F9E06AC-0E9A-4378-8B87-E68BBAD78DE2}" name="Fixed positions" dataDxfId="1"/>
    <tableColumn id="4" xr3:uid="{C8E347DD-124A-4754-9867-5195B2FEA9FB}" name="Tariff pay grade" dataDxfId="0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E94B4AC-D87C-4CEC-A255-F068E25180FE}" name="Tabelle49" displayName="Tabelle49" ref="B21:C23" totalsRowShown="0" headerRowDxfId="50" dataDxfId="49">
  <autoFilter ref="B21:C23" xr:uid="{FB9AF444-7932-4AFB-9E0E-102A7D50151D}"/>
  <tableColumns count="2">
    <tableColumn id="1" xr3:uid="{5CC23B17-F476-44CC-9767-5CB578515E99}" name="Number of cases per year" dataDxfId="48"/>
    <tableColumn id="2" xr3:uid="{D225A305-1D2C-4288-835E-EBDA22849352}" name="Personnel costs in total" dataDxfId="47">
      <calculatedColumnFormula>SUM(G1,G2,#REF!,G4)+[1]!Tabelle3[[#This Row],[Kosten]]</calculatedColumnFormula>
    </tableColumn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702F1AF-D3D2-48FD-9C61-613A85537D7B}" name="Tabelle38" displayName="Tabelle38" ref="A16:B19" totalsRowShown="0" headerRowDxfId="46" dataDxfId="45">
  <autoFilter ref="A16:B19" xr:uid="{3529A784-7146-4D05-B45E-1EE62CF51309}"/>
  <tableColumns count="2">
    <tableColumn id="1" xr3:uid="{12ADC4E3-790B-4632-BBD0-6ACC0B7BCC59}" name="Fixed positions" dataDxfId="44"/>
    <tableColumn id="2" xr3:uid="{A50F2AE5-53B6-42F4-882F-49C21E56C9E4}" name="Costs per year" dataDxfId="43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67F889E-2E34-451D-95EB-A3DE2DE7BCBD}" name="Tabelle271218" displayName="Tabelle271218" ref="A7:D14" totalsRowShown="0" headerRowDxfId="42" dataDxfId="41">
  <autoFilter ref="A7:D14" xr:uid="{E9DC3BC8-6115-40F3-A1E7-F81E70AAF07D}"/>
  <tableColumns count="4">
    <tableColumn id="1" xr3:uid="{792BD00A-3009-48F9-B9C8-BE008050BD41}" name="Role" dataDxfId="40"/>
    <tableColumn id="2" xr3:uid="{9796ABBF-C072-43BD-A6B3-780624A157BF}" name="Fixed positions 300 cases per year" dataDxfId="39"/>
    <tableColumn id="5" xr3:uid="{978F06C7-416C-4950-8D4B-B282D05D46F7}" name="Fixed positions 2000 cases per year" dataDxfId="38"/>
    <tableColumn id="3" xr3:uid="{E5647BC0-406A-478A-93C2-378B60C9EF54}" name="Tariff pay grade" dataDxfId="37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4BFA7C5-1A7E-47B8-8D55-19BC2DEF4646}" name="Tabelle491519" displayName="Tabelle491519" ref="B26:C28" totalsRowShown="0" headerRowDxfId="36" dataDxfId="35">
  <autoFilter ref="B26:C28" xr:uid="{FB9AF444-7932-4AFB-9E0E-102A7D50151D}"/>
  <tableColumns count="2">
    <tableColumn id="1" xr3:uid="{A0568A92-FBF5-4F1F-9B9F-923661FD488C}" name="Number of cases per year" dataDxfId="34"/>
    <tableColumn id="2" xr3:uid="{6E637F06-05A8-449E-A6F9-EE56939C56E0}" name="Personnel costs in total" dataDxfId="33">
      <calculatedColumnFormula>SUM(#REF!,#REF!,#REF!,#REF!)+[1]!Tabelle3[[#This Row],[Kosten]]</calculatedColumnFormula>
    </tableColumn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A3A88859-7EC2-453D-BFA2-16F2907C76C0}" name="Tabelle381620" displayName="Tabelle381620" ref="A16:C24" totalsRowShown="0" headerRowDxfId="32" dataDxfId="31">
  <autoFilter ref="A16:C24" xr:uid="{3529A784-7146-4D05-B45E-1EE62CF51309}"/>
  <tableColumns count="3">
    <tableColumn id="1" xr3:uid="{73E53801-1E73-4A23-877D-42F100019119}" name="Fixed positions" dataDxfId="30"/>
    <tableColumn id="2" xr3:uid="{38B9D2AB-9762-4047-BFF6-061983C0D373}" name="Costs per year 300 cases" dataDxfId="29"/>
    <tableColumn id="3" xr3:uid="{8E6B3E66-BE86-4589-9E98-CFD56594F717}" name="Costs per year 2000 cases" dataDxfId="28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2143A1A-F405-4A7C-8B49-03D8B26E33E9}" name="Tabelle161017" displayName="Tabelle161017" ref="A1:C5" totalsRowShown="0" headerRowDxfId="27" dataDxfId="26">
  <autoFilter ref="A1:C5" xr:uid="{B16947B9-17F9-4A18-B950-E743AFE65FBE}"/>
  <tableColumns count="3">
    <tableColumn id="1" xr3:uid="{F327284D-C4C2-40FF-B670-5F0186471A36}" name="Tariff pay grade" dataDxfId="25"/>
    <tableColumn id="2" xr3:uid="{E960C0D9-BDF7-44C1-AFB6-3AF601E3CD9D}" name="Costs per month (without end of the year bonus)" dataDxfId="24"/>
    <tableColumn id="3" xr3:uid="{F43038ED-3FCE-4076-9B6E-B01416CBDF0F}" name="Costs per year (including end of the year bonus)" dataDxfId="23"/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D08F8D-E522-4B57-BD5C-0E5067E3A949}" name="Tabelle113" displayName="Tabelle113" ref="A1:C9" totalsRowShown="0" headerRowDxfId="22" dataDxfId="21">
  <autoFilter ref="A1:C9" xr:uid="{62B018A4-2B6F-4086-BC2A-D4FAD488730A}"/>
  <tableColumns count="3">
    <tableColumn id="1" xr3:uid="{D99092A2-05A9-44DA-8C04-8D2CA0DCD061}" name="Costs per category" dataDxfId="20"/>
    <tableColumn id="2" xr3:uid="{AEEB3C45-A6E5-4B8C-99E8-1F1B16498156}" name="300 cases per year" dataDxfId="19"/>
    <tableColumn id="3" xr3:uid="{EA74A566-0F42-4B52-9823-0CFF30BDE586}" name="2000 cases per year" dataDxfId="18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895E201-BDA4-4E60-809A-A7CEAF344F7B}" name="Tabelle14" displayName="Tabelle14" ref="A1:C9" totalsRowShown="0" headerRowDxfId="17" dataDxfId="16">
  <autoFilter ref="A1:C9" xr:uid="{2B167800-E147-4140-A459-E4E92AAA4C19}"/>
  <tableColumns count="3">
    <tableColumn id="1" xr3:uid="{158CADDB-E700-4CBB-A6DA-D0CDA5E183E4}" name="Costs per category" dataDxfId="15"/>
    <tableColumn id="2" xr3:uid="{958480B2-5770-4190-A85A-207264E16346}" name="300 cases per year" dataDxfId="14"/>
    <tableColumn id="3" xr3:uid="{507E4302-0341-42B9-86C9-81FFDB5A35F1}" name="2000 cases per year" dataDxfId="13"/>
  </tableColumns>
  <tableStyleInfo name="TableStyleLight1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ED9377F-739E-4BBA-A584-FE248811937D}" name="Tabelle13" displayName="Tabelle13" ref="A1:C9" totalsRowShown="0" headerRowDxfId="12">
  <autoFilter ref="A1:C9" xr:uid="{62B018A4-2B6F-4086-BC2A-D4FAD488730A}"/>
  <tableColumns count="3">
    <tableColumn id="1" xr3:uid="{118A03AB-6101-4438-A3EE-E6AAA00D9502}" name="Costs per category" dataDxfId="11"/>
    <tableColumn id="2" xr3:uid="{8F7A255A-E1C6-4278-86B8-7B94AD00BA46}" name="300 cases per year" dataDxfId="10"/>
    <tableColumn id="3" xr3:uid="{03FB283F-37F0-49E6-9E9E-F6B7EEE313FE}" name="2000 cases per year" dataDxfId="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4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4AFA7-B2B8-4673-BD32-5D14EF83251B}">
  <dimension ref="A1:M34"/>
  <sheetViews>
    <sheetView zoomScale="90" zoomScaleNormal="90" workbookViewId="0">
      <selection activeCell="F2" sqref="F2:F24"/>
    </sheetView>
  </sheetViews>
  <sheetFormatPr baseColWidth="10" defaultColWidth="11.42578125" defaultRowHeight="12.75" x14ac:dyDescent="0.25"/>
  <cols>
    <col min="1" max="1" width="13.5703125" style="19" bestFit="1" customWidth="1"/>
    <col min="2" max="2" width="68.85546875" style="20" bestFit="1" customWidth="1"/>
    <col min="3" max="3" width="13" style="20" bestFit="1" customWidth="1"/>
    <col min="4" max="4" width="15.7109375" style="20" customWidth="1"/>
    <col min="5" max="5" width="35" style="20" bestFit="1" customWidth="1"/>
    <col min="6" max="6" width="18.28515625" style="20" customWidth="1"/>
    <col min="7" max="7" width="15.7109375" style="31" customWidth="1"/>
    <col min="8" max="8" width="20.5703125" style="57" customWidth="1"/>
    <col min="9" max="9" width="11.42578125" style="20"/>
    <col min="10" max="10" width="18.28515625" style="20" customWidth="1"/>
    <col min="11" max="11" width="6.7109375" style="33" customWidth="1"/>
    <col min="12" max="12" width="15.5703125" style="33" customWidth="1"/>
    <col min="13" max="13" width="13.85546875" style="33" customWidth="1"/>
    <col min="14" max="16384" width="11.42578125" style="20"/>
  </cols>
  <sheetData>
    <row r="1" spans="1:13" s="31" customFormat="1" ht="41.25" customHeight="1" x14ac:dyDescent="0.25">
      <c r="A1" s="37"/>
      <c r="B1" s="38" t="s">
        <v>151</v>
      </c>
      <c r="C1" s="39" t="s">
        <v>152</v>
      </c>
      <c r="D1" s="39" t="s">
        <v>153</v>
      </c>
      <c r="E1" s="38" t="s">
        <v>154</v>
      </c>
      <c r="F1" s="40" t="s">
        <v>155</v>
      </c>
      <c r="G1" s="41" t="s">
        <v>157</v>
      </c>
      <c r="H1" s="56" t="s">
        <v>156</v>
      </c>
      <c r="I1" s="29"/>
      <c r="J1" s="29"/>
      <c r="K1" s="30"/>
      <c r="L1" s="30"/>
      <c r="M1" s="30"/>
    </row>
    <row r="2" spans="1:13" s="19" customFormat="1" x14ac:dyDescent="0.25">
      <c r="A2" s="44" t="s">
        <v>36</v>
      </c>
      <c r="B2" s="4" t="s">
        <v>190</v>
      </c>
      <c r="C2" s="44" t="s">
        <v>160</v>
      </c>
      <c r="D2" s="25">
        <v>520243</v>
      </c>
      <c r="E2" s="47" t="s">
        <v>9</v>
      </c>
      <c r="F2" s="62">
        <v>6050</v>
      </c>
      <c r="G2" s="46">
        <v>480</v>
      </c>
      <c r="H2" s="61">
        <f t="shared" ref="H2:H24" si="0">F2/G2</f>
        <v>12.604166666666666</v>
      </c>
    </row>
    <row r="3" spans="1:13" s="19" customFormat="1" x14ac:dyDescent="0.25">
      <c r="A3" s="44" t="s">
        <v>36</v>
      </c>
      <c r="B3" s="4" t="s">
        <v>158</v>
      </c>
      <c r="C3" s="44">
        <v>960</v>
      </c>
      <c r="D3" s="25" t="s">
        <v>76</v>
      </c>
      <c r="E3" s="22" t="s">
        <v>30</v>
      </c>
      <c r="F3" s="62">
        <v>59</v>
      </c>
      <c r="G3" s="46">
        <v>12</v>
      </c>
      <c r="H3" s="61">
        <f t="shared" si="0"/>
        <v>4.916666666666667</v>
      </c>
    </row>
    <row r="4" spans="1:13" s="19" customFormat="1" x14ac:dyDescent="0.25">
      <c r="A4" s="44" t="s">
        <v>36</v>
      </c>
      <c r="B4" s="22" t="s">
        <v>159</v>
      </c>
      <c r="C4" s="44" t="s">
        <v>160</v>
      </c>
      <c r="D4" s="44">
        <v>710971</v>
      </c>
      <c r="E4" s="22" t="s">
        <v>30</v>
      </c>
      <c r="F4" s="62">
        <v>82.3</v>
      </c>
      <c r="G4" s="32">
        <v>60</v>
      </c>
      <c r="H4" s="61">
        <f t="shared" si="0"/>
        <v>1.3716666666666666</v>
      </c>
    </row>
    <row r="5" spans="1:13" s="21" customFormat="1" x14ac:dyDescent="0.25">
      <c r="A5" s="44" t="s">
        <v>36</v>
      </c>
      <c r="B5" s="28" t="s">
        <v>191</v>
      </c>
      <c r="C5" s="44" t="s">
        <v>161</v>
      </c>
      <c r="D5" s="35" t="s">
        <v>2</v>
      </c>
      <c r="E5" s="47" t="s">
        <v>3</v>
      </c>
      <c r="F5" s="62">
        <v>331</v>
      </c>
      <c r="G5" s="32">
        <v>50</v>
      </c>
      <c r="H5" s="61">
        <f t="shared" si="0"/>
        <v>6.62</v>
      </c>
    </row>
    <row r="6" spans="1:13" s="21" customFormat="1" x14ac:dyDescent="0.25">
      <c r="A6" s="44" t="s">
        <v>36</v>
      </c>
      <c r="B6" s="22" t="s">
        <v>192</v>
      </c>
      <c r="C6" s="44" t="s">
        <v>161</v>
      </c>
      <c r="D6" s="44" t="s">
        <v>4</v>
      </c>
      <c r="E6" s="22" t="s">
        <v>3</v>
      </c>
      <c r="F6" s="62">
        <v>112</v>
      </c>
      <c r="G6" s="48">
        <v>50</v>
      </c>
      <c r="H6" s="61">
        <f t="shared" si="0"/>
        <v>2.2400000000000002</v>
      </c>
    </row>
    <row r="7" spans="1:13" s="19" customFormat="1" x14ac:dyDescent="0.25">
      <c r="A7" s="44" t="s">
        <v>36</v>
      </c>
      <c r="B7" s="22" t="s">
        <v>193</v>
      </c>
      <c r="C7" s="35" t="s">
        <v>167</v>
      </c>
      <c r="D7" s="49">
        <v>104177</v>
      </c>
      <c r="E7" s="22" t="s">
        <v>0</v>
      </c>
      <c r="F7" s="62">
        <v>2527.2399999999998</v>
      </c>
      <c r="G7" s="48">
        <v>48</v>
      </c>
      <c r="H7" s="61">
        <f t="shared" si="0"/>
        <v>52.650833333333331</v>
      </c>
      <c r="I7" s="58"/>
      <c r="K7" s="58"/>
      <c r="L7" s="58"/>
    </row>
    <row r="8" spans="1:13" s="19" customFormat="1" x14ac:dyDescent="0.25">
      <c r="A8" s="44" t="s">
        <v>36</v>
      </c>
      <c r="B8" s="20" t="s">
        <v>194</v>
      </c>
      <c r="C8" s="35" t="s">
        <v>167</v>
      </c>
      <c r="D8" s="50">
        <v>105041</v>
      </c>
      <c r="E8" s="20" t="s">
        <v>0</v>
      </c>
      <c r="F8" s="62">
        <v>605.73</v>
      </c>
      <c r="G8" s="51">
        <v>48</v>
      </c>
      <c r="H8" s="61">
        <f t="shared" si="0"/>
        <v>12.619375</v>
      </c>
      <c r="I8" s="58"/>
      <c r="K8" s="58"/>
      <c r="L8" s="58"/>
    </row>
    <row r="9" spans="1:13" s="19" customFormat="1" x14ac:dyDescent="0.25">
      <c r="A9" s="44" t="s">
        <v>36</v>
      </c>
      <c r="B9" s="18" t="s">
        <v>5</v>
      </c>
      <c r="C9" s="44" t="s">
        <v>161</v>
      </c>
      <c r="D9" s="25" t="s">
        <v>6</v>
      </c>
      <c r="E9" s="20" t="s">
        <v>3</v>
      </c>
      <c r="F9" s="62">
        <v>204</v>
      </c>
      <c r="G9" s="51">
        <v>50</v>
      </c>
      <c r="H9" s="61">
        <f t="shared" si="0"/>
        <v>4.08</v>
      </c>
    </row>
    <row r="10" spans="1:13" s="19" customFormat="1" x14ac:dyDescent="0.25">
      <c r="A10" s="44" t="s">
        <v>36</v>
      </c>
      <c r="B10" s="24" t="s">
        <v>7</v>
      </c>
      <c r="C10" s="44" t="s">
        <v>161</v>
      </c>
      <c r="D10" s="44" t="s">
        <v>8</v>
      </c>
      <c r="E10" s="22" t="s">
        <v>3</v>
      </c>
      <c r="F10" s="62">
        <v>87</v>
      </c>
      <c r="G10" s="46">
        <v>50</v>
      </c>
      <c r="H10" s="61">
        <f t="shared" si="0"/>
        <v>1.74</v>
      </c>
    </row>
    <row r="11" spans="1:13" x14ac:dyDescent="0.25">
      <c r="A11" s="44" t="s">
        <v>36</v>
      </c>
      <c r="B11" s="20" t="s">
        <v>174</v>
      </c>
      <c r="C11" s="44" t="s">
        <v>162</v>
      </c>
      <c r="D11" s="44" t="s">
        <v>20</v>
      </c>
      <c r="E11" s="20" t="s">
        <v>176</v>
      </c>
      <c r="F11" s="62">
        <v>417</v>
      </c>
      <c r="G11" s="46">
        <v>250</v>
      </c>
      <c r="H11" s="61">
        <f t="shared" si="0"/>
        <v>1.6679999999999999</v>
      </c>
    </row>
    <row r="12" spans="1:13" x14ac:dyDescent="0.25">
      <c r="A12" s="44" t="s">
        <v>36</v>
      </c>
      <c r="B12" s="18" t="s">
        <v>175</v>
      </c>
      <c r="C12" s="25" t="s">
        <v>166</v>
      </c>
      <c r="D12" s="25" t="s">
        <v>21</v>
      </c>
      <c r="E12" s="20" t="s">
        <v>176</v>
      </c>
      <c r="F12" s="62">
        <v>281</v>
      </c>
      <c r="G12" s="34">
        <v>500</v>
      </c>
      <c r="H12" s="61">
        <f t="shared" si="0"/>
        <v>0.56200000000000006</v>
      </c>
    </row>
    <row r="13" spans="1:13" s="19" customFormat="1" x14ac:dyDescent="0.25">
      <c r="A13" s="44" t="s">
        <v>36</v>
      </c>
      <c r="B13" s="23" t="s">
        <v>22</v>
      </c>
      <c r="C13" s="25"/>
      <c r="D13" s="44">
        <v>20104706</v>
      </c>
      <c r="E13" s="23" t="s">
        <v>1</v>
      </c>
      <c r="F13" s="62">
        <v>16480</v>
      </c>
      <c r="G13" s="34">
        <v>8</v>
      </c>
      <c r="H13" s="61">
        <f t="shared" si="0"/>
        <v>2060</v>
      </c>
      <c r="J13" s="60"/>
      <c r="M13" s="60"/>
    </row>
    <row r="14" spans="1:13" s="19" customFormat="1" x14ac:dyDescent="0.25">
      <c r="A14" s="44" t="s">
        <v>36</v>
      </c>
      <c r="B14" s="20" t="s">
        <v>23</v>
      </c>
      <c r="C14" s="25"/>
      <c r="D14" s="50" t="s">
        <v>24</v>
      </c>
      <c r="E14" s="20" t="s">
        <v>1</v>
      </c>
      <c r="F14" s="62">
        <v>212</v>
      </c>
      <c r="G14" s="51">
        <v>25</v>
      </c>
      <c r="H14" s="61">
        <f t="shared" si="0"/>
        <v>8.48</v>
      </c>
    </row>
    <row r="15" spans="1:13" s="23" customFormat="1" x14ac:dyDescent="0.25">
      <c r="A15" s="25" t="s">
        <v>179</v>
      </c>
      <c r="B15" s="4" t="s">
        <v>170</v>
      </c>
      <c r="C15" s="25" t="s">
        <v>171</v>
      </c>
      <c r="D15" s="25" t="s">
        <v>33</v>
      </c>
      <c r="E15" s="20" t="s">
        <v>13</v>
      </c>
      <c r="F15" s="62">
        <v>222.5</v>
      </c>
      <c r="G15" s="51">
        <v>250</v>
      </c>
      <c r="H15" s="61">
        <f t="shared" si="0"/>
        <v>0.89</v>
      </c>
    </row>
    <row r="16" spans="1:13" s="23" customFormat="1" x14ac:dyDescent="0.25">
      <c r="A16" s="25" t="s">
        <v>179</v>
      </c>
      <c r="B16" s="23" t="s">
        <v>172</v>
      </c>
      <c r="C16" s="25" t="s">
        <v>171</v>
      </c>
      <c r="D16" s="25">
        <v>4436.2</v>
      </c>
      <c r="E16" s="4" t="s">
        <v>13</v>
      </c>
      <c r="F16" s="62">
        <v>117.5</v>
      </c>
      <c r="G16" s="34">
        <v>250</v>
      </c>
      <c r="H16" s="61">
        <f t="shared" si="0"/>
        <v>0.47</v>
      </c>
    </row>
    <row r="17" spans="1:8" x14ac:dyDescent="0.25">
      <c r="A17" s="25" t="s">
        <v>179</v>
      </c>
      <c r="B17" s="20" t="s">
        <v>174</v>
      </c>
      <c r="C17" s="44" t="s">
        <v>162</v>
      </c>
      <c r="D17" s="54" t="s">
        <v>20</v>
      </c>
      <c r="E17" s="20" t="s">
        <v>176</v>
      </c>
      <c r="F17" s="62">
        <v>417</v>
      </c>
      <c r="G17" s="34">
        <v>250</v>
      </c>
      <c r="H17" s="61">
        <f t="shared" si="0"/>
        <v>1.6679999999999999</v>
      </c>
    </row>
    <row r="18" spans="1:8" x14ac:dyDescent="0.25">
      <c r="A18" s="25" t="s">
        <v>179</v>
      </c>
      <c r="B18" s="18" t="s">
        <v>175</v>
      </c>
      <c r="C18" s="25" t="s">
        <v>166</v>
      </c>
      <c r="D18" s="25" t="s">
        <v>21</v>
      </c>
      <c r="E18" s="20" t="s">
        <v>176</v>
      </c>
      <c r="F18" s="62">
        <v>281</v>
      </c>
      <c r="G18" s="34">
        <v>500</v>
      </c>
      <c r="H18" s="61">
        <f t="shared" si="0"/>
        <v>0.56200000000000006</v>
      </c>
    </row>
    <row r="19" spans="1:8" x14ac:dyDescent="0.25">
      <c r="A19" s="25" t="s">
        <v>179</v>
      </c>
      <c r="B19" s="4" t="s">
        <v>17</v>
      </c>
      <c r="C19" s="25" t="s">
        <v>177</v>
      </c>
      <c r="D19" s="25" t="s">
        <v>14</v>
      </c>
      <c r="E19" s="4" t="s">
        <v>15</v>
      </c>
      <c r="F19" s="62">
        <v>355</v>
      </c>
      <c r="G19" s="34">
        <v>48</v>
      </c>
      <c r="H19" s="61">
        <f t="shared" si="0"/>
        <v>7.395833333333333</v>
      </c>
    </row>
    <row r="20" spans="1:8" x14ac:dyDescent="0.25">
      <c r="A20" s="25" t="s">
        <v>179</v>
      </c>
      <c r="B20" s="4" t="s">
        <v>34</v>
      </c>
      <c r="C20" s="25" t="s">
        <v>177</v>
      </c>
      <c r="D20" s="25" t="s">
        <v>35</v>
      </c>
      <c r="E20" s="4" t="s">
        <v>15</v>
      </c>
      <c r="F20" s="62">
        <v>336</v>
      </c>
      <c r="G20" s="34">
        <v>48</v>
      </c>
      <c r="H20" s="61">
        <f t="shared" si="0"/>
        <v>7</v>
      </c>
    </row>
    <row r="21" spans="1:8" x14ac:dyDescent="0.25">
      <c r="A21" s="25" t="s">
        <v>179</v>
      </c>
      <c r="B21" s="4" t="s">
        <v>184</v>
      </c>
      <c r="C21" s="25" t="s">
        <v>185</v>
      </c>
      <c r="D21" s="25" t="s">
        <v>18</v>
      </c>
      <c r="E21" s="4" t="s">
        <v>19</v>
      </c>
      <c r="F21" s="62">
        <v>200</v>
      </c>
      <c r="G21" s="34">
        <v>208</v>
      </c>
      <c r="H21" s="61">
        <f t="shared" si="0"/>
        <v>0.96153846153846156</v>
      </c>
    </row>
    <row r="22" spans="1:8" x14ac:dyDescent="0.25">
      <c r="A22" s="25" t="s">
        <v>179</v>
      </c>
      <c r="B22" s="4" t="s">
        <v>181</v>
      </c>
      <c r="C22" s="25" t="s">
        <v>186</v>
      </c>
      <c r="D22" s="25" t="s">
        <v>76</v>
      </c>
      <c r="E22" s="4" t="s">
        <v>76</v>
      </c>
      <c r="F22" s="62">
        <v>90</v>
      </c>
      <c r="G22" s="34">
        <v>50</v>
      </c>
      <c r="H22" s="61">
        <f t="shared" si="0"/>
        <v>1.8</v>
      </c>
    </row>
    <row r="23" spans="1:8" x14ac:dyDescent="0.25">
      <c r="A23" s="25" t="s">
        <v>179</v>
      </c>
      <c r="B23" s="4" t="s">
        <v>182</v>
      </c>
      <c r="C23" s="25" t="s">
        <v>188</v>
      </c>
      <c r="D23" s="25" t="s">
        <v>76</v>
      </c>
      <c r="E23" s="4" t="s">
        <v>16</v>
      </c>
      <c r="F23" s="62">
        <v>40</v>
      </c>
      <c r="G23" s="34">
        <v>100</v>
      </c>
      <c r="H23" s="61">
        <f t="shared" si="0"/>
        <v>0.4</v>
      </c>
    </row>
    <row r="24" spans="1:8" x14ac:dyDescent="0.25">
      <c r="A24" s="25" t="s">
        <v>179</v>
      </c>
      <c r="B24" s="4" t="s">
        <v>25</v>
      </c>
      <c r="C24" s="25" t="s">
        <v>183</v>
      </c>
      <c r="D24" s="25" t="s">
        <v>189</v>
      </c>
      <c r="E24" s="4" t="s">
        <v>13</v>
      </c>
      <c r="F24" s="62">
        <v>43.9</v>
      </c>
      <c r="G24" s="34">
        <v>200</v>
      </c>
      <c r="H24" s="61">
        <f t="shared" si="0"/>
        <v>0.2195</v>
      </c>
    </row>
    <row r="25" spans="1:8" x14ac:dyDescent="0.25">
      <c r="A25" s="23"/>
      <c r="F25" s="59"/>
      <c r="H25" s="61"/>
    </row>
    <row r="26" spans="1:8" x14ac:dyDescent="0.25">
      <c r="G26" s="42" t="s">
        <v>102</v>
      </c>
      <c r="H26" s="61">
        <f>SUM(H2:H24)</f>
        <v>2190.9195801282053</v>
      </c>
    </row>
    <row r="28" spans="1:8" x14ac:dyDescent="0.25">
      <c r="C28" s="19"/>
      <c r="D28" s="19"/>
      <c r="E28" s="19"/>
    </row>
    <row r="29" spans="1:8" x14ac:dyDescent="0.25">
      <c r="C29" s="19"/>
      <c r="D29" s="19"/>
      <c r="E29" s="19"/>
    </row>
    <row r="30" spans="1:8" x14ac:dyDescent="0.25">
      <c r="C30" s="19"/>
      <c r="D30" s="19"/>
      <c r="E30" s="19"/>
    </row>
    <row r="31" spans="1:8" x14ac:dyDescent="0.25">
      <c r="C31" s="19"/>
      <c r="D31" s="19"/>
      <c r="E31" s="19"/>
    </row>
    <row r="32" spans="1:8" x14ac:dyDescent="0.25">
      <c r="C32" s="19"/>
      <c r="D32" s="19"/>
      <c r="E32" s="19"/>
    </row>
    <row r="33" spans="3:5" x14ac:dyDescent="0.25">
      <c r="C33" s="19"/>
      <c r="D33" s="19"/>
      <c r="E33" s="19"/>
    </row>
    <row r="34" spans="3:5" x14ac:dyDescent="0.25">
      <c r="C34" s="19"/>
      <c r="D34" s="19"/>
      <c r="E34" s="19"/>
    </row>
  </sheetData>
  <conditionalFormatting sqref="E3:E4">
    <cfRule type="uniqueValues" dxfId="8" priority="1"/>
  </conditionalFormatting>
  <printOptions gridLines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&amp;R&amp;D</oddHeader>
    <oddFooter>&amp;L&amp;Z&amp;F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8FDDB-7729-429A-87CF-4431E240351E}">
  <dimension ref="A1:M31"/>
  <sheetViews>
    <sheetView zoomScale="90" zoomScaleNormal="90" workbookViewId="0">
      <selection activeCell="F2" sqref="F2:F21"/>
    </sheetView>
  </sheetViews>
  <sheetFormatPr baseColWidth="10" defaultColWidth="11.42578125" defaultRowHeight="12.75" x14ac:dyDescent="0.25"/>
  <cols>
    <col min="1" max="1" width="18.42578125" style="24" bestFit="1" customWidth="1"/>
    <col min="2" max="2" width="71.42578125" style="4" bestFit="1" customWidth="1"/>
    <col min="3" max="3" width="13" style="4" bestFit="1" customWidth="1"/>
    <col min="4" max="4" width="13.42578125" style="25" bestFit="1" customWidth="1"/>
    <col min="5" max="5" width="22.42578125" style="4" bestFit="1" customWidth="1"/>
    <col min="6" max="6" width="17.42578125" style="26" bestFit="1" customWidth="1"/>
    <col min="7" max="7" width="14.42578125" style="34" bestFit="1" customWidth="1"/>
    <col min="8" max="8" width="20.7109375" style="36" bestFit="1" customWidth="1"/>
    <col min="9" max="9" width="11.42578125" style="4"/>
    <col min="10" max="10" width="18.28515625" style="25" customWidth="1"/>
    <col min="11" max="11" width="6.7109375" style="4" customWidth="1"/>
    <col min="12" max="12" width="15.5703125" style="4" customWidth="1"/>
    <col min="13" max="13" width="13.85546875" style="4" customWidth="1"/>
    <col min="14" max="16384" width="11.42578125" style="4"/>
  </cols>
  <sheetData>
    <row r="1" spans="1:13" s="42" customFormat="1" ht="41.25" customHeight="1" x14ac:dyDescent="0.25">
      <c r="A1" s="37"/>
      <c r="B1" s="38" t="s">
        <v>151</v>
      </c>
      <c r="C1" s="39" t="s">
        <v>152</v>
      </c>
      <c r="D1" s="39" t="s">
        <v>153</v>
      </c>
      <c r="E1" s="38" t="s">
        <v>154</v>
      </c>
      <c r="F1" s="40" t="s">
        <v>155</v>
      </c>
      <c r="G1" s="41" t="s">
        <v>157</v>
      </c>
      <c r="H1" s="56" t="s">
        <v>156</v>
      </c>
      <c r="J1" s="43"/>
      <c r="L1" s="43"/>
      <c r="M1" s="43"/>
    </row>
    <row r="2" spans="1:13" s="24" customFormat="1" x14ac:dyDescent="0.25">
      <c r="A2" s="44" t="s">
        <v>36</v>
      </c>
      <c r="B2" s="4" t="s">
        <v>158</v>
      </c>
      <c r="C2" s="44">
        <v>960</v>
      </c>
      <c r="D2" s="25" t="s">
        <v>76</v>
      </c>
      <c r="E2" s="22" t="s">
        <v>30</v>
      </c>
      <c r="F2" s="62">
        <v>59</v>
      </c>
      <c r="G2" s="46">
        <v>16</v>
      </c>
      <c r="H2" s="61">
        <f t="shared" ref="H2:H21" si="0">F2/G2</f>
        <v>3.6875</v>
      </c>
      <c r="J2" s="44"/>
      <c r="M2" s="44"/>
    </row>
    <row r="3" spans="1:13" s="24" customFormat="1" x14ac:dyDescent="0.25">
      <c r="A3" s="44" t="s">
        <v>36</v>
      </c>
      <c r="B3" s="22" t="s">
        <v>159</v>
      </c>
      <c r="C3" s="44" t="s">
        <v>160</v>
      </c>
      <c r="D3" s="44">
        <v>710971</v>
      </c>
      <c r="E3" s="22" t="s">
        <v>30</v>
      </c>
      <c r="F3" s="62">
        <v>82.3</v>
      </c>
      <c r="G3" s="46">
        <v>120</v>
      </c>
      <c r="H3" s="61">
        <f t="shared" si="0"/>
        <v>0.68583333333333329</v>
      </c>
      <c r="J3" s="44"/>
      <c r="M3" s="44"/>
    </row>
    <row r="4" spans="1:13" s="28" customFormat="1" x14ac:dyDescent="0.25">
      <c r="A4" s="35" t="s">
        <v>42</v>
      </c>
      <c r="B4" s="28" t="s">
        <v>178</v>
      </c>
      <c r="C4" s="35" t="s">
        <v>167</v>
      </c>
      <c r="D4" s="35">
        <v>20060059</v>
      </c>
      <c r="E4" s="47" t="s">
        <v>1</v>
      </c>
      <c r="F4" s="62">
        <v>3289</v>
      </c>
      <c r="G4" s="32">
        <v>48</v>
      </c>
      <c r="H4" s="61">
        <f t="shared" si="0"/>
        <v>68.520833333333329</v>
      </c>
    </row>
    <row r="5" spans="1:13" s="28" customFormat="1" x14ac:dyDescent="0.25">
      <c r="A5" s="35" t="s">
        <v>42</v>
      </c>
      <c r="B5" s="28" t="s">
        <v>43</v>
      </c>
      <c r="C5" s="35" t="s">
        <v>167</v>
      </c>
      <c r="D5" s="35">
        <v>20091654</v>
      </c>
      <c r="E5" s="47" t="s">
        <v>1</v>
      </c>
      <c r="F5" s="62">
        <v>474</v>
      </c>
      <c r="G5" s="32">
        <v>48</v>
      </c>
      <c r="H5" s="61">
        <f t="shared" si="0"/>
        <v>9.875</v>
      </c>
    </row>
    <row r="6" spans="1:13" s="24" customFormat="1" x14ac:dyDescent="0.25">
      <c r="A6" s="44" t="s">
        <v>36</v>
      </c>
      <c r="B6" s="22" t="s">
        <v>164</v>
      </c>
      <c r="C6" s="44" t="s">
        <v>161</v>
      </c>
      <c r="D6" s="44" t="s">
        <v>6</v>
      </c>
      <c r="E6" s="22" t="s">
        <v>3</v>
      </c>
      <c r="F6" s="62">
        <v>204</v>
      </c>
      <c r="G6" s="48">
        <v>50</v>
      </c>
      <c r="H6" s="61">
        <f t="shared" si="0"/>
        <v>4.08</v>
      </c>
      <c r="J6" s="44"/>
      <c r="M6" s="44"/>
    </row>
    <row r="7" spans="1:13" s="24" customFormat="1" x14ac:dyDescent="0.25">
      <c r="A7" s="44" t="s">
        <v>36</v>
      </c>
      <c r="B7" s="22" t="s">
        <v>165</v>
      </c>
      <c r="C7" s="44" t="s">
        <v>161</v>
      </c>
      <c r="D7" s="49" t="s">
        <v>8</v>
      </c>
      <c r="E7" s="22" t="s">
        <v>3</v>
      </c>
      <c r="F7" s="62">
        <v>87</v>
      </c>
      <c r="G7" s="48">
        <v>50</v>
      </c>
      <c r="H7" s="61">
        <f t="shared" si="0"/>
        <v>1.74</v>
      </c>
      <c r="J7" s="44"/>
      <c r="M7" s="44"/>
    </row>
    <row r="8" spans="1:13" x14ac:dyDescent="0.25">
      <c r="A8" s="44" t="s">
        <v>36</v>
      </c>
      <c r="B8" s="20" t="s">
        <v>174</v>
      </c>
      <c r="C8" s="25" t="s">
        <v>162</v>
      </c>
      <c r="D8" s="50" t="s">
        <v>20</v>
      </c>
      <c r="E8" s="20" t="s">
        <v>176</v>
      </c>
      <c r="F8" s="62">
        <v>417</v>
      </c>
      <c r="G8" s="51">
        <v>250</v>
      </c>
      <c r="H8" s="61">
        <f t="shared" si="0"/>
        <v>1.6679999999999999</v>
      </c>
    </row>
    <row r="9" spans="1:13" x14ac:dyDescent="0.25">
      <c r="A9" s="44" t="s">
        <v>36</v>
      </c>
      <c r="B9" s="18" t="s">
        <v>175</v>
      </c>
      <c r="C9" s="25" t="s">
        <v>163</v>
      </c>
      <c r="D9" s="25" t="s">
        <v>21</v>
      </c>
      <c r="E9" s="20" t="s">
        <v>176</v>
      </c>
      <c r="F9" s="62">
        <v>281</v>
      </c>
      <c r="G9" s="51">
        <v>500</v>
      </c>
      <c r="H9" s="61">
        <f t="shared" si="0"/>
        <v>0.56200000000000006</v>
      </c>
    </row>
    <row r="10" spans="1:13" s="24" customFormat="1" x14ac:dyDescent="0.25">
      <c r="A10" s="44" t="s">
        <v>36</v>
      </c>
      <c r="B10" s="24" t="s">
        <v>22</v>
      </c>
      <c r="C10" s="44"/>
      <c r="D10" s="44">
        <v>20104706</v>
      </c>
      <c r="E10" s="22" t="s">
        <v>1</v>
      </c>
      <c r="F10" s="62">
        <v>16480</v>
      </c>
      <c r="G10" s="46">
        <v>8</v>
      </c>
      <c r="H10" s="61">
        <f t="shared" si="0"/>
        <v>2060</v>
      </c>
      <c r="J10" s="52"/>
      <c r="M10" s="52"/>
    </row>
    <row r="11" spans="1:13" s="24" customFormat="1" x14ac:dyDescent="0.25">
      <c r="A11" s="44" t="s">
        <v>36</v>
      </c>
      <c r="B11" s="24" t="s">
        <v>23</v>
      </c>
      <c r="C11" s="44"/>
      <c r="D11" s="44" t="s">
        <v>24</v>
      </c>
      <c r="E11" s="24" t="s">
        <v>1</v>
      </c>
      <c r="F11" s="62">
        <v>212</v>
      </c>
      <c r="G11" s="46">
        <v>25</v>
      </c>
      <c r="H11" s="61">
        <f t="shared" si="0"/>
        <v>8.48</v>
      </c>
      <c r="J11" s="44"/>
      <c r="M11" s="44"/>
    </row>
    <row r="12" spans="1:13" x14ac:dyDescent="0.25">
      <c r="A12" s="25" t="s">
        <v>179</v>
      </c>
      <c r="B12" s="4" t="s">
        <v>170</v>
      </c>
      <c r="C12" s="25" t="s">
        <v>171</v>
      </c>
      <c r="D12" s="25" t="s">
        <v>33</v>
      </c>
      <c r="E12" s="22" t="s">
        <v>13</v>
      </c>
      <c r="F12" s="62">
        <v>222.5</v>
      </c>
      <c r="G12" s="34">
        <v>250</v>
      </c>
      <c r="H12" s="61">
        <f t="shared" si="0"/>
        <v>0.89</v>
      </c>
      <c r="J12" s="4"/>
    </row>
    <row r="13" spans="1:13" x14ac:dyDescent="0.25">
      <c r="A13" s="25" t="s">
        <v>179</v>
      </c>
      <c r="B13" s="23" t="s">
        <v>172</v>
      </c>
      <c r="C13" s="25" t="s">
        <v>171</v>
      </c>
      <c r="D13" s="25">
        <v>4436.2</v>
      </c>
      <c r="E13" s="23" t="s">
        <v>13</v>
      </c>
      <c r="F13" s="62">
        <v>117.5</v>
      </c>
      <c r="G13" s="34">
        <v>250</v>
      </c>
      <c r="H13" s="61">
        <f t="shared" si="0"/>
        <v>0.47</v>
      </c>
      <c r="J13" s="4"/>
    </row>
    <row r="14" spans="1:13" x14ac:dyDescent="0.25">
      <c r="A14" s="25" t="s">
        <v>179</v>
      </c>
      <c r="B14" s="20" t="s">
        <v>174</v>
      </c>
      <c r="C14" s="25" t="s">
        <v>162</v>
      </c>
      <c r="D14" s="50" t="s">
        <v>20</v>
      </c>
      <c r="E14" s="20" t="s">
        <v>176</v>
      </c>
      <c r="F14" s="62">
        <v>417</v>
      </c>
      <c r="G14" s="51">
        <v>250</v>
      </c>
      <c r="H14" s="61">
        <f t="shared" si="0"/>
        <v>1.6679999999999999</v>
      </c>
    </row>
    <row r="15" spans="1:13" x14ac:dyDescent="0.25">
      <c r="A15" s="25" t="s">
        <v>179</v>
      </c>
      <c r="B15" s="18" t="s">
        <v>175</v>
      </c>
      <c r="C15" s="25" t="s">
        <v>163</v>
      </c>
      <c r="D15" s="25" t="s">
        <v>21</v>
      </c>
      <c r="E15" s="20" t="s">
        <v>176</v>
      </c>
      <c r="F15" s="62">
        <v>281</v>
      </c>
      <c r="G15" s="51">
        <v>500</v>
      </c>
      <c r="H15" s="61">
        <f t="shared" si="0"/>
        <v>0.56200000000000006</v>
      </c>
    </row>
    <row r="16" spans="1:13" x14ac:dyDescent="0.25">
      <c r="A16" s="25" t="s">
        <v>179</v>
      </c>
      <c r="B16" s="4" t="s">
        <v>17</v>
      </c>
      <c r="C16" s="25" t="s">
        <v>177</v>
      </c>
      <c r="D16" s="25" t="s">
        <v>14</v>
      </c>
      <c r="E16" s="4" t="s">
        <v>15</v>
      </c>
      <c r="F16" s="62">
        <v>355</v>
      </c>
      <c r="G16" s="34">
        <v>48</v>
      </c>
      <c r="H16" s="61">
        <f t="shared" si="0"/>
        <v>7.395833333333333</v>
      </c>
    </row>
    <row r="17" spans="1:8" x14ac:dyDescent="0.25">
      <c r="A17" s="25" t="s">
        <v>179</v>
      </c>
      <c r="B17" s="53" t="s">
        <v>180</v>
      </c>
      <c r="C17" s="54" t="s">
        <v>177</v>
      </c>
      <c r="D17" s="54" t="s">
        <v>35</v>
      </c>
      <c r="E17" s="53" t="s">
        <v>15</v>
      </c>
      <c r="F17" s="62">
        <v>336</v>
      </c>
      <c r="G17" s="34">
        <v>48</v>
      </c>
      <c r="H17" s="61">
        <f t="shared" si="0"/>
        <v>7</v>
      </c>
    </row>
    <row r="18" spans="1:8" x14ac:dyDescent="0.25">
      <c r="A18" s="25" t="s">
        <v>179</v>
      </c>
      <c r="B18" s="4" t="s">
        <v>184</v>
      </c>
      <c r="C18" s="25" t="s">
        <v>185</v>
      </c>
      <c r="D18" s="25" t="s">
        <v>18</v>
      </c>
      <c r="E18" s="4" t="s">
        <v>19</v>
      </c>
      <c r="F18" s="62">
        <v>200</v>
      </c>
      <c r="G18" s="34">
        <v>208</v>
      </c>
      <c r="H18" s="61">
        <f t="shared" si="0"/>
        <v>0.96153846153846156</v>
      </c>
    </row>
    <row r="19" spans="1:8" x14ac:dyDescent="0.25">
      <c r="A19" s="25" t="s">
        <v>179</v>
      </c>
      <c r="B19" s="4" t="s">
        <v>181</v>
      </c>
      <c r="C19" s="25" t="s">
        <v>186</v>
      </c>
      <c r="D19" s="25" t="s">
        <v>76</v>
      </c>
      <c r="E19" s="4" t="s">
        <v>76</v>
      </c>
      <c r="F19" s="62">
        <v>90</v>
      </c>
      <c r="G19" s="34">
        <v>50</v>
      </c>
      <c r="H19" s="61">
        <f t="shared" si="0"/>
        <v>1.8</v>
      </c>
    </row>
    <row r="20" spans="1:8" x14ac:dyDescent="0.25">
      <c r="A20" s="25" t="s">
        <v>179</v>
      </c>
      <c r="B20" s="4" t="s">
        <v>182</v>
      </c>
      <c r="C20" s="25" t="s">
        <v>188</v>
      </c>
      <c r="D20" s="25" t="s">
        <v>76</v>
      </c>
      <c r="E20" s="4" t="s">
        <v>16</v>
      </c>
      <c r="F20" s="62">
        <v>40</v>
      </c>
      <c r="G20" s="34">
        <v>100</v>
      </c>
      <c r="H20" s="61">
        <f t="shared" si="0"/>
        <v>0.4</v>
      </c>
    </row>
    <row r="21" spans="1:8" x14ac:dyDescent="0.25">
      <c r="A21" s="25" t="s">
        <v>179</v>
      </c>
      <c r="B21" s="4" t="s">
        <v>25</v>
      </c>
      <c r="C21" s="25" t="s">
        <v>183</v>
      </c>
      <c r="D21" s="25" t="s">
        <v>189</v>
      </c>
      <c r="E21" s="4" t="s">
        <v>13</v>
      </c>
      <c r="F21" s="62">
        <v>43.9</v>
      </c>
      <c r="G21" s="34">
        <v>200</v>
      </c>
      <c r="H21" s="61">
        <f t="shared" si="0"/>
        <v>0.2195</v>
      </c>
    </row>
    <row r="22" spans="1:8" x14ac:dyDescent="0.25">
      <c r="A22" s="25"/>
      <c r="F22" s="45"/>
      <c r="H22" s="61"/>
    </row>
    <row r="23" spans="1:8" x14ac:dyDescent="0.25">
      <c r="G23" s="34" t="s">
        <v>102</v>
      </c>
      <c r="H23" s="61">
        <f>SUM(H2:H21)</f>
        <v>2180.6660384615388</v>
      </c>
    </row>
    <row r="25" spans="1:8" x14ac:dyDescent="0.25">
      <c r="C25" s="24"/>
      <c r="D25" s="44"/>
      <c r="E25" s="24"/>
    </row>
    <row r="26" spans="1:8" x14ac:dyDescent="0.25">
      <c r="C26" s="24"/>
      <c r="D26" s="44"/>
      <c r="E26" s="24"/>
    </row>
    <row r="27" spans="1:8" x14ac:dyDescent="0.25">
      <c r="C27" s="24"/>
      <c r="D27" s="44"/>
      <c r="E27" s="24"/>
    </row>
    <row r="28" spans="1:8" x14ac:dyDescent="0.25">
      <c r="C28" s="24"/>
      <c r="D28" s="44"/>
      <c r="E28" s="24"/>
    </row>
    <row r="29" spans="1:8" x14ac:dyDescent="0.25">
      <c r="C29" s="24"/>
      <c r="D29" s="44"/>
      <c r="E29" s="24"/>
    </row>
    <row r="30" spans="1:8" x14ac:dyDescent="0.25">
      <c r="C30" s="24"/>
      <c r="D30" s="44"/>
      <c r="E30" s="24"/>
    </row>
    <row r="31" spans="1:8" x14ac:dyDescent="0.25">
      <c r="C31" s="24"/>
      <c r="D31" s="44"/>
      <c r="E31" s="24"/>
    </row>
  </sheetData>
  <conditionalFormatting sqref="E2:E3">
    <cfRule type="uniqueValues" dxfId="7" priority="2"/>
  </conditionalFormatting>
  <printOptions gridLines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&amp;R&amp;D</oddHeader>
    <oddFooter>&amp;L&amp;Z&amp;F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B738-2278-46A1-91BD-67AC13B698E0}">
  <dimension ref="A1:O23"/>
  <sheetViews>
    <sheetView workbookViewId="0">
      <selection activeCell="B11" sqref="B11"/>
    </sheetView>
  </sheetViews>
  <sheetFormatPr baseColWidth="10" defaultRowHeight="15" x14ac:dyDescent="0.25"/>
  <cols>
    <col min="1" max="1" width="13" bestFit="1" customWidth="1"/>
    <col min="2" max="2" width="67.28515625" bestFit="1" customWidth="1"/>
    <col min="3" max="3" width="12.140625" style="7" bestFit="1" customWidth="1"/>
    <col min="4" max="4" width="12.5703125" bestFit="1" customWidth="1"/>
    <col min="5" max="5" width="22" customWidth="1"/>
    <col min="6" max="6" width="11" style="8" bestFit="1" customWidth="1"/>
    <col min="7" max="7" width="17.42578125" style="10" bestFit="1" customWidth="1"/>
    <col min="8" max="8" width="9.28515625" bestFit="1" customWidth="1"/>
  </cols>
  <sheetData>
    <row r="1" spans="1:15" s="6" customFormat="1" ht="36.75" customHeight="1" x14ac:dyDescent="0.25">
      <c r="A1" s="37"/>
      <c r="B1" s="38" t="s">
        <v>151</v>
      </c>
      <c r="C1" s="39" t="s">
        <v>152</v>
      </c>
      <c r="D1" s="39" t="s">
        <v>153</v>
      </c>
      <c r="E1" s="38" t="s">
        <v>154</v>
      </c>
      <c r="F1" s="40" t="s">
        <v>155</v>
      </c>
      <c r="G1" s="41" t="s">
        <v>157</v>
      </c>
      <c r="H1" s="56" t="s">
        <v>156</v>
      </c>
    </row>
    <row r="2" spans="1:15" x14ac:dyDescent="0.25">
      <c r="A2" s="44" t="s">
        <v>36</v>
      </c>
      <c r="B2" s="4" t="s">
        <v>158</v>
      </c>
      <c r="C2" s="44">
        <v>960</v>
      </c>
      <c r="D2" s="25" t="s">
        <v>76</v>
      </c>
      <c r="E2" s="22" t="s">
        <v>30</v>
      </c>
      <c r="F2" s="62">
        <v>59</v>
      </c>
      <c r="G2" s="46">
        <v>13</v>
      </c>
      <c r="H2" s="61">
        <f t="shared" ref="H2:H20" si="0">F2/G2</f>
        <v>4.5384615384615383</v>
      </c>
    </row>
    <row r="3" spans="1:15" s="3" customFormat="1" ht="12.75" x14ac:dyDescent="0.25">
      <c r="A3" s="44" t="s">
        <v>36</v>
      </c>
      <c r="B3" s="22" t="s">
        <v>159</v>
      </c>
      <c r="C3" s="44" t="s">
        <v>160</v>
      </c>
      <c r="D3" s="44">
        <v>710971</v>
      </c>
      <c r="E3" s="22" t="s">
        <v>30</v>
      </c>
      <c r="F3" s="62">
        <v>82.3</v>
      </c>
      <c r="G3" s="46">
        <v>120</v>
      </c>
      <c r="H3" s="61">
        <f t="shared" si="0"/>
        <v>0.68583333333333329</v>
      </c>
      <c r="I3" s="9"/>
      <c r="L3" s="2"/>
      <c r="O3" s="2"/>
    </row>
    <row r="4" spans="1:15" x14ac:dyDescent="0.25">
      <c r="A4" s="35" t="s">
        <v>36</v>
      </c>
      <c r="B4" s="28" t="s">
        <v>164</v>
      </c>
      <c r="C4" s="35" t="s">
        <v>161</v>
      </c>
      <c r="D4" s="35" t="s">
        <v>6</v>
      </c>
      <c r="E4" s="47" t="s">
        <v>3</v>
      </c>
      <c r="F4" s="62">
        <v>204</v>
      </c>
      <c r="G4" s="32">
        <v>100</v>
      </c>
      <c r="H4" s="61">
        <f t="shared" si="0"/>
        <v>2.04</v>
      </c>
    </row>
    <row r="5" spans="1:15" x14ac:dyDescent="0.25">
      <c r="A5" s="35" t="s">
        <v>36</v>
      </c>
      <c r="B5" s="28" t="s">
        <v>165</v>
      </c>
      <c r="C5" s="35" t="s">
        <v>161</v>
      </c>
      <c r="D5" s="35" t="s">
        <v>8</v>
      </c>
      <c r="E5" s="47" t="s">
        <v>3</v>
      </c>
      <c r="F5" s="62">
        <v>87</v>
      </c>
      <c r="G5" s="32">
        <v>100</v>
      </c>
      <c r="H5" s="61">
        <f t="shared" si="0"/>
        <v>0.87</v>
      </c>
    </row>
    <row r="6" spans="1:15" x14ac:dyDescent="0.25">
      <c r="A6" s="44" t="s">
        <v>36</v>
      </c>
      <c r="B6" s="22" t="s">
        <v>174</v>
      </c>
      <c r="C6" s="44" t="s">
        <v>162</v>
      </c>
      <c r="D6" s="44" t="s">
        <v>20</v>
      </c>
      <c r="E6" s="22" t="s">
        <v>176</v>
      </c>
      <c r="F6" s="62">
        <v>417</v>
      </c>
      <c r="G6" s="48">
        <v>500</v>
      </c>
      <c r="H6" s="61">
        <f t="shared" si="0"/>
        <v>0.83399999999999996</v>
      </c>
    </row>
    <row r="7" spans="1:15" x14ac:dyDescent="0.25">
      <c r="A7" s="44" t="s">
        <v>36</v>
      </c>
      <c r="B7" s="22" t="s">
        <v>175</v>
      </c>
      <c r="C7" s="44" t="s">
        <v>166</v>
      </c>
      <c r="D7" s="49" t="s">
        <v>21</v>
      </c>
      <c r="E7" s="22" t="s">
        <v>176</v>
      </c>
      <c r="F7" s="62">
        <v>241</v>
      </c>
      <c r="G7" s="48">
        <v>1000</v>
      </c>
      <c r="H7" s="61">
        <f t="shared" si="0"/>
        <v>0.24099999999999999</v>
      </c>
    </row>
    <row r="8" spans="1:15" x14ac:dyDescent="0.25">
      <c r="A8" s="44" t="s">
        <v>36</v>
      </c>
      <c r="B8" s="20" t="s">
        <v>168</v>
      </c>
      <c r="C8" s="25" t="s">
        <v>167</v>
      </c>
      <c r="D8" s="50">
        <v>20040529</v>
      </c>
      <c r="E8" s="20" t="s">
        <v>1</v>
      </c>
      <c r="F8" s="62">
        <v>8022</v>
      </c>
      <c r="G8" s="51">
        <v>96</v>
      </c>
      <c r="H8" s="61">
        <f t="shared" si="0"/>
        <v>83.5625</v>
      </c>
    </row>
    <row r="9" spans="1:15" x14ac:dyDescent="0.25">
      <c r="A9" s="44" t="s">
        <v>36</v>
      </c>
      <c r="B9" s="18" t="s">
        <v>169</v>
      </c>
      <c r="C9" s="25" t="s">
        <v>167</v>
      </c>
      <c r="D9" s="25">
        <v>20091657</v>
      </c>
      <c r="E9" s="20" t="s">
        <v>1</v>
      </c>
      <c r="F9" s="62">
        <v>474</v>
      </c>
      <c r="G9" s="51">
        <v>96</v>
      </c>
      <c r="H9" s="61">
        <f t="shared" si="0"/>
        <v>4.9375</v>
      </c>
    </row>
    <row r="10" spans="1:15" x14ac:dyDescent="0.25">
      <c r="A10" s="44" t="s">
        <v>36</v>
      </c>
      <c r="B10" s="24" t="s">
        <v>31</v>
      </c>
      <c r="C10" s="44"/>
      <c r="D10" s="44">
        <v>20104705</v>
      </c>
      <c r="E10" s="22" t="s">
        <v>1</v>
      </c>
      <c r="F10" s="62">
        <v>2678</v>
      </c>
      <c r="G10" s="46">
        <v>16</v>
      </c>
      <c r="H10" s="61">
        <f t="shared" si="0"/>
        <v>167.375</v>
      </c>
    </row>
    <row r="11" spans="1:15" x14ac:dyDescent="0.25">
      <c r="A11" s="44" t="s">
        <v>36</v>
      </c>
      <c r="B11" s="24" t="s">
        <v>23</v>
      </c>
      <c r="C11" s="44"/>
      <c r="D11" s="44" t="s">
        <v>24</v>
      </c>
      <c r="E11" s="24" t="s">
        <v>1</v>
      </c>
      <c r="F11" s="62">
        <v>212</v>
      </c>
      <c r="G11" s="46">
        <v>150</v>
      </c>
      <c r="H11" s="61">
        <f t="shared" si="0"/>
        <v>1.4133333333333333</v>
      </c>
    </row>
    <row r="12" spans="1:15" x14ac:dyDescent="0.25">
      <c r="A12" s="25" t="s">
        <v>179</v>
      </c>
      <c r="B12" s="4" t="s">
        <v>170</v>
      </c>
      <c r="C12" s="25" t="s">
        <v>171</v>
      </c>
      <c r="D12" s="25">
        <v>90652</v>
      </c>
      <c r="E12" s="22" t="s">
        <v>13</v>
      </c>
      <c r="F12" s="62">
        <v>222.5</v>
      </c>
      <c r="G12" s="34">
        <v>500</v>
      </c>
      <c r="H12" s="61">
        <f t="shared" si="0"/>
        <v>0.44500000000000001</v>
      </c>
    </row>
    <row r="13" spans="1:15" x14ac:dyDescent="0.25">
      <c r="A13" s="25" t="s">
        <v>179</v>
      </c>
      <c r="B13" s="23" t="s">
        <v>172</v>
      </c>
      <c r="C13" s="25" t="s">
        <v>171</v>
      </c>
      <c r="D13" s="25">
        <v>44362</v>
      </c>
      <c r="E13" s="23" t="s">
        <v>13</v>
      </c>
      <c r="F13" s="62">
        <v>117.5</v>
      </c>
      <c r="G13" s="34">
        <v>500</v>
      </c>
      <c r="H13" s="61">
        <f t="shared" si="0"/>
        <v>0.23499999999999999</v>
      </c>
    </row>
    <row r="14" spans="1:15" x14ac:dyDescent="0.25">
      <c r="A14" s="25" t="s">
        <v>179</v>
      </c>
      <c r="B14" s="20" t="s">
        <v>173</v>
      </c>
      <c r="C14" s="25" t="s">
        <v>162</v>
      </c>
      <c r="D14" s="50" t="s">
        <v>29</v>
      </c>
      <c r="E14" s="20" t="s">
        <v>176</v>
      </c>
      <c r="F14" s="62">
        <v>443</v>
      </c>
      <c r="G14" s="51">
        <v>400</v>
      </c>
      <c r="H14" s="61">
        <f t="shared" si="0"/>
        <v>1.1074999999999999</v>
      </c>
    </row>
    <row r="15" spans="1:15" x14ac:dyDescent="0.25">
      <c r="A15" s="25" t="s">
        <v>179</v>
      </c>
      <c r="B15" s="18" t="s">
        <v>175</v>
      </c>
      <c r="C15" s="25" t="s">
        <v>166</v>
      </c>
      <c r="D15" s="25" t="s">
        <v>21</v>
      </c>
      <c r="E15" s="20" t="s">
        <v>176</v>
      </c>
      <c r="F15" s="62">
        <v>241</v>
      </c>
      <c r="G15" s="51">
        <v>1000</v>
      </c>
      <c r="H15" s="61">
        <f t="shared" si="0"/>
        <v>0.24099999999999999</v>
      </c>
    </row>
    <row r="16" spans="1:15" x14ac:dyDescent="0.25">
      <c r="A16" s="25" t="s">
        <v>179</v>
      </c>
      <c r="B16" s="4" t="s">
        <v>27</v>
      </c>
      <c r="C16" s="25" t="s">
        <v>177</v>
      </c>
      <c r="D16" s="25" t="s">
        <v>28</v>
      </c>
      <c r="E16" s="4" t="s">
        <v>15</v>
      </c>
      <c r="F16" s="62">
        <v>400</v>
      </c>
      <c r="G16" s="34">
        <v>48</v>
      </c>
      <c r="H16" s="61">
        <f t="shared" si="0"/>
        <v>8.3333333333333339</v>
      </c>
    </row>
    <row r="17" spans="1:8" x14ac:dyDescent="0.25">
      <c r="A17" s="25" t="s">
        <v>179</v>
      </c>
      <c r="B17" s="53" t="s">
        <v>184</v>
      </c>
      <c r="C17" s="54" t="s">
        <v>185</v>
      </c>
      <c r="D17" s="54" t="s">
        <v>18</v>
      </c>
      <c r="E17" s="53" t="s">
        <v>19</v>
      </c>
      <c r="F17" s="62">
        <v>200</v>
      </c>
      <c r="G17" s="34">
        <v>416</v>
      </c>
      <c r="H17" s="61">
        <f t="shared" si="0"/>
        <v>0.48076923076923078</v>
      </c>
    </row>
    <row r="18" spans="1:8" x14ac:dyDescent="0.25">
      <c r="A18" s="25" t="s">
        <v>179</v>
      </c>
      <c r="B18" s="4" t="s">
        <v>181</v>
      </c>
      <c r="C18" s="25" t="s">
        <v>186</v>
      </c>
      <c r="D18" s="25" t="s">
        <v>76</v>
      </c>
      <c r="E18" s="4"/>
      <c r="F18" s="62">
        <v>90</v>
      </c>
      <c r="G18" s="34">
        <v>100</v>
      </c>
      <c r="H18" s="61">
        <f t="shared" si="0"/>
        <v>0.9</v>
      </c>
    </row>
    <row r="19" spans="1:8" x14ac:dyDescent="0.25">
      <c r="A19" s="25" t="s">
        <v>179</v>
      </c>
      <c r="B19" s="4" t="s">
        <v>182</v>
      </c>
      <c r="C19" s="25" t="s">
        <v>188</v>
      </c>
      <c r="D19" s="25" t="s">
        <v>76</v>
      </c>
      <c r="E19" s="4" t="s">
        <v>16</v>
      </c>
      <c r="F19" s="62">
        <v>40</v>
      </c>
      <c r="G19" s="34">
        <v>100</v>
      </c>
      <c r="H19" s="61">
        <f t="shared" si="0"/>
        <v>0.4</v>
      </c>
    </row>
    <row r="20" spans="1:8" x14ac:dyDescent="0.25">
      <c r="A20" s="25" t="s">
        <v>179</v>
      </c>
      <c r="B20" s="4" t="s">
        <v>25</v>
      </c>
      <c r="C20" s="25" t="s">
        <v>187</v>
      </c>
      <c r="D20" s="25" t="s">
        <v>189</v>
      </c>
      <c r="E20" s="4" t="s">
        <v>13</v>
      </c>
      <c r="F20" s="62">
        <v>43.9</v>
      </c>
      <c r="G20" s="34">
        <v>200</v>
      </c>
      <c r="H20" s="61">
        <f t="shared" si="0"/>
        <v>0.2195</v>
      </c>
    </row>
    <row r="21" spans="1:8" x14ac:dyDescent="0.25">
      <c r="A21" s="25"/>
      <c r="B21" s="4"/>
      <c r="C21" s="25"/>
      <c r="D21" s="25"/>
      <c r="E21" s="4"/>
      <c r="F21" s="55"/>
      <c r="G21" s="34"/>
      <c r="H21" s="61"/>
    </row>
    <row r="22" spans="1:8" x14ac:dyDescent="0.25">
      <c r="A22" s="25"/>
      <c r="B22" s="4"/>
      <c r="C22" s="4"/>
      <c r="D22" s="25"/>
      <c r="E22" s="4"/>
      <c r="F22" s="45"/>
      <c r="G22" s="34" t="s">
        <v>102</v>
      </c>
      <c r="H22" s="61">
        <f>SUM(H2:H20)</f>
        <v>278.85973076923074</v>
      </c>
    </row>
    <row r="23" spans="1:8" x14ac:dyDescent="0.25">
      <c r="A23" s="28"/>
      <c r="B23" s="18"/>
      <c r="C23" s="5"/>
      <c r="D23" s="5"/>
      <c r="E23" s="18"/>
      <c r="F23" s="27"/>
    </row>
  </sheetData>
  <conditionalFormatting sqref="E2:E3">
    <cfRule type="uniqueValues" dxfId="6" priority="1"/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C10B-05AF-473F-9F7F-A8B00258C336}">
  <sheetPr>
    <pageSetUpPr fitToPage="1"/>
  </sheetPr>
  <dimension ref="A1:D14"/>
  <sheetViews>
    <sheetView workbookViewId="0">
      <selection activeCell="F13" sqref="F13"/>
    </sheetView>
  </sheetViews>
  <sheetFormatPr baseColWidth="10" defaultRowHeight="14.25" x14ac:dyDescent="0.2"/>
  <cols>
    <col min="1" max="1" width="40.42578125" style="63" customWidth="1"/>
    <col min="2" max="2" width="18.28515625" style="87" bestFit="1" customWidth="1"/>
    <col min="3" max="3" width="23.140625" style="63" bestFit="1" customWidth="1"/>
    <col min="4" max="4" width="26" style="91" bestFit="1" customWidth="1"/>
    <col min="5" max="16384" width="11.42578125" style="63"/>
  </cols>
  <sheetData>
    <row r="1" spans="1:4" ht="22.5" customHeight="1" x14ac:dyDescent="0.25">
      <c r="A1" s="162" t="s">
        <v>136</v>
      </c>
      <c r="B1" s="163"/>
      <c r="C1" s="88"/>
      <c r="D1" s="89"/>
    </row>
    <row r="2" spans="1:4" ht="22.5" customHeight="1" thickBot="1" x14ac:dyDescent="0.25">
      <c r="A2" s="75"/>
      <c r="B2" s="76" t="s">
        <v>139</v>
      </c>
      <c r="C2" s="76" t="s">
        <v>137</v>
      </c>
      <c r="D2" s="76" t="s">
        <v>138</v>
      </c>
    </row>
    <row r="3" spans="1:4" ht="22.5" customHeight="1" x14ac:dyDescent="0.2">
      <c r="A3" s="77" t="s">
        <v>12</v>
      </c>
      <c r="B3" s="78">
        <v>25</v>
      </c>
      <c r="C3" s="78">
        <v>1</v>
      </c>
      <c r="D3" s="78">
        <v>25</v>
      </c>
    </row>
    <row r="4" spans="1:4" ht="22.5" customHeight="1" x14ac:dyDescent="0.2">
      <c r="A4" s="79" t="s">
        <v>145</v>
      </c>
      <c r="B4" s="78">
        <v>55</v>
      </c>
      <c r="C4" s="78">
        <v>1</v>
      </c>
      <c r="D4" s="78">
        <v>55</v>
      </c>
    </row>
    <row r="5" spans="1:4" ht="22.5" customHeight="1" x14ac:dyDescent="0.2">
      <c r="A5" s="79" t="s">
        <v>140</v>
      </c>
      <c r="B5" s="78">
        <v>6</v>
      </c>
      <c r="C5" s="78">
        <v>1</v>
      </c>
      <c r="D5" s="78">
        <v>6</v>
      </c>
    </row>
    <row r="6" spans="1:4" ht="22.5" customHeight="1" x14ac:dyDescent="0.2">
      <c r="A6" s="79" t="s">
        <v>148</v>
      </c>
      <c r="B6" s="78">
        <v>10</v>
      </c>
      <c r="C6" s="78">
        <v>1</v>
      </c>
      <c r="D6" s="78">
        <v>10</v>
      </c>
    </row>
    <row r="7" spans="1:4" x14ac:dyDescent="0.2">
      <c r="A7" s="79" t="s">
        <v>149</v>
      </c>
      <c r="B7" s="78">
        <v>5</v>
      </c>
      <c r="C7" s="78">
        <v>1</v>
      </c>
      <c r="D7" s="78">
        <v>5</v>
      </c>
    </row>
    <row r="8" spans="1:4" x14ac:dyDescent="0.2">
      <c r="A8" s="79" t="s">
        <v>144</v>
      </c>
      <c r="B8" s="78">
        <v>5</v>
      </c>
      <c r="C8" s="78">
        <v>1</v>
      </c>
      <c r="D8" s="78">
        <v>5</v>
      </c>
    </row>
    <row r="9" spans="1:4" x14ac:dyDescent="0.2">
      <c r="A9" s="80" t="s">
        <v>141</v>
      </c>
      <c r="B9" s="78">
        <v>4</v>
      </c>
      <c r="C9" s="78">
        <v>1</v>
      </c>
      <c r="D9" s="78">
        <v>4</v>
      </c>
    </row>
    <row r="10" spans="1:4" x14ac:dyDescent="0.2">
      <c r="A10" s="79"/>
      <c r="B10" s="78"/>
      <c r="C10" s="78"/>
      <c r="D10" s="78"/>
    </row>
    <row r="11" spans="1:4" x14ac:dyDescent="0.2">
      <c r="A11" s="80" t="s">
        <v>150</v>
      </c>
      <c r="B11" s="90">
        <v>45</v>
      </c>
      <c r="C11" s="90">
        <v>16</v>
      </c>
      <c r="D11" s="90">
        <f>B11/16</f>
        <v>2.8125</v>
      </c>
    </row>
    <row r="12" spans="1:4" x14ac:dyDescent="0.2">
      <c r="A12" s="80" t="s">
        <v>26</v>
      </c>
      <c r="B12" s="81">
        <v>300</v>
      </c>
      <c r="C12" s="81">
        <v>16</v>
      </c>
      <c r="D12" s="81">
        <f t="shared" ref="D12:D13" si="0">B12/16</f>
        <v>18.75</v>
      </c>
    </row>
    <row r="13" spans="1:4" ht="15" thickBot="1" x14ac:dyDescent="0.25">
      <c r="A13" s="92" t="s">
        <v>143</v>
      </c>
      <c r="B13" s="93">
        <v>80</v>
      </c>
      <c r="C13" s="93">
        <v>16</v>
      </c>
      <c r="D13" s="93">
        <f t="shared" si="0"/>
        <v>5</v>
      </c>
    </row>
    <row r="14" spans="1:4" ht="15" x14ac:dyDescent="0.25">
      <c r="A14" s="85"/>
      <c r="B14" s="86"/>
      <c r="C14" s="86"/>
      <c r="D14" s="86">
        <f>SUM(D3:D13)</f>
        <v>136.5625</v>
      </c>
    </row>
  </sheetData>
  <mergeCells count="1">
    <mergeCell ref="A1:B1"/>
  </mergeCells>
  <phoneticPr fontId="9" type="noConversion"/>
  <pageMargins left="0.7" right="0.7" top="0.78740157499999996" bottom="0.78740157499999996" header="0.3" footer="0.3"/>
  <pageSetup paperSize="9" scale="7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83266-0374-46A4-A6E4-BF9404D46FB7}">
  <sheetPr>
    <pageSetUpPr fitToPage="1"/>
  </sheetPr>
  <dimension ref="A1:D13"/>
  <sheetViews>
    <sheetView workbookViewId="0">
      <selection activeCell="D39" sqref="D39"/>
    </sheetView>
  </sheetViews>
  <sheetFormatPr baseColWidth="10" defaultRowHeight="14.25" x14ac:dyDescent="0.2"/>
  <cols>
    <col min="1" max="1" width="41" style="63" customWidth="1"/>
    <col min="2" max="2" width="18.28515625" style="87" bestFit="1" customWidth="1"/>
    <col min="3" max="3" width="23.140625" style="63" bestFit="1" customWidth="1"/>
    <col min="4" max="4" width="26" style="91" bestFit="1" customWidth="1"/>
    <col min="5" max="16384" width="11.42578125" style="63"/>
  </cols>
  <sheetData>
    <row r="1" spans="1:4" ht="22.5" customHeight="1" x14ac:dyDescent="0.25">
      <c r="A1" s="162" t="s">
        <v>136</v>
      </c>
      <c r="B1" s="163"/>
      <c r="C1" s="88"/>
      <c r="D1" s="89"/>
    </row>
    <row r="2" spans="1:4" ht="22.5" customHeight="1" thickBot="1" x14ac:dyDescent="0.25">
      <c r="A2" s="75"/>
      <c r="B2" s="76" t="s">
        <v>139</v>
      </c>
      <c r="C2" s="76" t="s">
        <v>137</v>
      </c>
      <c r="D2" s="76" t="s">
        <v>138</v>
      </c>
    </row>
    <row r="3" spans="1:4" ht="22.5" customHeight="1" x14ac:dyDescent="0.2">
      <c r="A3" s="77" t="s">
        <v>12</v>
      </c>
      <c r="B3" s="78">
        <v>25</v>
      </c>
      <c r="C3" s="78">
        <v>1</v>
      </c>
      <c r="D3" s="78">
        <v>25</v>
      </c>
    </row>
    <row r="4" spans="1:4" ht="22.5" customHeight="1" x14ac:dyDescent="0.2">
      <c r="A4" s="79" t="s">
        <v>145</v>
      </c>
      <c r="B4" s="78">
        <v>55</v>
      </c>
      <c r="C4" s="78">
        <v>1</v>
      </c>
      <c r="D4" s="78">
        <v>55</v>
      </c>
    </row>
    <row r="5" spans="1:4" ht="22.5" customHeight="1" x14ac:dyDescent="0.2">
      <c r="A5" s="79" t="s">
        <v>140</v>
      </c>
      <c r="B5" s="78">
        <v>6</v>
      </c>
      <c r="C5" s="78">
        <v>1</v>
      </c>
      <c r="D5" s="78">
        <v>6</v>
      </c>
    </row>
    <row r="6" spans="1:4" ht="22.5" customHeight="1" x14ac:dyDescent="0.2">
      <c r="A6" s="79" t="s">
        <v>148</v>
      </c>
      <c r="B6" s="78">
        <v>10</v>
      </c>
      <c r="C6" s="78">
        <v>1</v>
      </c>
      <c r="D6" s="78">
        <v>10</v>
      </c>
    </row>
    <row r="7" spans="1:4" x14ac:dyDescent="0.2">
      <c r="A7" s="79" t="s">
        <v>149</v>
      </c>
      <c r="B7" s="78">
        <v>5</v>
      </c>
      <c r="C7" s="78">
        <v>1</v>
      </c>
      <c r="D7" s="78">
        <v>5</v>
      </c>
    </row>
    <row r="8" spans="1:4" x14ac:dyDescent="0.2">
      <c r="A8" s="79" t="s">
        <v>144</v>
      </c>
      <c r="B8" s="78">
        <v>5</v>
      </c>
      <c r="C8" s="78">
        <v>1</v>
      </c>
      <c r="D8" s="78">
        <v>5</v>
      </c>
    </row>
    <row r="9" spans="1:4" x14ac:dyDescent="0.2">
      <c r="A9" s="80" t="s">
        <v>141</v>
      </c>
      <c r="B9" s="78">
        <v>4</v>
      </c>
      <c r="C9" s="78">
        <v>1</v>
      </c>
      <c r="D9" s="78">
        <v>4</v>
      </c>
    </row>
    <row r="10" spans="1:4" x14ac:dyDescent="0.2">
      <c r="A10" s="79"/>
      <c r="B10" s="78"/>
      <c r="C10" s="78"/>
      <c r="D10" s="78"/>
    </row>
    <row r="11" spans="1:4" x14ac:dyDescent="0.2">
      <c r="A11" s="80" t="s">
        <v>26</v>
      </c>
      <c r="B11" s="90">
        <v>240</v>
      </c>
      <c r="C11" s="90">
        <v>16</v>
      </c>
      <c r="D11" s="90">
        <f>B11/16</f>
        <v>15</v>
      </c>
    </row>
    <row r="12" spans="1:4" ht="15" thickBot="1" x14ac:dyDescent="0.25">
      <c r="A12" s="83" t="s">
        <v>143</v>
      </c>
      <c r="B12" s="76">
        <v>80</v>
      </c>
      <c r="C12" s="76">
        <v>16</v>
      </c>
      <c r="D12" s="76">
        <f>B12/16</f>
        <v>5</v>
      </c>
    </row>
    <row r="13" spans="1:4" ht="15" x14ac:dyDescent="0.25">
      <c r="A13" s="85" t="s">
        <v>102</v>
      </c>
      <c r="B13" s="86"/>
      <c r="C13" s="86"/>
      <c r="D13" s="86">
        <f>SUM(D3:D12)</f>
        <v>130</v>
      </c>
    </row>
  </sheetData>
  <mergeCells count="1">
    <mergeCell ref="A1:B1"/>
  </mergeCells>
  <pageMargins left="0.7" right="0.7" top="0.78740157499999996" bottom="0.78740157499999996" header="0.3" footer="0.3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694F-D087-42C1-9DE5-A76B7E4A0CEA}">
  <sheetPr>
    <pageSetUpPr fitToPage="1"/>
  </sheetPr>
  <dimension ref="A1:D12"/>
  <sheetViews>
    <sheetView workbookViewId="0">
      <selection activeCell="C27" sqref="C27"/>
    </sheetView>
  </sheetViews>
  <sheetFormatPr baseColWidth="10" defaultRowHeight="14.25" x14ac:dyDescent="0.2"/>
  <cols>
    <col min="1" max="1" width="43.5703125" style="63" customWidth="1"/>
    <col min="2" max="2" width="18.28515625" style="63" bestFit="1" customWidth="1"/>
    <col min="3" max="3" width="23.140625" style="87" bestFit="1" customWidth="1"/>
    <col min="4" max="4" width="27.42578125" style="63" customWidth="1"/>
    <col min="5" max="16384" width="11.42578125" style="63"/>
  </cols>
  <sheetData>
    <row r="1" spans="1:4" ht="22.5" customHeight="1" x14ac:dyDescent="0.25">
      <c r="A1" s="162" t="s">
        <v>136</v>
      </c>
      <c r="B1" s="163"/>
      <c r="C1" s="74"/>
      <c r="D1" s="74"/>
    </row>
    <row r="2" spans="1:4" ht="22.5" customHeight="1" thickBot="1" x14ac:dyDescent="0.25">
      <c r="A2" s="75"/>
      <c r="B2" s="76" t="s">
        <v>139</v>
      </c>
      <c r="C2" s="76" t="s">
        <v>137</v>
      </c>
      <c r="D2" s="76" t="s">
        <v>138</v>
      </c>
    </row>
    <row r="3" spans="1:4" ht="22.5" customHeight="1" x14ac:dyDescent="0.2">
      <c r="A3" s="77" t="s">
        <v>12</v>
      </c>
      <c r="B3" s="78">
        <v>25</v>
      </c>
      <c r="C3" s="78">
        <v>1</v>
      </c>
      <c r="D3" s="78">
        <v>25</v>
      </c>
    </row>
    <row r="4" spans="1:4" ht="22.5" customHeight="1" x14ac:dyDescent="0.2">
      <c r="A4" s="79" t="s">
        <v>145</v>
      </c>
      <c r="B4" s="78">
        <v>55</v>
      </c>
      <c r="C4" s="78">
        <v>1</v>
      </c>
      <c r="D4" s="78">
        <v>55</v>
      </c>
    </row>
    <row r="5" spans="1:4" ht="22.5" customHeight="1" x14ac:dyDescent="0.2">
      <c r="A5" s="79" t="s">
        <v>140</v>
      </c>
      <c r="B5" s="78">
        <v>6</v>
      </c>
      <c r="C5" s="78">
        <v>1</v>
      </c>
      <c r="D5" s="78">
        <v>6</v>
      </c>
    </row>
    <row r="6" spans="1:4" ht="22.5" customHeight="1" x14ac:dyDescent="0.2">
      <c r="A6" s="79" t="s">
        <v>146</v>
      </c>
      <c r="B6" s="78">
        <v>12</v>
      </c>
      <c r="C6" s="78">
        <v>1</v>
      </c>
      <c r="D6" s="78">
        <v>12</v>
      </c>
    </row>
    <row r="7" spans="1:4" x14ac:dyDescent="0.2">
      <c r="A7" s="79" t="s">
        <v>147</v>
      </c>
      <c r="B7" s="78">
        <v>7</v>
      </c>
      <c r="C7" s="78">
        <v>1</v>
      </c>
      <c r="D7" s="78">
        <v>7</v>
      </c>
    </row>
    <row r="8" spans="1:4" x14ac:dyDescent="0.2">
      <c r="A8" s="80" t="s">
        <v>141</v>
      </c>
      <c r="B8" s="78">
        <v>4</v>
      </c>
      <c r="C8" s="78">
        <v>1</v>
      </c>
      <c r="D8" s="78">
        <v>4</v>
      </c>
    </row>
    <row r="9" spans="1:4" x14ac:dyDescent="0.2">
      <c r="A9" s="80"/>
      <c r="B9" s="81"/>
      <c r="C9" s="81"/>
      <c r="D9" s="81"/>
    </row>
    <row r="10" spans="1:4" x14ac:dyDescent="0.2">
      <c r="A10" s="80" t="s">
        <v>37</v>
      </c>
      <c r="B10" s="82">
        <v>282</v>
      </c>
      <c r="C10" s="82">
        <v>16</v>
      </c>
      <c r="D10" s="82">
        <f>B10/16</f>
        <v>17.625</v>
      </c>
    </row>
    <row r="11" spans="1:4" ht="15" thickBot="1" x14ac:dyDescent="0.25">
      <c r="A11" s="83" t="s">
        <v>142</v>
      </c>
      <c r="B11" s="84">
        <v>70</v>
      </c>
      <c r="C11" s="84">
        <v>16</v>
      </c>
      <c r="D11" s="84">
        <f>B11/16</f>
        <v>4.375</v>
      </c>
    </row>
    <row r="12" spans="1:4" ht="15" x14ac:dyDescent="0.25">
      <c r="A12" s="85" t="s">
        <v>102</v>
      </c>
      <c r="B12" s="86"/>
      <c r="C12" s="86"/>
      <c r="D12" s="86">
        <f>SUM(D3:D11)</f>
        <v>131</v>
      </c>
    </row>
  </sheetData>
  <mergeCells count="1">
    <mergeCell ref="A1:B1"/>
  </mergeCells>
  <pageMargins left="0.7" right="0.7" top="0.78740157499999996" bottom="0.78740157499999996" header="0.3" footer="0.3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25380-D4EC-4A3C-B638-31058B5C044B}">
  <dimension ref="A1:G23"/>
  <sheetViews>
    <sheetView workbookViewId="0">
      <selection activeCell="B7" sqref="B7:D14"/>
    </sheetView>
  </sheetViews>
  <sheetFormatPr baseColWidth="10" defaultRowHeight="14.25" x14ac:dyDescent="0.2"/>
  <cols>
    <col min="1" max="1" width="27.42578125" style="63" customWidth="1"/>
    <col min="2" max="2" width="31.5703125" style="63" bestFit="1" customWidth="1"/>
    <col min="3" max="3" width="46.7109375" style="63" customWidth="1"/>
    <col min="4" max="4" width="37.5703125" style="63" customWidth="1"/>
    <col min="5" max="5" width="38" style="63" bestFit="1" customWidth="1"/>
    <col min="6" max="6" width="19.140625" style="63" bestFit="1" customWidth="1"/>
    <col min="7" max="7" width="16.42578125" style="63" bestFit="1" customWidth="1"/>
    <col min="8" max="16384" width="11.42578125" style="63"/>
  </cols>
  <sheetData>
    <row r="1" spans="1:7" x14ac:dyDescent="0.2">
      <c r="A1" s="63" t="s">
        <v>119</v>
      </c>
      <c r="B1" s="63" t="s">
        <v>103</v>
      </c>
      <c r="C1" s="63" t="s">
        <v>104</v>
      </c>
      <c r="D1" s="63" t="s">
        <v>196</v>
      </c>
      <c r="E1" s="63" t="s">
        <v>106</v>
      </c>
      <c r="F1" s="63" t="s">
        <v>107</v>
      </c>
      <c r="G1" s="63" t="s">
        <v>108</v>
      </c>
    </row>
    <row r="2" spans="1:7" x14ac:dyDescent="0.2">
      <c r="A2" s="64" t="s">
        <v>122</v>
      </c>
      <c r="B2" s="65">
        <v>4702</v>
      </c>
      <c r="C2" s="65">
        <f>Tabelle1610[[#This Row],[Costs per month (without end of the year bonus)]]*12.8814</f>
        <v>60568.342799999999</v>
      </c>
      <c r="D2" s="63">
        <v>1694</v>
      </c>
      <c r="E2" s="65">
        <f>Tabelle1610[[#This Row],[Costs per year (including end of the year bonus)]]/(Tabelle1610[[#This Row],[Actual working time per year '[hrs']]]*60)</f>
        <v>0.59591049586776856</v>
      </c>
      <c r="F2" s="67">
        <v>267</v>
      </c>
      <c r="G2" s="65">
        <f>Tabelle1610[[#This Row],[Costs per minute]]*Tabelle1610[[#This Row],[Time per Case '[min']]]</f>
        <v>159.10810239669419</v>
      </c>
    </row>
    <row r="3" spans="1:7" x14ac:dyDescent="0.2">
      <c r="A3" s="64" t="s">
        <v>123</v>
      </c>
      <c r="B3" s="65">
        <v>6648</v>
      </c>
      <c r="C3" s="65">
        <f>Tabelle1610[[#This Row],[Costs per month (without end of the year bonus)]]*12.4647</f>
        <v>82865.325599999996</v>
      </c>
      <c r="D3" s="63">
        <v>1694</v>
      </c>
      <c r="E3" s="65">
        <f>Tabelle1610[[#This Row],[Costs per year (including end of the year bonus)]]/(Tabelle1610[[#This Row],[Actual working time per year '[hrs']]]*60)</f>
        <v>0.81528262101534821</v>
      </c>
      <c r="F3" s="68">
        <v>75</v>
      </c>
      <c r="G3" s="65">
        <f>Tabelle1610[[#This Row],[Costs per minute]]*Tabelle1610[[#This Row],[Time per Case '[min']]]</f>
        <v>61.146196576151112</v>
      </c>
    </row>
    <row r="4" spans="1:7" x14ac:dyDescent="0.2">
      <c r="A4" s="64" t="s">
        <v>121</v>
      </c>
      <c r="B4" s="65">
        <v>7862</v>
      </c>
      <c r="C4" s="65">
        <f>Tabelle1610[[#This Row],[Costs per month (without end of the year bonus)]]*12</f>
        <v>94344</v>
      </c>
      <c r="D4" s="64">
        <v>1848</v>
      </c>
      <c r="E4" s="65">
        <f>Tabelle1610[[#This Row],[Costs per year (including end of the year bonus)]]/(Tabelle1610[[#This Row],[Actual working time per year '[hrs']]]*60)</f>
        <v>0.85086580086580088</v>
      </c>
      <c r="F4" s="67">
        <v>10</v>
      </c>
      <c r="G4" s="65">
        <f>Tabelle1610[[#This Row],[Costs per minute]]*Tabelle1610[[#This Row],[Time per Case '[min']]]</f>
        <v>8.5086580086580081</v>
      </c>
    </row>
    <row r="5" spans="1:7" x14ac:dyDescent="0.2">
      <c r="A5" s="64" t="s">
        <v>124</v>
      </c>
      <c r="B5" s="65">
        <v>10947</v>
      </c>
      <c r="C5" s="65">
        <f>Tabelle1610[[#This Row],[Costs per month (without end of the year bonus)]]*12</f>
        <v>131364</v>
      </c>
      <c r="D5" s="63">
        <v>1848</v>
      </c>
      <c r="E5" s="65">
        <f>Tabelle1610[[#This Row],[Costs per year (including end of the year bonus)]]/(Tabelle1610[[#This Row],[Actual working time per year '[hrs']]]*60)</f>
        <v>1.1847402597402596</v>
      </c>
      <c r="F5" s="67">
        <v>3</v>
      </c>
      <c r="G5" s="65">
        <f>Tabelle1610[[#This Row],[Costs per minute]]*Tabelle1610[[#This Row],[Time per Case '[min']]]</f>
        <v>3.5542207792207789</v>
      </c>
    </row>
    <row r="7" spans="1:7" x14ac:dyDescent="0.2">
      <c r="A7" s="63" t="s">
        <v>109</v>
      </c>
      <c r="B7" s="63" t="s">
        <v>108</v>
      </c>
      <c r="C7" s="63" t="s">
        <v>120</v>
      </c>
      <c r="D7" s="63" t="s">
        <v>119</v>
      </c>
    </row>
    <row r="8" spans="1:7" x14ac:dyDescent="0.2">
      <c r="A8" s="63" t="s">
        <v>112</v>
      </c>
      <c r="B8" s="65">
        <v>8.51</v>
      </c>
      <c r="C8" s="64" t="s">
        <v>76</v>
      </c>
      <c r="D8" s="64" t="s">
        <v>121</v>
      </c>
    </row>
    <row r="9" spans="1:7" x14ac:dyDescent="0.2">
      <c r="A9" s="63" t="s">
        <v>110</v>
      </c>
      <c r="B9" s="65">
        <v>159.11000000000001</v>
      </c>
      <c r="C9" s="64" t="s">
        <v>76</v>
      </c>
      <c r="D9" s="64" t="s">
        <v>122</v>
      </c>
    </row>
    <row r="10" spans="1:7" x14ac:dyDescent="0.2">
      <c r="A10" s="63" t="s">
        <v>111</v>
      </c>
      <c r="B10" s="65">
        <v>61.15</v>
      </c>
      <c r="C10" s="64" t="s">
        <v>76</v>
      </c>
      <c r="D10" s="64" t="s">
        <v>123</v>
      </c>
    </row>
    <row r="11" spans="1:7" x14ac:dyDescent="0.2">
      <c r="A11" s="63" t="s">
        <v>114</v>
      </c>
      <c r="B11" s="64" t="s">
        <v>76</v>
      </c>
      <c r="C11" s="64" t="s">
        <v>115</v>
      </c>
      <c r="D11" s="64" t="s">
        <v>123</v>
      </c>
    </row>
    <row r="12" spans="1:7" x14ac:dyDescent="0.2">
      <c r="A12" s="63" t="s">
        <v>113</v>
      </c>
      <c r="B12" s="65">
        <v>3.55</v>
      </c>
      <c r="C12" s="64" t="s">
        <v>76</v>
      </c>
      <c r="D12" s="64" t="s">
        <v>124</v>
      </c>
    </row>
    <row r="13" spans="1:7" x14ac:dyDescent="0.2">
      <c r="A13" s="63" t="s">
        <v>197</v>
      </c>
      <c r="B13" s="64" t="s">
        <v>76</v>
      </c>
      <c r="C13" s="64" t="s">
        <v>116</v>
      </c>
      <c r="D13" s="64" t="s">
        <v>123</v>
      </c>
    </row>
    <row r="14" spans="1:7" x14ac:dyDescent="0.2">
      <c r="A14" s="63" t="s">
        <v>198</v>
      </c>
      <c r="B14" s="64" t="s">
        <v>76</v>
      </c>
      <c r="C14" s="64" t="s">
        <v>116</v>
      </c>
      <c r="D14" s="64" t="s">
        <v>122</v>
      </c>
    </row>
    <row r="16" spans="1:7" x14ac:dyDescent="0.2">
      <c r="A16" s="63" t="s">
        <v>120</v>
      </c>
      <c r="B16" s="63" t="s">
        <v>127</v>
      </c>
    </row>
    <row r="17" spans="1:3" x14ac:dyDescent="0.2">
      <c r="A17" s="63" t="s">
        <v>125</v>
      </c>
      <c r="B17" s="65">
        <f>C3*1.5</f>
        <v>124297.9884</v>
      </c>
    </row>
    <row r="18" spans="1:3" x14ac:dyDescent="0.2">
      <c r="A18" s="63" t="s">
        <v>126</v>
      </c>
      <c r="B18" s="65">
        <f>C2*0.5</f>
        <v>30284.171399999999</v>
      </c>
    </row>
    <row r="19" spans="1:3" ht="15" x14ac:dyDescent="0.25">
      <c r="A19" s="69" t="s">
        <v>102</v>
      </c>
      <c r="B19" s="65">
        <f>B17+B18</f>
        <v>154582.15979999999</v>
      </c>
    </row>
    <row r="21" spans="1:3" x14ac:dyDescent="0.2">
      <c r="B21" s="63" t="s">
        <v>128</v>
      </c>
      <c r="C21" s="63" t="s">
        <v>129</v>
      </c>
    </row>
    <row r="22" spans="1:3" x14ac:dyDescent="0.2">
      <c r="B22" s="63">
        <v>300</v>
      </c>
      <c r="C22" s="65">
        <f>B19/Tabelle4915[[#This Row],[Number of cases per year]]+SUM(Tabelle1610[Costs per case])</f>
        <v>747.59104376072412</v>
      </c>
    </row>
    <row r="23" spans="1:3" x14ac:dyDescent="0.2">
      <c r="B23" s="63">
        <v>2000</v>
      </c>
      <c r="C23" s="65">
        <f>B19/2000+SUM(Tabelle1610[Costs per case])</f>
        <v>309.60825766072412</v>
      </c>
    </row>
  </sheetData>
  <pageMargins left="0.7" right="0.7" top="0.78740157499999996" bottom="0.78740157499999996" header="0.3" footer="0.3"/>
  <tableParts count="4">
    <tablePart r:id="rId1"/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4B495-21A5-4804-9A2D-47BE95144447}">
  <dimension ref="A1:G23"/>
  <sheetViews>
    <sheetView workbookViewId="0">
      <selection activeCell="B10" sqref="B10"/>
    </sheetView>
  </sheetViews>
  <sheetFormatPr baseColWidth="10" defaultRowHeight="14.25" x14ac:dyDescent="0.2"/>
  <cols>
    <col min="1" max="1" width="20" style="63" customWidth="1"/>
    <col min="2" max="2" width="31.5703125" style="63" bestFit="1" customWidth="1"/>
    <col min="3" max="3" width="46.7109375" style="63" customWidth="1"/>
    <col min="4" max="4" width="28.7109375" style="63" bestFit="1" customWidth="1"/>
    <col min="5" max="5" width="38" style="63" bestFit="1" customWidth="1"/>
    <col min="6" max="6" width="19.140625" style="63" bestFit="1" customWidth="1"/>
    <col min="7" max="7" width="16.42578125" style="63" bestFit="1" customWidth="1"/>
    <col min="8" max="16384" width="11.42578125" style="63"/>
  </cols>
  <sheetData>
    <row r="1" spans="1:7" x14ac:dyDescent="0.2">
      <c r="A1" s="63" t="s">
        <v>119</v>
      </c>
      <c r="B1" s="63" t="s">
        <v>103</v>
      </c>
      <c r="C1" s="63" t="s">
        <v>104</v>
      </c>
      <c r="D1" s="63" t="s">
        <v>105</v>
      </c>
      <c r="E1" s="63" t="s">
        <v>106</v>
      </c>
      <c r="F1" s="63" t="s">
        <v>107</v>
      </c>
      <c r="G1" s="63" t="s">
        <v>108</v>
      </c>
    </row>
    <row r="2" spans="1:7" x14ac:dyDescent="0.2">
      <c r="A2" s="64" t="s">
        <v>122</v>
      </c>
      <c r="B2" s="65">
        <v>4702</v>
      </c>
      <c r="C2" s="65">
        <f>Tabelle16[[#This Row],[Costs per month (without end of the year bonus)]]*12.8814</f>
        <v>60568.342799999999</v>
      </c>
      <c r="D2" s="63">
        <v>1694</v>
      </c>
      <c r="E2" s="65">
        <f>Tabelle16[[#This Row],[Costs per year (including end of the year bonus)]]/(Tabelle16[[#This Row],[Actual working time per year]]*60)</f>
        <v>0.59591049586776856</v>
      </c>
      <c r="F2" s="67">
        <v>261</v>
      </c>
      <c r="G2" s="65">
        <f>Tabelle16[[#This Row],[Costs per minute]]*Tabelle16[[#This Row],[Time per Case '[min']]]</f>
        <v>155.5326394214876</v>
      </c>
    </row>
    <row r="3" spans="1:7" x14ac:dyDescent="0.2">
      <c r="A3" s="64" t="s">
        <v>123</v>
      </c>
      <c r="B3" s="65">
        <v>6648</v>
      </c>
      <c r="C3" s="65">
        <f>Tabelle16[[#This Row],[Costs per month (without end of the year bonus)]]*12.4647</f>
        <v>82865.325599999996</v>
      </c>
      <c r="D3" s="63">
        <v>1694</v>
      </c>
      <c r="E3" s="65">
        <f>Tabelle16[[#This Row],[Costs per year (including end of the year bonus)]]/(Tabelle16[[#This Row],[Actual working time per year]]*60)</f>
        <v>0.81528262101534821</v>
      </c>
      <c r="F3" s="68">
        <v>75</v>
      </c>
      <c r="G3" s="65">
        <f>Tabelle16[[#This Row],[Costs per minute]]*Tabelle16[[#This Row],[Time per Case '[min']]]</f>
        <v>61.146196576151112</v>
      </c>
    </row>
    <row r="4" spans="1:7" x14ac:dyDescent="0.2">
      <c r="A4" s="64" t="s">
        <v>121</v>
      </c>
      <c r="B4" s="65">
        <v>7862</v>
      </c>
      <c r="C4" s="65">
        <f>Tabelle16[[#This Row],[Costs per month (without end of the year bonus)]]*12</f>
        <v>94344</v>
      </c>
      <c r="D4" s="64">
        <v>1848</v>
      </c>
      <c r="E4" s="65">
        <f>Tabelle16[[#This Row],[Costs per year (including end of the year bonus)]]/(Tabelle16[[#This Row],[Actual working time per year]]*60)</f>
        <v>0.85086580086580088</v>
      </c>
      <c r="F4" s="67">
        <v>10</v>
      </c>
      <c r="G4" s="65">
        <f>Tabelle16[[#This Row],[Costs per minute]]*Tabelle16[[#This Row],[Time per Case '[min']]]</f>
        <v>8.5086580086580081</v>
      </c>
    </row>
    <row r="5" spans="1:7" x14ac:dyDescent="0.2">
      <c r="A5" s="64" t="s">
        <v>124</v>
      </c>
      <c r="B5" s="65">
        <v>10947</v>
      </c>
      <c r="C5" s="65">
        <f>Tabelle16[[#This Row],[Costs per month (without end of the year bonus)]]*12</f>
        <v>131364</v>
      </c>
      <c r="D5" s="63">
        <v>1848</v>
      </c>
      <c r="E5" s="65">
        <f>Tabelle16[[#This Row],[Costs per year (including end of the year bonus)]]/(Tabelle16[[#This Row],[Actual working time per year]]*60)</f>
        <v>1.1847402597402596</v>
      </c>
      <c r="F5" s="67">
        <v>3</v>
      </c>
      <c r="G5" s="65">
        <f>Tabelle16[[#This Row],[Costs per minute]]*Tabelle16[[#This Row],[Time per Case '[min']]]</f>
        <v>3.5542207792207789</v>
      </c>
    </row>
    <row r="7" spans="1:7" x14ac:dyDescent="0.2">
      <c r="A7" s="63" t="s">
        <v>109</v>
      </c>
      <c r="B7" s="63" t="s">
        <v>108</v>
      </c>
      <c r="C7" s="63" t="s">
        <v>120</v>
      </c>
      <c r="D7" s="63" t="s">
        <v>119</v>
      </c>
    </row>
    <row r="8" spans="1:7" x14ac:dyDescent="0.2">
      <c r="A8" s="63" t="s">
        <v>112</v>
      </c>
      <c r="B8" s="65">
        <v>8.51</v>
      </c>
      <c r="C8" s="64" t="s">
        <v>76</v>
      </c>
      <c r="D8" s="64" t="s">
        <v>121</v>
      </c>
    </row>
    <row r="9" spans="1:7" x14ac:dyDescent="0.2">
      <c r="A9" s="63" t="s">
        <v>110</v>
      </c>
      <c r="B9" s="65">
        <v>155.53</v>
      </c>
      <c r="C9" s="64" t="s">
        <v>76</v>
      </c>
      <c r="D9" s="64" t="s">
        <v>122</v>
      </c>
    </row>
    <row r="10" spans="1:7" x14ac:dyDescent="0.2">
      <c r="A10" s="63" t="s">
        <v>111</v>
      </c>
      <c r="B10" s="65">
        <v>61.15</v>
      </c>
      <c r="C10" s="64" t="s">
        <v>76</v>
      </c>
      <c r="D10" s="64" t="s">
        <v>123</v>
      </c>
    </row>
    <row r="11" spans="1:7" x14ac:dyDescent="0.2">
      <c r="A11" s="63" t="s">
        <v>114</v>
      </c>
      <c r="B11" s="64" t="s">
        <v>76</v>
      </c>
      <c r="C11" s="64" t="s">
        <v>115</v>
      </c>
      <c r="D11" s="64" t="s">
        <v>123</v>
      </c>
    </row>
    <row r="12" spans="1:7" x14ac:dyDescent="0.2">
      <c r="A12" s="63" t="s">
        <v>113</v>
      </c>
      <c r="B12" s="65">
        <v>3.55</v>
      </c>
      <c r="C12" s="64" t="s">
        <v>76</v>
      </c>
      <c r="D12" s="64" t="s">
        <v>124</v>
      </c>
    </row>
    <row r="13" spans="1:7" x14ac:dyDescent="0.2">
      <c r="A13" s="63" t="s">
        <v>117</v>
      </c>
      <c r="B13" s="64" t="s">
        <v>76</v>
      </c>
      <c r="C13" s="64" t="s">
        <v>116</v>
      </c>
      <c r="D13" s="64" t="s">
        <v>123</v>
      </c>
    </row>
    <row r="14" spans="1:7" x14ac:dyDescent="0.2">
      <c r="A14" s="63" t="s">
        <v>118</v>
      </c>
      <c r="B14" s="64" t="s">
        <v>76</v>
      </c>
      <c r="C14" s="64" t="s">
        <v>116</v>
      </c>
      <c r="D14" s="64" t="s">
        <v>122</v>
      </c>
    </row>
    <row r="16" spans="1:7" x14ac:dyDescent="0.2">
      <c r="A16" s="63" t="s">
        <v>120</v>
      </c>
      <c r="B16" s="63" t="s">
        <v>127</v>
      </c>
    </row>
    <row r="17" spans="1:3" x14ac:dyDescent="0.2">
      <c r="A17" s="63" t="s">
        <v>125</v>
      </c>
      <c r="B17" s="65">
        <f>C3*1.5</f>
        <v>124297.9884</v>
      </c>
    </row>
    <row r="18" spans="1:3" x14ac:dyDescent="0.2">
      <c r="A18" s="63" t="s">
        <v>126</v>
      </c>
      <c r="B18" s="65">
        <f>C2*0.5</f>
        <v>30284.171399999999</v>
      </c>
    </row>
    <row r="19" spans="1:3" ht="15" x14ac:dyDescent="0.25">
      <c r="A19" s="69" t="s">
        <v>102</v>
      </c>
      <c r="B19" s="65">
        <f>B17+B18</f>
        <v>154582.15979999999</v>
      </c>
    </row>
    <row r="21" spans="1:3" x14ac:dyDescent="0.2">
      <c r="B21" s="63" t="s">
        <v>128</v>
      </c>
      <c r="C21" s="63" t="s">
        <v>129</v>
      </c>
    </row>
    <row r="22" spans="1:3" x14ac:dyDescent="0.2">
      <c r="B22" s="63">
        <v>300</v>
      </c>
      <c r="C22" s="65">
        <f>B19/Tabelle49[[#This Row],[Number of cases per year]]+SUM(Tabelle16[Costs per case])</f>
        <v>744.0155807855175</v>
      </c>
    </row>
    <row r="23" spans="1:3" x14ac:dyDescent="0.2">
      <c r="B23" s="63">
        <v>2000</v>
      </c>
      <c r="C23" s="65">
        <f>B19/2000+SUM(Tabelle16[Costs per case])</f>
        <v>306.0327946855175</v>
      </c>
    </row>
  </sheetData>
  <pageMargins left="0.7" right="0.7" top="0.78740157499999996" bottom="0.78740157499999996" header="0.3" footer="0.3"/>
  <tableParts count="4">
    <tablePart r:id="rId1"/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A43C0-7209-45B7-83B6-BAC53013657C}">
  <dimension ref="A1:D28"/>
  <sheetViews>
    <sheetView tabSelected="1" workbookViewId="0">
      <selection activeCell="B2" sqref="B2"/>
    </sheetView>
  </sheetViews>
  <sheetFormatPr baseColWidth="10" defaultRowHeight="14.25" x14ac:dyDescent="0.2"/>
  <cols>
    <col min="1" max="1" width="25.42578125" style="63" customWidth="1"/>
    <col min="2" max="2" width="47.42578125" style="63" customWidth="1"/>
    <col min="3" max="3" width="46.7109375" style="63" customWidth="1"/>
    <col min="4" max="4" width="28.7109375" style="63" bestFit="1" customWidth="1"/>
    <col min="5" max="5" width="38" style="63" bestFit="1" customWidth="1"/>
    <col min="6" max="6" width="19.140625" style="63" bestFit="1" customWidth="1"/>
    <col min="7" max="7" width="16.42578125" style="63" bestFit="1" customWidth="1"/>
    <col min="8" max="16384" width="11.42578125" style="63"/>
  </cols>
  <sheetData>
    <row r="1" spans="1:4" x14ac:dyDescent="0.2">
      <c r="A1" s="63" t="s">
        <v>119</v>
      </c>
      <c r="B1" s="63" t="s">
        <v>103</v>
      </c>
      <c r="C1" s="63" t="s">
        <v>104</v>
      </c>
    </row>
    <row r="2" spans="1:4" x14ac:dyDescent="0.2">
      <c r="A2" s="63" t="s">
        <v>122</v>
      </c>
      <c r="B2" s="65">
        <v>4702</v>
      </c>
      <c r="C2" s="65">
        <f>Tabelle161017[[#This Row],[Costs per month (without end of the year bonus)]]*12.8814</f>
        <v>60568.342799999999</v>
      </c>
    </row>
    <row r="3" spans="1:4" x14ac:dyDescent="0.2">
      <c r="A3" s="63" t="s">
        <v>123</v>
      </c>
      <c r="B3" s="65">
        <v>6648</v>
      </c>
      <c r="C3" s="65">
        <f>Tabelle161017[[#This Row],[Costs per month (without end of the year bonus)]]*12.4647</f>
        <v>82865.325599999996</v>
      </c>
    </row>
    <row r="4" spans="1:4" x14ac:dyDescent="0.2">
      <c r="A4" s="63" t="s">
        <v>121</v>
      </c>
      <c r="B4" s="65">
        <v>7862</v>
      </c>
      <c r="C4" s="65">
        <f>Tabelle161017[[#This Row],[Costs per month (without end of the year bonus)]]*12</f>
        <v>94344</v>
      </c>
    </row>
    <row r="5" spans="1:4" x14ac:dyDescent="0.2">
      <c r="A5" s="63" t="s">
        <v>124</v>
      </c>
      <c r="B5" s="65">
        <v>10947</v>
      </c>
      <c r="C5" s="65">
        <f>Tabelle161017[[#This Row],[Costs per month (without end of the year bonus)]]*12</f>
        <v>131364</v>
      </c>
    </row>
    <row r="7" spans="1:4" x14ac:dyDescent="0.2">
      <c r="A7" s="63" t="s">
        <v>109</v>
      </c>
      <c r="B7" s="63" t="s">
        <v>130</v>
      </c>
      <c r="C7" s="63" t="s">
        <v>131</v>
      </c>
      <c r="D7" s="63" t="s">
        <v>119</v>
      </c>
    </row>
    <row r="8" spans="1:4" x14ac:dyDescent="0.2">
      <c r="A8" s="63" t="s">
        <v>112</v>
      </c>
      <c r="B8" s="63">
        <v>0.5</v>
      </c>
      <c r="C8" s="63">
        <v>0.5</v>
      </c>
      <c r="D8" s="64" t="s">
        <v>121</v>
      </c>
    </row>
    <row r="9" spans="1:4" x14ac:dyDescent="0.2">
      <c r="A9" s="63" t="s">
        <v>110</v>
      </c>
      <c r="B9" s="94" t="s">
        <v>132</v>
      </c>
      <c r="C9" s="94" t="s">
        <v>133</v>
      </c>
      <c r="D9" s="64" t="s">
        <v>122</v>
      </c>
    </row>
    <row r="10" spans="1:4" x14ac:dyDescent="0.2">
      <c r="A10" s="63" t="s">
        <v>111</v>
      </c>
      <c r="B10" s="64" t="s">
        <v>115</v>
      </c>
      <c r="C10" s="63">
        <v>2.5</v>
      </c>
      <c r="D10" s="64" t="s">
        <v>123</v>
      </c>
    </row>
    <row r="11" spans="1:4" x14ac:dyDescent="0.2">
      <c r="A11" s="63" t="s">
        <v>114</v>
      </c>
      <c r="B11" s="64" t="s">
        <v>115</v>
      </c>
      <c r="C11" s="64" t="s">
        <v>115</v>
      </c>
      <c r="D11" s="64" t="s">
        <v>123</v>
      </c>
    </row>
    <row r="12" spans="1:4" x14ac:dyDescent="0.2">
      <c r="A12" s="63" t="s">
        <v>113</v>
      </c>
      <c r="B12" s="63">
        <v>0.5</v>
      </c>
      <c r="C12" s="63">
        <v>0.5</v>
      </c>
      <c r="D12" s="64" t="s">
        <v>124</v>
      </c>
    </row>
    <row r="13" spans="1:4" x14ac:dyDescent="0.2">
      <c r="A13" s="63" t="s">
        <v>117</v>
      </c>
      <c r="B13" s="63">
        <v>0.5</v>
      </c>
      <c r="C13" s="63">
        <v>0.5</v>
      </c>
      <c r="D13" s="64" t="s">
        <v>123</v>
      </c>
    </row>
    <row r="14" spans="1:4" x14ac:dyDescent="0.2">
      <c r="A14" s="63" t="s">
        <v>118</v>
      </c>
      <c r="B14" s="63">
        <v>0.5</v>
      </c>
      <c r="C14" s="64" t="s">
        <v>115</v>
      </c>
      <c r="D14" s="64" t="s">
        <v>122</v>
      </c>
    </row>
    <row r="16" spans="1:4" x14ac:dyDescent="0.2">
      <c r="A16" s="63" t="s">
        <v>120</v>
      </c>
      <c r="B16" s="63" t="s">
        <v>134</v>
      </c>
      <c r="C16" s="63" t="s">
        <v>135</v>
      </c>
    </row>
    <row r="17" spans="1:3" x14ac:dyDescent="0.2">
      <c r="A17" s="63" t="s">
        <v>112</v>
      </c>
      <c r="B17" s="65">
        <f>C4/2</f>
        <v>47172</v>
      </c>
      <c r="C17" s="65">
        <f>Tabelle381620[[#This Row],[Costs per year 300 cases]]</f>
        <v>47172</v>
      </c>
    </row>
    <row r="18" spans="1:3" x14ac:dyDescent="0.2">
      <c r="A18" s="63" t="s">
        <v>110</v>
      </c>
      <c r="B18" s="65">
        <f>2*C2</f>
        <v>121136.6856</v>
      </c>
      <c r="C18" s="65">
        <f>7*C2</f>
        <v>423978.3996</v>
      </c>
    </row>
    <row r="19" spans="1:3" x14ac:dyDescent="0.2">
      <c r="A19" s="63" t="s">
        <v>111</v>
      </c>
      <c r="B19" s="65">
        <f>C3</f>
        <v>82865.325599999996</v>
      </c>
      <c r="C19" s="65">
        <f>2.5*C3</f>
        <v>207163.31399999998</v>
      </c>
    </row>
    <row r="20" spans="1:3" x14ac:dyDescent="0.2">
      <c r="A20" s="63" t="s">
        <v>114</v>
      </c>
      <c r="B20" s="65">
        <f>C3</f>
        <v>82865.325599999996</v>
      </c>
      <c r="C20" s="65">
        <f>C3</f>
        <v>82865.325599999996</v>
      </c>
    </row>
    <row r="21" spans="1:3" x14ac:dyDescent="0.2">
      <c r="A21" s="63" t="s">
        <v>113</v>
      </c>
      <c r="B21" s="65">
        <f>0.5*C5</f>
        <v>65682</v>
      </c>
      <c r="C21" s="65">
        <f>0.5*C5</f>
        <v>65682</v>
      </c>
    </row>
    <row r="22" spans="1:3" x14ac:dyDescent="0.2">
      <c r="A22" s="63" t="s">
        <v>117</v>
      </c>
      <c r="B22" s="65">
        <f>0.5*C3</f>
        <v>41432.662799999998</v>
      </c>
      <c r="C22" s="65">
        <f>0.5*C3</f>
        <v>41432.662799999998</v>
      </c>
    </row>
    <row r="23" spans="1:3" x14ac:dyDescent="0.2">
      <c r="A23" s="63" t="s">
        <v>118</v>
      </c>
      <c r="B23" s="65">
        <f>0.5*C2</f>
        <v>30284.171399999999</v>
      </c>
      <c r="C23" s="65">
        <f>C2</f>
        <v>60568.342799999999</v>
      </c>
    </row>
    <row r="24" spans="1:3" x14ac:dyDescent="0.2">
      <c r="A24" s="63" t="s">
        <v>102</v>
      </c>
      <c r="B24" s="65">
        <f>SUM(B17:B23)</f>
        <v>471438.17099999997</v>
      </c>
      <c r="C24" s="65">
        <f>SUM(C17:C23)</f>
        <v>928862.04480000003</v>
      </c>
    </row>
    <row r="26" spans="1:3" x14ac:dyDescent="0.2">
      <c r="B26" s="63" t="s">
        <v>128</v>
      </c>
      <c r="C26" s="63" t="s">
        <v>129</v>
      </c>
    </row>
    <row r="27" spans="1:3" x14ac:dyDescent="0.2">
      <c r="B27" s="63">
        <v>300</v>
      </c>
      <c r="C27" s="65">
        <f>B24/300</f>
        <v>1571.46057</v>
      </c>
    </row>
    <row r="28" spans="1:3" x14ac:dyDescent="0.2">
      <c r="B28" s="63">
        <v>2000</v>
      </c>
      <c r="C28" s="65">
        <f>C24/2000</f>
        <v>464.43102240000002</v>
      </c>
    </row>
  </sheetData>
  <pageMargins left="0.7" right="0.7" top="0.78740157499999996" bottom="0.78740157499999996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A3A9A-B58A-4CEE-809D-F519AE996347}">
  <dimension ref="A1:AF11"/>
  <sheetViews>
    <sheetView topLeftCell="T1" workbookViewId="0">
      <selection activeCell="AA3" sqref="AA3"/>
    </sheetView>
  </sheetViews>
  <sheetFormatPr baseColWidth="10" defaultColWidth="11.42578125" defaultRowHeight="15" x14ac:dyDescent="0.25"/>
  <cols>
    <col min="1" max="1" width="43.42578125" style="1" customWidth="1"/>
    <col min="2" max="32" width="19.5703125" style="1" customWidth="1"/>
    <col min="33" max="16384" width="11.42578125" style="1"/>
  </cols>
  <sheetData>
    <row r="1" spans="1:32" x14ac:dyDescent="0.25">
      <c r="A1" s="95"/>
      <c r="B1" s="95"/>
      <c r="C1" s="95"/>
      <c r="D1" s="95"/>
      <c r="E1" s="95"/>
      <c r="F1" s="95"/>
      <c r="G1" s="95"/>
      <c r="H1" s="95" t="s">
        <v>32</v>
      </c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</row>
    <row r="2" spans="1:32" x14ac:dyDescent="0.25">
      <c r="A2" s="95"/>
      <c r="B2" s="96" t="s">
        <v>79</v>
      </c>
      <c r="C2" s="96" t="s">
        <v>79</v>
      </c>
      <c r="D2" s="96" t="s">
        <v>79</v>
      </c>
      <c r="E2" s="96" t="s">
        <v>79</v>
      </c>
      <c r="F2" s="96" t="s">
        <v>79</v>
      </c>
      <c r="G2" s="96" t="s">
        <v>85</v>
      </c>
      <c r="H2" s="96" t="s">
        <v>85</v>
      </c>
      <c r="I2" s="96" t="s">
        <v>85</v>
      </c>
      <c r="J2" s="96" t="s">
        <v>85</v>
      </c>
      <c r="K2" s="96" t="s">
        <v>85</v>
      </c>
      <c r="L2" s="96" t="s">
        <v>85</v>
      </c>
      <c r="M2" s="96" t="s">
        <v>85</v>
      </c>
      <c r="N2" s="96" t="s">
        <v>85</v>
      </c>
      <c r="O2" s="96" t="s">
        <v>90</v>
      </c>
      <c r="P2" s="96" t="s">
        <v>90</v>
      </c>
      <c r="Q2" s="96" t="s">
        <v>90</v>
      </c>
      <c r="R2" s="96" t="s">
        <v>90</v>
      </c>
      <c r="S2" s="97" t="s">
        <v>91</v>
      </c>
      <c r="T2" s="97" t="s">
        <v>39</v>
      </c>
      <c r="U2" s="97" t="s">
        <v>39</v>
      </c>
      <c r="V2" s="97" t="s">
        <v>39</v>
      </c>
      <c r="W2" s="97" t="s">
        <v>39</v>
      </c>
      <c r="X2" s="97" t="s">
        <v>97</v>
      </c>
      <c r="Y2" s="97"/>
      <c r="Z2" s="97" t="s">
        <v>100</v>
      </c>
      <c r="AA2" s="97" t="s">
        <v>100</v>
      </c>
      <c r="AB2" s="97" t="s">
        <v>100</v>
      </c>
      <c r="AC2" s="97" t="s">
        <v>100</v>
      </c>
      <c r="AD2" s="97" t="s">
        <v>100</v>
      </c>
      <c r="AE2" s="97" t="s">
        <v>100</v>
      </c>
      <c r="AF2" s="97" t="s">
        <v>100</v>
      </c>
    </row>
    <row r="3" spans="1:32" ht="75" x14ac:dyDescent="0.25">
      <c r="A3" s="97"/>
      <c r="B3" s="98" t="s">
        <v>195</v>
      </c>
      <c r="C3" s="98" t="s">
        <v>80</v>
      </c>
      <c r="D3" s="98" t="s">
        <v>82</v>
      </c>
      <c r="E3" s="98" t="s">
        <v>81</v>
      </c>
      <c r="F3" s="98" t="s">
        <v>83</v>
      </c>
      <c r="G3" s="98" t="s">
        <v>84</v>
      </c>
      <c r="H3" s="98" t="s">
        <v>10</v>
      </c>
      <c r="I3" s="98" t="s">
        <v>86</v>
      </c>
      <c r="J3" s="98" t="s">
        <v>87</v>
      </c>
      <c r="K3" s="98" t="s">
        <v>88</v>
      </c>
      <c r="L3" s="98" t="s">
        <v>11</v>
      </c>
      <c r="M3" s="98" t="s">
        <v>89</v>
      </c>
      <c r="N3" s="98" t="s">
        <v>96</v>
      </c>
      <c r="O3" s="98" t="s">
        <v>41</v>
      </c>
      <c r="P3" s="98" t="s">
        <v>92</v>
      </c>
      <c r="Q3" s="98" t="s">
        <v>93</v>
      </c>
      <c r="R3" s="98" t="s">
        <v>95</v>
      </c>
      <c r="S3" s="98" t="s">
        <v>94</v>
      </c>
      <c r="T3" s="98" t="s">
        <v>96</v>
      </c>
      <c r="U3" s="98" t="s">
        <v>92</v>
      </c>
      <c r="V3" s="98" t="s">
        <v>93</v>
      </c>
      <c r="W3" s="98" t="s">
        <v>95</v>
      </c>
      <c r="X3" s="98" t="s">
        <v>98</v>
      </c>
      <c r="Y3" s="98" t="s">
        <v>99</v>
      </c>
      <c r="Z3" s="98" t="s">
        <v>10</v>
      </c>
      <c r="AA3" s="98" t="s">
        <v>80</v>
      </c>
      <c r="AB3" s="98" t="s">
        <v>11</v>
      </c>
      <c r="AC3" s="98" t="s">
        <v>9</v>
      </c>
      <c r="AD3" s="98" t="s">
        <v>95</v>
      </c>
      <c r="AE3" s="98" t="s">
        <v>98</v>
      </c>
      <c r="AF3" s="98" t="s">
        <v>102</v>
      </c>
    </row>
    <row r="4" spans="1:32" x14ac:dyDescent="0.25">
      <c r="A4" s="97"/>
      <c r="B4" s="98" t="s">
        <v>38</v>
      </c>
      <c r="C4" s="98" t="s">
        <v>38</v>
      </c>
      <c r="D4" s="98" t="s">
        <v>38</v>
      </c>
      <c r="E4" s="98" t="s">
        <v>38</v>
      </c>
      <c r="F4" s="98" t="s">
        <v>38</v>
      </c>
      <c r="G4" s="98" t="s">
        <v>38</v>
      </c>
      <c r="H4" s="98"/>
      <c r="I4" s="98"/>
      <c r="J4" s="98"/>
      <c r="K4" s="98" t="s">
        <v>38</v>
      </c>
      <c r="L4" s="98"/>
      <c r="M4" s="98" t="s">
        <v>38</v>
      </c>
      <c r="N4" s="98" t="s">
        <v>38</v>
      </c>
      <c r="O4" s="98" t="s">
        <v>38</v>
      </c>
      <c r="P4" s="98" t="s">
        <v>38</v>
      </c>
      <c r="Q4" s="98" t="s">
        <v>38</v>
      </c>
      <c r="R4" s="98" t="s">
        <v>38</v>
      </c>
      <c r="S4" s="98" t="s">
        <v>38</v>
      </c>
      <c r="T4" s="98" t="s">
        <v>38</v>
      </c>
      <c r="U4" s="98" t="s">
        <v>38</v>
      </c>
      <c r="V4" s="98" t="s">
        <v>38</v>
      </c>
      <c r="W4" s="98" t="s">
        <v>38</v>
      </c>
      <c r="X4" s="98" t="s">
        <v>38</v>
      </c>
      <c r="Y4" s="98"/>
      <c r="Z4" s="98" t="s">
        <v>101</v>
      </c>
      <c r="AA4" s="98" t="s">
        <v>101</v>
      </c>
      <c r="AB4" s="98" t="s">
        <v>101</v>
      </c>
      <c r="AC4" s="98" t="s">
        <v>101</v>
      </c>
      <c r="AD4" s="98" t="s">
        <v>101</v>
      </c>
      <c r="AE4" s="98" t="s">
        <v>101</v>
      </c>
      <c r="AF4" s="98"/>
    </row>
    <row r="5" spans="1:32" s="101" customFormat="1" x14ac:dyDescent="0.25">
      <c r="A5" s="99" t="s">
        <v>67</v>
      </c>
      <c r="B5" s="103">
        <v>12040</v>
      </c>
      <c r="C5" s="103">
        <v>4185</v>
      </c>
      <c r="D5" s="103">
        <v>636</v>
      </c>
      <c r="E5" s="103">
        <v>810</v>
      </c>
      <c r="F5" s="103">
        <v>1152.9000000000001</v>
      </c>
      <c r="G5" s="103">
        <v>12176</v>
      </c>
      <c r="H5" s="103">
        <v>13201.65</v>
      </c>
      <c r="I5" s="103">
        <v>3490</v>
      </c>
      <c r="J5" s="103">
        <v>1936</v>
      </c>
      <c r="K5" s="103">
        <v>2298</v>
      </c>
      <c r="L5" s="103">
        <v>28903</v>
      </c>
      <c r="M5" s="103">
        <v>4510</v>
      </c>
      <c r="N5" s="103">
        <v>6250</v>
      </c>
      <c r="O5" s="103">
        <v>75714</v>
      </c>
      <c r="P5" s="103">
        <v>917</v>
      </c>
      <c r="Q5" s="103">
        <v>805</v>
      </c>
      <c r="R5" s="103">
        <v>52959</v>
      </c>
      <c r="S5" s="103">
        <v>10969</v>
      </c>
      <c r="T5" s="103">
        <v>6250</v>
      </c>
      <c r="U5" s="103">
        <v>917</v>
      </c>
      <c r="V5" s="103">
        <v>805</v>
      </c>
      <c r="W5" s="103">
        <v>52959</v>
      </c>
      <c r="X5" s="103">
        <v>1249596</v>
      </c>
      <c r="Y5" s="103">
        <f>SUM(B5:W5)</f>
        <v>293883.55</v>
      </c>
      <c r="Z5" s="103">
        <v>659</v>
      </c>
      <c r="AA5" s="103">
        <v>848</v>
      </c>
      <c r="AB5" s="103">
        <v>1229</v>
      </c>
      <c r="AC5" s="103">
        <v>8400</v>
      </c>
      <c r="AD5" s="103">
        <v>5064</v>
      </c>
      <c r="AE5" s="103">
        <v>132883</v>
      </c>
      <c r="AF5" s="103">
        <f>SUM(Z5:AE5)</f>
        <v>149083</v>
      </c>
    </row>
    <row r="6" spans="1:32" s="101" customFormat="1" x14ac:dyDescent="0.25">
      <c r="A6" s="102" t="s">
        <v>78</v>
      </c>
      <c r="B6" s="104">
        <v>12040</v>
      </c>
      <c r="C6" s="104">
        <v>4185</v>
      </c>
      <c r="D6" s="103">
        <v>636</v>
      </c>
      <c r="E6" s="103">
        <v>810</v>
      </c>
      <c r="F6" s="103">
        <v>1152.9000000000001</v>
      </c>
      <c r="G6" s="103">
        <v>12176</v>
      </c>
      <c r="H6" s="103">
        <v>13201.65</v>
      </c>
      <c r="I6" s="103">
        <v>3490</v>
      </c>
      <c r="J6" s="103">
        <v>1936</v>
      </c>
      <c r="K6" s="103">
        <v>2298</v>
      </c>
      <c r="L6" s="103">
        <v>28903</v>
      </c>
      <c r="M6" s="103">
        <v>4510</v>
      </c>
      <c r="N6" s="103">
        <v>6250</v>
      </c>
      <c r="O6" s="103" t="s">
        <v>40</v>
      </c>
      <c r="P6" s="103">
        <v>917</v>
      </c>
      <c r="Q6" s="103">
        <v>805</v>
      </c>
      <c r="R6" s="103" t="s">
        <v>40</v>
      </c>
      <c r="S6" s="103">
        <v>10969</v>
      </c>
      <c r="T6" s="103">
        <v>6250</v>
      </c>
      <c r="U6" s="103">
        <v>917</v>
      </c>
      <c r="V6" s="103">
        <v>805</v>
      </c>
      <c r="W6" s="103">
        <v>52959</v>
      </c>
      <c r="X6" s="103">
        <v>1249596</v>
      </c>
      <c r="Y6" s="103">
        <f>SUM(B6:W6)</f>
        <v>165210.54999999999</v>
      </c>
      <c r="Z6" s="103">
        <v>659</v>
      </c>
      <c r="AA6" s="103">
        <v>848</v>
      </c>
      <c r="AB6" s="103">
        <v>1229</v>
      </c>
      <c r="AC6" s="103" t="s">
        <v>44</v>
      </c>
      <c r="AD6" s="103">
        <v>5064</v>
      </c>
      <c r="AE6" s="103">
        <v>132883</v>
      </c>
      <c r="AF6" s="103">
        <f>SUM(Z6:AE6)</f>
        <v>140683</v>
      </c>
    </row>
    <row r="7" spans="1:32" x14ac:dyDescent="0.25">
      <c r="X7" s="100"/>
      <c r="Y7" s="15"/>
      <c r="AE7" s="14"/>
      <c r="AF7" s="14"/>
    </row>
    <row r="8" spans="1:32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AB8" s="13"/>
      <c r="AF8" s="17"/>
    </row>
    <row r="9" spans="1:32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AF9" s="17"/>
    </row>
    <row r="10" spans="1:32" ht="23.25" x14ac:dyDescent="0.3">
      <c r="F10" s="12"/>
      <c r="S10" s="11"/>
      <c r="AF10" s="14"/>
    </row>
    <row r="11" spans="1:32" x14ac:dyDescent="0.25">
      <c r="AE11" s="14"/>
      <c r="AF11" s="14"/>
    </row>
  </sheetData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30A0-B404-4D23-829B-8B03772324A9}">
  <dimension ref="A1:G6"/>
  <sheetViews>
    <sheetView workbookViewId="0">
      <selection activeCell="F9" sqref="F9"/>
    </sheetView>
  </sheetViews>
  <sheetFormatPr baseColWidth="10" defaultRowHeight="14.25" x14ac:dyDescent="0.25"/>
  <cols>
    <col min="1" max="1" width="37.5703125" style="108" bestFit="1" customWidth="1"/>
    <col min="2" max="2" width="13" style="108" bestFit="1" customWidth="1"/>
    <col min="3" max="3" width="18.7109375" style="108" bestFit="1" customWidth="1"/>
    <col min="4" max="4" width="13" style="108" bestFit="1" customWidth="1"/>
    <col min="5" max="5" width="25.85546875" style="108" bestFit="1" customWidth="1"/>
    <col min="6" max="6" width="13" style="108" bestFit="1" customWidth="1"/>
    <col min="7" max="7" width="27" style="108" bestFit="1" customWidth="1"/>
    <col min="8" max="16384" width="11.42578125" style="108"/>
  </cols>
  <sheetData>
    <row r="1" spans="1:7" ht="25.5" x14ac:dyDescent="0.25">
      <c r="A1" s="153"/>
      <c r="B1" s="154" t="s">
        <v>75</v>
      </c>
      <c r="C1" s="158" t="s">
        <v>77</v>
      </c>
      <c r="D1" s="106"/>
      <c r="E1" s="107"/>
      <c r="F1" s="106"/>
      <c r="G1" s="107"/>
    </row>
    <row r="2" spans="1:7" x14ac:dyDescent="0.25">
      <c r="A2" s="152" t="s">
        <v>74</v>
      </c>
      <c r="B2" s="155">
        <v>25583</v>
      </c>
      <c r="C2" s="159" t="s">
        <v>76</v>
      </c>
      <c r="D2" s="109"/>
      <c r="E2" s="110"/>
      <c r="F2" s="109"/>
      <c r="G2" s="110"/>
    </row>
    <row r="3" spans="1:7" x14ac:dyDescent="0.25">
      <c r="A3" s="152" t="s">
        <v>71</v>
      </c>
      <c r="B3" s="156" t="s">
        <v>76</v>
      </c>
      <c r="C3" s="160">
        <v>166.66666599999999</v>
      </c>
      <c r="D3" s="109"/>
      <c r="E3" s="110"/>
      <c r="F3" s="109"/>
      <c r="G3" s="110"/>
    </row>
    <row r="4" spans="1:7" x14ac:dyDescent="0.25">
      <c r="A4" s="152" t="s">
        <v>72</v>
      </c>
      <c r="B4" s="156" t="s">
        <v>76</v>
      </c>
      <c r="C4" s="160">
        <v>80</v>
      </c>
      <c r="D4" s="109"/>
      <c r="E4" s="110"/>
      <c r="F4" s="109"/>
      <c r="G4" s="110"/>
    </row>
    <row r="5" spans="1:7" x14ac:dyDescent="0.25">
      <c r="A5" s="157" t="s">
        <v>73</v>
      </c>
      <c r="B5" s="154" t="s">
        <v>76</v>
      </c>
      <c r="C5" s="161">
        <v>185.39</v>
      </c>
      <c r="D5" s="109"/>
      <c r="E5" s="110"/>
      <c r="F5" s="109"/>
      <c r="G5" s="110"/>
    </row>
    <row r="6" spans="1:7" ht="15" x14ac:dyDescent="0.25">
      <c r="A6" s="106"/>
      <c r="B6" s="105"/>
      <c r="C6" s="110"/>
      <c r="D6" s="110"/>
      <c r="E6" s="110"/>
      <c r="F6" s="110"/>
      <c r="G6" s="110"/>
    </row>
  </sheetData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B3165-6E3B-4D0B-B374-4E5205B27A27}">
  <dimension ref="B1:L7"/>
  <sheetViews>
    <sheetView zoomScale="130" zoomScaleNormal="130" workbookViewId="0">
      <selection activeCell="I14" sqref="I14"/>
    </sheetView>
  </sheetViews>
  <sheetFormatPr baseColWidth="10" defaultRowHeight="15" x14ac:dyDescent="0.25"/>
  <cols>
    <col min="1" max="1" width="5.85546875" customWidth="1"/>
    <col min="2" max="2" width="9.28515625" bestFit="1" customWidth="1"/>
    <col min="3" max="3" width="17" bestFit="1" customWidth="1"/>
    <col min="4" max="4" width="12.7109375" bestFit="1" customWidth="1"/>
    <col min="5" max="5" width="12.7109375" customWidth="1"/>
    <col min="6" max="6" width="14" customWidth="1"/>
    <col min="7" max="7" width="13.5703125" customWidth="1"/>
    <col min="8" max="9" width="12.7109375" bestFit="1" customWidth="1"/>
    <col min="10" max="11" width="11.5703125" bestFit="1" customWidth="1"/>
    <col min="12" max="12" width="12.7109375" bestFit="1" customWidth="1"/>
    <col min="14" max="14" width="3.7109375" bestFit="1" customWidth="1"/>
    <col min="15" max="15" width="4.28515625" bestFit="1" customWidth="1"/>
    <col min="16" max="16" width="3.28515625" bestFit="1" customWidth="1"/>
  </cols>
  <sheetData>
    <row r="1" spans="2:12" ht="15.75" thickBot="1" x14ac:dyDescent="0.3"/>
    <row r="2" spans="2:12" ht="16.5" thickBot="1" x14ac:dyDescent="0.3">
      <c r="B2" s="164"/>
      <c r="C2" s="165"/>
      <c r="D2" s="170" t="s">
        <v>55</v>
      </c>
      <c r="E2" s="171"/>
      <c r="F2" s="170" t="s">
        <v>56</v>
      </c>
      <c r="G2" s="172"/>
      <c r="H2" s="172"/>
      <c r="I2" s="171"/>
      <c r="J2" s="170" t="s">
        <v>57</v>
      </c>
      <c r="K2" s="172"/>
      <c r="L2" s="171"/>
    </row>
    <row r="3" spans="2:12" x14ac:dyDescent="0.25">
      <c r="B3" s="166"/>
      <c r="C3" s="167"/>
      <c r="D3" s="112">
        <v>260</v>
      </c>
      <c r="E3" s="113">
        <v>800</v>
      </c>
      <c r="F3" s="114">
        <v>1600</v>
      </c>
      <c r="G3" s="115">
        <v>3200</v>
      </c>
      <c r="H3" s="116">
        <v>8200</v>
      </c>
      <c r="I3" s="117">
        <v>20000</v>
      </c>
      <c r="J3" s="118">
        <v>3200</v>
      </c>
      <c r="K3" s="119">
        <v>20000</v>
      </c>
      <c r="L3" s="120">
        <v>52000</v>
      </c>
    </row>
    <row r="4" spans="2:12" ht="15.75" thickBot="1" x14ac:dyDescent="0.3">
      <c r="B4" s="168"/>
      <c r="C4" s="169"/>
      <c r="D4" s="125" t="s">
        <v>58</v>
      </c>
      <c r="E4" s="126" t="s">
        <v>59</v>
      </c>
      <c r="F4" s="127" t="s">
        <v>60</v>
      </c>
      <c r="G4" s="128" t="s">
        <v>61</v>
      </c>
      <c r="H4" s="129" t="s">
        <v>62</v>
      </c>
      <c r="I4" s="130" t="s">
        <v>63</v>
      </c>
      <c r="J4" s="131" t="s">
        <v>64</v>
      </c>
      <c r="K4" s="132" t="s">
        <v>65</v>
      </c>
      <c r="L4" s="133" t="s">
        <v>66</v>
      </c>
    </row>
    <row r="5" spans="2:12" ht="15.75" thickBot="1" x14ac:dyDescent="0.3">
      <c r="B5" s="121">
        <f>6500</f>
        <v>6500</v>
      </c>
      <c r="C5" s="124" t="s">
        <v>67</v>
      </c>
      <c r="D5" s="134">
        <f t="shared" ref="D5:L5" si="0">D3/$B$5</f>
        <v>0.04</v>
      </c>
      <c r="E5" s="135">
        <f t="shared" si="0"/>
        <v>0.12307692307692308</v>
      </c>
      <c r="F5" s="136">
        <f t="shared" si="0"/>
        <v>0.24615384615384617</v>
      </c>
      <c r="G5" s="136">
        <f t="shared" si="0"/>
        <v>0.49230769230769234</v>
      </c>
      <c r="H5" s="136">
        <f t="shared" si="0"/>
        <v>1.2615384615384615</v>
      </c>
      <c r="I5" s="136">
        <f t="shared" si="0"/>
        <v>3.0769230769230771</v>
      </c>
      <c r="J5" s="137">
        <f t="shared" si="0"/>
        <v>0.49230769230769234</v>
      </c>
      <c r="K5" s="138">
        <f t="shared" si="0"/>
        <v>3.0769230769230771</v>
      </c>
      <c r="L5" s="139">
        <f t="shared" si="0"/>
        <v>8</v>
      </c>
    </row>
    <row r="6" spans="2:12" ht="15.75" thickBot="1" x14ac:dyDescent="0.3">
      <c r="B6" s="122"/>
      <c r="C6" s="124" t="s">
        <v>68</v>
      </c>
      <c r="D6" s="140">
        <v>2620</v>
      </c>
      <c r="E6" s="141">
        <v>6846</v>
      </c>
      <c r="F6" s="142">
        <v>3597</v>
      </c>
      <c r="G6" s="142">
        <v>6296</v>
      </c>
      <c r="H6" s="142">
        <v>11509</v>
      </c>
      <c r="I6" s="142">
        <v>16785</v>
      </c>
      <c r="J6" s="143">
        <v>2678</v>
      </c>
      <c r="K6" s="143">
        <v>9888</v>
      </c>
      <c r="L6" s="144">
        <v>16480</v>
      </c>
    </row>
    <row r="7" spans="2:12" ht="15.75" thickBot="1" x14ac:dyDescent="0.3">
      <c r="B7" s="123"/>
      <c r="C7" s="124" t="s">
        <v>69</v>
      </c>
      <c r="D7" s="140">
        <f>D6/D5</f>
        <v>65500</v>
      </c>
      <c r="E7" s="141">
        <f t="shared" ref="E7:L7" si="1">E6/E5</f>
        <v>55623.75</v>
      </c>
      <c r="F7" s="142">
        <f t="shared" si="1"/>
        <v>14612.8125</v>
      </c>
      <c r="G7" s="142">
        <f t="shared" si="1"/>
        <v>12788.75</v>
      </c>
      <c r="H7" s="142">
        <f t="shared" si="1"/>
        <v>9122.9878048780483</v>
      </c>
      <c r="I7" s="142">
        <f t="shared" si="1"/>
        <v>5455.125</v>
      </c>
      <c r="J7" s="143">
        <f t="shared" si="1"/>
        <v>5439.6875</v>
      </c>
      <c r="K7" s="143">
        <f t="shared" si="1"/>
        <v>3213.6</v>
      </c>
      <c r="L7" s="144">
        <f t="shared" si="1"/>
        <v>2060</v>
      </c>
    </row>
  </sheetData>
  <mergeCells count="4">
    <mergeCell ref="B2:C4"/>
    <mergeCell ref="D2:E2"/>
    <mergeCell ref="F2:I2"/>
    <mergeCell ref="J2:L2"/>
  </mergeCells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2BFD-BADD-4519-9629-9DEB6A9D1EE2}">
  <dimension ref="A1:C20"/>
  <sheetViews>
    <sheetView workbookViewId="0">
      <selection activeCell="I15" sqref="I15"/>
    </sheetView>
  </sheetViews>
  <sheetFormatPr baseColWidth="10" defaultRowHeight="14.25" x14ac:dyDescent="0.2"/>
  <cols>
    <col min="1" max="1" width="27.5703125" style="63" bestFit="1" customWidth="1"/>
    <col min="2" max="2" width="22.140625" style="63" bestFit="1" customWidth="1"/>
    <col min="3" max="3" width="23.28515625" style="63" bestFit="1" customWidth="1"/>
    <col min="4" max="16384" width="11.42578125" style="63"/>
  </cols>
  <sheetData>
    <row r="1" spans="1:3" x14ac:dyDescent="0.2">
      <c r="A1" s="63" t="s">
        <v>45</v>
      </c>
      <c r="B1" s="63" t="s">
        <v>46</v>
      </c>
      <c r="C1" s="63" t="s">
        <v>47</v>
      </c>
    </row>
    <row r="2" spans="1:3" x14ac:dyDescent="0.2">
      <c r="A2" s="63" t="s">
        <v>48</v>
      </c>
      <c r="B2" s="111">
        <f>41000/300</f>
        <v>136.66666666666666</v>
      </c>
      <c r="C2" s="111">
        <f>41000/2000</f>
        <v>20.5</v>
      </c>
    </row>
    <row r="3" spans="1:3" x14ac:dyDescent="0.2">
      <c r="A3" s="63" t="s">
        <v>49</v>
      </c>
      <c r="B3" s="111">
        <v>2190.92</v>
      </c>
      <c r="C3" s="111">
        <v>2190.92</v>
      </c>
    </row>
    <row r="4" spans="1:3" x14ac:dyDescent="0.2">
      <c r="A4" s="63" t="s">
        <v>50</v>
      </c>
      <c r="B4" s="111">
        <v>278.86</v>
      </c>
      <c r="C4" s="111">
        <v>278.86</v>
      </c>
    </row>
    <row r="5" spans="1:3" x14ac:dyDescent="0.2">
      <c r="A5" s="63" t="s">
        <v>51</v>
      </c>
      <c r="B5" s="111">
        <v>747.59</v>
      </c>
      <c r="C5" s="111">
        <v>309.61</v>
      </c>
    </row>
    <row r="6" spans="1:3" x14ac:dyDescent="0.2">
      <c r="A6" s="63" t="s">
        <v>70</v>
      </c>
      <c r="B6" s="111">
        <f>80+185.39</f>
        <v>265.39</v>
      </c>
      <c r="C6" s="111">
        <f>80+185.39</f>
        <v>265.39</v>
      </c>
    </row>
    <row r="7" spans="1:3" x14ac:dyDescent="0.2">
      <c r="A7" s="91" t="s">
        <v>52</v>
      </c>
      <c r="B7" s="111">
        <v>1156.74</v>
      </c>
      <c r="C7" s="111">
        <v>315.18</v>
      </c>
    </row>
    <row r="8" spans="1:3" x14ac:dyDescent="0.2">
      <c r="A8" s="145" t="s">
        <v>53</v>
      </c>
      <c r="B8" s="151">
        <v>496.94</v>
      </c>
      <c r="C8" s="151">
        <v>74.540000000000006</v>
      </c>
    </row>
    <row r="9" spans="1:3" x14ac:dyDescent="0.2">
      <c r="A9" s="63" t="s">
        <v>54</v>
      </c>
      <c r="B9" s="111">
        <f>SUM(B2:B8)</f>
        <v>5273.1066666666666</v>
      </c>
      <c r="C9" s="111">
        <f>SUM(C2:C8)</f>
        <v>3455</v>
      </c>
    </row>
    <row r="10" spans="1:3" x14ac:dyDescent="0.2">
      <c r="B10" s="66"/>
    </row>
    <row r="11" spans="1:3" x14ac:dyDescent="0.2">
      <c r="B11" s="66"/>
    </row>
    <row r="12" spans="1:3" x14ac:dyDescent="0.2">
      <c r="B12" s="66"/>
    </row>
    <row r="13" spans="1:3" ht="15" x14ac:dyDescent="0.25">
      <c r="A13" s="70" t="s">
        <v>45</v>
      </c>
      <c r="B13" s="71" t="s">
        <v>46</v>
      </c>
      <c r="C13" s="72" t="s">
        <v>47</v>
      </c>
    </row>
    <row r="14" spans="1:3" x14ac:dyDescent="0.2">
      <c r="A14" s="73" t="s">
        <v>48</v>
      </c>
      <c r="B14" s="146">
        <f>B2/B9</f>
        <v>2.5917675348877196E-2</v>
      </c>
      <c r="C14" s="146">
        <f>C2/C9</f>
        <v>5.9334298118668598E-3</v>
      </c>
    </row>
    <row r="15" spans="1:3" x14ac:dyDescent="0.2">
      <c r="A15" s="73" t="s">
        <v>49</v>
      </c>
      <c r="B15" s="146">
        <f>B3/B9</f>
        <v>0.41548941420996605</v>
      </c>
      <c r="C15" s="146">
        <f>C3/C9</f>
        <v>0.63413024602026047</v>
      </c>
    </row>
    <row r="16" spans="1:3" x14ac:dyDescent="0.2">
      <c r="A16" s="73" t="s">
        <v>50</v>
      </c>
      <c r="B16" s="146">
        <f>B4/B9</f>
        <v>5.2883436203326063E-2</v>
      </c>
      <c r="C16" s="147">
        <f>C4/C9</f>
        <v>8.0712011577424025E-2</v>
      </c>
    </row>
    <row r="17" spans="1:3" x14ac:dyDescent="0.2">
      <c r="A17" s="73" t="s">
        <v>51</v>
      </c>
      <c r="B17" s="146">
        <f>B5/B9</f>
        <v>0.14177410912732027</v>
      </c>
      <c r="C17" s="147">
        <f>C5/C9</f>
        <v>8.9612156295224316E-2</v>
      </c>
    </row>
    <row r="18" spans="1:3" x14ac:dyDescent="0.2">
      <c r="A18" s="73" t="s">
        <v>70</v>
      </c>
      <c r="B18" s="146">
        <f>B6/B9</f>
        <v>5.0328964835403799E-2</v>
      </c>
      <c r="C18" s="147">
        <f>C6/C9</f>
        <v>7.6813314037626618E-2</v>
      </c>
    </row>
    <row r="19" spans="1:3" x14ac:dyDescent="0.2">
      <c r="A19" s="73" t="s">
        <v>52</v>
      </c>
      <c r="B19" s="146">
        <f>B7/B9</f>
        <v>0.2193659398760503</v>
      </c>
      <c r="C19" s="147">
        <f>C7/C9</f>
        <v>9.1224312590448622E-2</v>
      </c>
    </row>
    <row r="20" spans="1:3" x14ac:dyDescent="0.2">
      <c r="A20" s="148" t="s">
        <v>53</v>
      </c>
      <c r="B20" s="149">
        <f>B8/B9</f>
        <v>9.4240460399056342E-2</v>
      </c>
      <c r="C20" s="150">
        <f>C8/C9</f>
        <v>2.157452966714906E-2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363F2-AB36-46C3-AEF8-76D05F0FFF40}">
  <dimension ref="A1:C20"/>
  <sheetViews>
    <sheetView workbookViewId="0">
      <selection sqref="A1:C20"/>
    </sheetView>
  </sheetViews>
  <sheetFormatPr baseColWidth="10" defaultRowHeight="14.25" x14ac:dyDescent="0.2"/>
  <cols>
    <col min="1" max="1" width="27.5703125" style="63" bestFit="1" customWidth="1"/>
    <col min="2" max="2" width="22.140625" style="63" bestFit="1" customWidth="1"/>
    <col min="3" max="3" width="23.28515625" style="63" bestFit="1" customWidth="1"/>
    <col min="4" max="16384" width="11.42578125" style="63"/>
  </cols>
  <sheetData>
    <row r="1" spans="1:3" x14ac:dyDescent="0.2">
      <c r="A1" s="63" t="s">
        <v>45</v>
      </c>
      <c r="B1" s="63" t="s">
        <v>46</v>
      </c>
      <c r="C1" s="63" t="s">
        <v>47</v>
      </c>
    </row>
    <row r="2" spans="1:3" x14ac:dyDescent="0.2">
      <c r="A2" s="63" t="s">
        <v>48</v>
      </c>
      <c r="B2" s="111">
        <v>136.66999999999999</v>
      </c>
      <c r="C2" s="111">
        <v>20.5</v>
      </c>
    </row>
    <row r="3" spans="1:3" x14ac:dyDescent="0.2">
      <c r="A3" s="63" t="s">
        <v>49</v>
      </c>
      <c r="B3" s="111">
        <v>2180.67</v>
      </c>
      <c r="C3" s="111">
        <v>2180.67</v>
      </c>
    </row>
    <row r="4" spans="1:3" x14ac:dyDescent="0.2">
      <c r="A4" s="63" t="s">
        <v>50</v>
      </c>
      <c r="B4" s="111">
        <v>278.86</v>
      </c>
      <c r="C4" s="111">
        <v>278.86</v>
      </c>
    </row>
    <row r="5" spans="1:3" x14ac:dyDescent="0.2">
      <c r="A5" s="63" t="s">
        <v>51</v>
      </c>
      <c r="B5" s="111">
        <v>744.02</v>
      </c>
      <c r="C5" s="111">
        <v>306.02999999999997</v>
      </c>
    </row>
    <row r="6" spans="1:3" x14ac:dyDescent="0.2">
      <c r="A6" s="63" t="s">
        <v>70</v>
      </c>
      <c r="B6" s="111">
        <f>80+185.39</f>
        <v>265.39</v>
      </c>
      <c r="C6" s="111">
        <f>80+185.39</f>
        <v>265.39</v>
      </c>
    </row>
    <row r="7" spans="1:3" x14ac:dyDescent="0.2">
      <c r="A7" s="91" t="s">
        <v>52</v>
      </c>
      <c r="B7" s="111">
        <v>1120.69</v>
      </c>
      <c r="C7" s="111">
        <v>309.77</v>
      </c>
    </row>
    <row r="8" spans="1:3" x14ac:dyDescent="0.2">
      <c r="A8" s="145" t="s">
        <v>53</v>
      </c>
      <c r="B8" s="151">
        <f>496.94-(8400/300)</f>
        <v>468.94</v>
      </c>
      <c r="C8" s="151">
        <f>74.54-(8400/2000)</f>
        <v>70.34</v>
      </c>
    </row>
    <row r="9" spans="1:3" x14ac:dyDescent="0.2">
      <c r="A9" s="63" t="s">
        <v>54</v>
      </c>
      <c r="B9" s="111">
        <f>SUM(B2:B8)</f>
        <v>5195.24</v>
      </c>
      <c r="C9" s="111">
        <f>SUM(C2:C8)</f>
        <v>3431.5600000000004</v>
      </c>
    </row>
    <row r="13" spans="1:3" ht="15" x14ac:dyDescent="0.25">
      <c r="A13" s="70" t="s">
        <v>45</v>
      </c>
      <c r="B13" s="71" t="s">
        <v>46</v>
      </c>
      <c r="C13" s="72" t="s">
        <v>47</v>
      </c>
    </row>
    <row r="14" spans="1:3" x14ac:dyDescent="0.2">
      <c r="A14" s="73" t="s">
        <v>48</v>
      </c>
      <c r="B14" s="146">
        <f>B2/B9</f>
        <v>2.6306773123089596E-2</v>
      </c>
      <c r="C14" s="146">
        <f>C2/C9</f>
        <v>5.9739593654198082E-3</v>
      </c>
    </row>
    <row r="15" spans="1:3" x14ac:dyDescent="0.2">
      <c r="A15" s="73" t="s">
        <v>49</v>
      </c>
      <c r="B15" s="146">
        <f>B3/B9</f>
        <v>0.41974384244038776</v>
      </c>
      <c r="C15" s="146">
        <f>C3/C9</f>
        <v>0.63547482777512265</v>
      </c>
    </row>
    <row r="16" spans="1:3" x14ac:dyDescent="0.2">
      <c r="A16" s="73" t="s">
        <v>50</v>
      </c>
      <c r="B16" s="146">
        <f>B4/B9</f>
        <v>5.3676057314002823E-2</v>
      </c>
      <c r="C16" s="147">
        <f>C4/C9</f>
        <v>8.1263332128827706E-2</v>
      </c>
    </row>
    <row r="17" spans="1:3" x14ac:dyDescent="0.2">
      <c r="A17" s="73" t="s">
        <v>51</v>
      </c>
      <c r="B17" s="146">
        <f>B5/B9</f>
        <v>0.14321186316705292</v>
      </c>
      <c r="C17" s="147">
        <f>C5/C9</f>
        <v>8.9181013882898716E-2</v>
      </c>
    </row>
    <row r="18" spans="1:3" x14ac:dyDescent="0.2">
      <c r="A18" s="73" t="s">
        <v>70</v>
      </c>
      <c r="B18" s="146">
        <f>B6/B9</f>
        <v>5.1083299327846256E-2</v>
      </c>
      <c r="C18" s="147">
        <f>C6/C9</f>
        <v>7.7338003706768924E-2</v>
      </c>
    </row>
    <row r="19" spans="1:3" x14ac:dyDescent="0.2">
      <c r="A19" s="73" t="s">
        <v>52</v>
      </c>
      <c r="B19" s="146">
        <f>B7/B9</f>
        <v>0.21571476967377831</v>
      </c>
      <c r="C19" s="147">
        <f>C7/C9</f>
        <v>9.0270897201272876E-2</v>
      </c>
    </row>
    <row r="20" spans="1:3" x14ac:dyDescent="0.2">
      <c r="A20" s="148" t="s">
        <v>53</v>
      </c>
      <c r="B20" s="149">
        <f>B8/B9</f>
        <v>9.0263394953842363E-2</v>
      </c>
      <c r="C20" s="150">
        <f>C8/C9</f>
        <v>2.0497965939689236E-2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7C5C-B88C-47F9-9362-2C8946D6BCD6}">
  <dimension ref="A1:C23"/>
  <sheetViews>
    <sheetView workbookViewId="0">
      <selection activeCell="K11" sqref="K11"/>
    </sheetView>
  </sheetViews>
  <sheetFormatPr baseColWidth="10" defaultRowHeight="15" x14ac:dyDescent="0.25"/>
  <cols>
    <col min="1" max="1" width="27.5703125" bestFit="1" customWidth="1"/>
    <col min="2" max="2" width="22.140625" bestFit="1" customWidth="1"/>
    <col min="3" max="3" width="23.28515625" bestFit="1" customWidth="1"/>
  </cols>
  <sheetData>
    <row r="1" spans="1:3" x14ac:dyDescent="0.25">
      <c r="A1" s="63" t="s">
        <v>45</v>
      </c>
      <c r="B1" s="63" t="s">
        <v>46</v>
      </c>
      <c r="C1" s="63" t="s">
        <v>47</v>
      </c>
    </row>
    <row r="2" spans="1:3" x14ac:dyDescent="0.25">
      <c r="A2" s="63" t="s">
        <v>48</v>
      </c>
      <c r="B2" s="111">
        <f>41000/300</f>
        <v>136.66666666666666</v>
      </c>
      <c r="C2" s="111">
        <f>41000/2000</f>
        <v>20.5</v>
      </c>
    </row>
    <row r="3" spans="1:3" x14ac:dyDescent="0.25">
      <c r="A3" s="63" t="s">
        <v>49</v>
      </c>
      <c r="B3" s="111">
        <v>2190.92</v>
      </c>
      <c r="C3" s="111">
        <v>2190.92</v>
      </c>
    </row>
    <row r="4" spans="1:3" x14ac:dyDescent="0.25">
      <c r="A4" s="63" t="s">
        <v>50</v>
      </c>
      <c r="B4" s="111">
        <v>278.86</v>
      </c>
      <c r="C4" s="111">
        <v>278.86</v>
      </c>
    </row>
    <row r="5" spans="1:3" x14ac:dyDescent="0.25">
      <c r="A5" s="63" t="s">
        <v>51</v>
      </c>
      <c r="B5" s="111">
        <v>1571.47</v>
      </c>
      <c r="C5" s="111">
        <v>464.43</v>
      </c>
    </row>
    <row r="6" spans="1:3" x14ac:dyDescent="0.25">
      <c r="A6" s="63" t="s">
        <v>70</v>
      </c>
      <c r="B6" s="111">
        <f>80+185.39</f>
        <v>265.39</v>
      </c>
      <c r="C6" s="111">
        <f>80+185.39</f>
        <v>265.39</v>
      </c>
    </row>
    <row r="7" spans="1:3" x14ac:dyDescent="0.25">
      <c r="A7" s="91" t="s">
        <v>52</v>
      </c>
      <c r="B7" s="111">
        <f>(973.01+17.06)*2+166.67</f>
        <v>2146.81</v>
      </c>
      <c r="C7" s="111">
        <f>(145.95+2.56)*2+166.67</f>
        <v>463.68999999999994</v>
      </c>
    </row>
    <row r="8" spans="1:3" x14ac:dyDescent="0.25">
      <c r="A8" s="145" t="s">
        <v>53</v>
      </c>
      <c r="B8" s="151">
        <f>496.94*2</f>
        <v>993.88</v>
      </c>
      <c r="C8" s="151">
        <f>74.54*2</f>
        <v>149.08000000000001</v>
      </c>
    </row>
    <row r="9" spans="1:3" x14ac:dyDescent="0.25">
      <c r="A9" s="63" t="s">
        <v>54</v>
      </c>
      <c r="B9" s="111">
        <f>SUM(B2:B8)</f>
        <v>7583.9966666666669</v>
      </c>
      <c r="C9" s="111">
        <f>SUM(C2:C8)</f>
        <v>3832.87</v>
      </c>
    </row>
    <row r="10" spans="1:3" x14ac:dyDescent="0.25">
      <c r="A10" s="63"/>
      <c r="B10" s="63"/>
      <c r="C10" s="63"/>
    </row>
    <row r="11" spans="1:3" x14ac:dyDescent="0.25">
      <c r="A11" s="63"/>
      <c r="B11" s="63"/>
      <c r="C11" s="63"/>
    </row>
    <row r="12" spans="1:3" x14ac:dyDescent="0.25">
      <c r="A12" s="63"/>
      <c r="B12" s="63"/>
      <c r="C12" s="63"/>
    </row>
    <row r="13" spans="1:3" x14ac:dyDescent="0.25">
      <c r="A13" s="70" t="s">
        <v>45</v>
      </c>
      <c r="B13" s="71" t="s">
        <v>46</v>
      </c>
      <c r="C13" s="72" t="s">
        <v>47</v>
      </c>
    </row>
    <row r="14" spans="1:3" x14ac:dyDescent="0.25">
      <c r="A14" s="73" t="s">
        <v>48</v>
      </c>
      <c r="B14" s="146">
        <f>B2/B9</f>
        <v>1.8020401731892462E-2</v>
      </c>
      <c r="C14" s="146">
        <f>C2/C9</f>
        <v>5.3484725545087626E-3</v>
      </c>
    </row>
    <row r="15" spans="1:3" x14ac:dyDescent="0.25">
      <c r="A15" s="73" t="s">
        <v>49</v>
      </c>
      <c r="B15" s="146">
        <f>B3/B9</f>
        <v>0.28888725777393537</v>
      </c>
      <c r="C15" s="146">
        <f>C3/C9</f>
        <v>0.57161343849387014</v>
      </c>
    </row>
    <row r="16" spans="1:3" x14ac:dyDescent="0.25">
      <c r="A16" s="73" t="s">
        <v>50</v>
      </c>
      <c r="B16" s="146">
        <f>B4/B9</f>
        <v>3.6769530928942917E-2</v>
      </c>
      <c r="C16" s="147">
        <f>C4/C9</f>
        <v>7.2754880807332376E-2</v>
      </c>
    </row>
    <row r="17" spans="1:3" x14ac:dyDescent="0.25">
      <c r="A17" s="73" t="s">
        <v>51</v>
      </c>
      <c r="B17" s="146">
        <f>B5/B9</f>
        <v>0.20720868811914914</v>
      </c>
      <c r="C17" s="147">
        <f>C5/C9</f>
        <v>0.12117029797514657</v>
      </c>
    </row>
    <row r="18" spans="1:3" x14ac:dyDescent="0.25">
      <c r="A18" s="73" t="s">
        <v>70</v>
      </c>
      <c r="B18" s="146">
        <f>B6/B9</f>
        <v>3.4993422553367855E-2</v>
      </c>
      <c r="C18" s="147">
        <f>C6/C9</f>
        <v>6.9240542987369771E-2</v>
      </c>
    </row>
    <row r="19" spans="1:3" x14ac:dyDescent="0.25">
      <c r="A19" s="73" t="s">
        <v>52</v>
      </c>
      <c r="B19" s="146">
        <f>B7/B9</f>
        <v>0.28307106323446868</v>
      </c>
      <c r="C19" s="147">
        <f>C7/C9</f>
        <v>0.1209772311609838</v>
      </c>
    </row>
    <row r="20" spans="1:3" x14ac:dyDescent="0.25">
      <c r="A20" s="148" t="s">
        <v>53</v>
      </c>
      <c r="B20" s="149">
        <f>B8/B9</f>
        <v>0.13104963565824351</v>
      </c>
      <c r="C20" s="150">
        <f>C8/C9</f>
        <v>3.8895136020788604E-2</v>
      </c>
    </row>
    <row r="23" spans="1:3" x14ac:dyDescent="0.25">
      <c r="B23" s="16"/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15</vt:i4>
      </vt:variant>
    </vt:vector>
  </HeadingPairs>
  <TitlesOfParts>
    <vt:vector size="15" baseType="lpstr">
      <vt:lpstr>Consumables WGS Twist</vt:lpstr>
      <vt:lpstr>Consumables WGS Tagmentation</vt:lpstr>
      <vt:lpstr>Consumables WTS</vt:lpstr>
      <vt:lpstr>Wetlab work time_Twist</vt:lpstr>
      <vt:lpstr>Wetlab work time_Tagmentation</vt:lpstr>
      <vt:lpstr>Wetlab work time_WTS</vt:lpstr>
      <vt:lpstr>Personnel costs_Twist idealised</vt:lpstr>
      <vt:lpstr>Personnel costs_Tagmentation</vt:lpstr>
      <vt:lpstr>Personnel costs_Twist realistic</vt:lpstr>
      <vt:lpstr>Equipment &amp; Maintenance</vt:lpstr>
      <vt:lpstr>Computational data analysis</vt:lpstr>
      <vt:lpstr>Flow_cell_comparison</vt:lpstr>
      <vt:lpstr>Total costs_Twist idealised</vt:lpstr>
      <vt:lpstr>Total costs_Tagmentation</vt:lpstr>
      <vt:lpstr>Total costs_Twist realistic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Lorenz, Katja</dc:creator>
  <cp:lastModifiedBy>Christian Altbürger</cp:lastModifiedBy>
  <cp:lastPrinted>2023-02-02T07:57:38Z</cp:lastPrinted>
  <dcterms:created xsi:type="dcterms:W3CDTF">2023-01-31T08:36:14Z</dcterms:created>
  <dcterms:modified xsi:type="dcterms:W3CDTF">2026-01-23T09:21:00Z</dcterms:modified>
</cp:coreProperties>
</file>